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0C2EF246-7CBA-4BFB-9A67-331005B106EA}" xr6:coauthVersionLast="47" xr6:coauthVersionMax="47" xr10:uidLastSave="{00000000-0000-0000-0000-000000000000}"/>
  <bookViews>
    <workbookView xWindow="0" yWindow="0" windowWidth="10245" windowHeight="11070" tabRatio="601" firstSheet="3" activeTab="4" xr2:uid="{00000000-000D-0000-FFFF-FFFF00000000}"/>
  </bookViews>
  <sheets>
    <sheet name="LK" sheetId="13" r:id="rId1"/>
    <sheet name="Riwayat Revisi" sheetId="19" r:id="rId2"/>
    <sheet name="UB" sheetId="14" r:id="rId3"/>
    <sheet name="PENYELIA" sheetId="8" r:id="rId4"/>
    <sheet name="ID" sheetId="12" r:id="rId5"/>
    <sheet name="LH" sheetId="7" r:id="rId6"/>
    <sheet name="SERTIFIKAT" sheetId="20" r:id="rId7"/>
    <sheet name="DB Kelistrikan" sheetId="16" r:id="rId8"/>
    <sheet name="DB GAS FLOW" sheetId="15" r:id="rId9"/>
    <sheet name="DB Thermohygro" sheetId="17" r:id="rId10"/>
    <sheet name="SCORING" sheetId="18" state="hidden" r:id="rId11"/>
  </sheets>
  <externalReferences>
    <externalReference r:id="rId12"/>
    <externalReference r:id="rId13"/>
  </externalReferences>
  <definedNames>
    <definedName name="abs">#REF!</definedName>
    <definedName name="_xlnm.Print_Area" localSheetId="4">ID!$A$1:$M$67</definedName>
    <definedName name="_xlnm.Print_Area" localSheetId="5">LH!$A$1:$L$78</definedName>
    <definedName name="_xlnm.Print_Area" localSheetId="0">LK!$A$1:$M$71</definedName>
    <definedName name="_xlnm.Print_Area" localSheetId="3">PENYELIA!$A$1:$O$69</definedName>
    <definedName name="_xlnm.Print_Area" localSheetId="2">UB!$A$1:$K$102</definedName>
  </definedNames>
  <calcPr calcId="191029"/>
  <fileRecoveryPr autoRecover="0"/>
</workbook>
</file>

<file path=xl/calcChain.xml><?xml version="1.0" encoding="utf-8"?>
<calcChain xmlns="http://schemas.openxmlformats.org/spreadsheetml/2006/main">
  <c r="N40" i="8" l="1"/>
  <c r="N41" i="8"/>
  <c r="N42" i="8"/>
  <c r="N43" i="8"/>
  <c r="N44" i="8"/>
  <c r="N45" i="8"/>
  <c r="G17" i="7"/>
  <c r="G16" i="7"/>
  <c r="E17" i="7"/>
  <c r="E16" i="7"/>
  <c r="B43" i="20"/>
  <c r="B44" i="20" s="1"/>
  <c r="A2" i="20" s="1"/>
  <c r="B48" i="20" s="1"/>
  <c r="B41" i="20"/>
  <c r="E24" i="20"/>
  <c r="D21" i="20"/>
  <c r="D20" i="20"/>
  <c r="D19" i="20"/>
  <c r="D18" i="20"/>
  <c r="D17" i="20"/>
  <c r="D16" i="20"/>
  <c r="D15" i="20"/>
  <c r="D10" i="20"/>
  <c r="D9" i="20"/>
  <c r="D8" i="20"/>
  <c r="F6" i="20"/>
  <c r="A3" i="20"/>
  <c r="A15" i="20" l="1"/>
  <c r="A19" i="20"/>
  <c r="A17" i="20"/>
  <c r="A20" i="20"/>
  <c r="A18" i="20"/>
  <c r="H66" i="7" l="1"/>
  <c r="M272" i="16" l="1"/>
  <c r="M271" i="16"/>
  <c r="M270" i="16"/>
  <c r="M269" i="16"/>
  <c r="M268" i="16"/>
  <c r="K28" i="12"/>
  <c r="K29" i="12"/>
  <c r="A298" i="16"/>
  <c r="K310" i="16"/>
  <c r="J310" i="16"/>
  <c r="I310" i="16"/>
  <c r="K309" i="16"/>
  <c r="J309" i="16"/>
  <c r="I309" i="16"/>
  <c r="K308" i="16"/>
  <c r="J308" i="16"/>
  <c r="I308" i="16"/>
  <c r="K307" i="16"/>
  <c r="J307" i="16"/>
  <c r="I307" i="16"/>
  <c r="K306" i="16"/>
  <c r="J306" i="16"/>
  <c r="I306" i="16"/>
  <c r="K305" i="16"/>
  <c r="J305" i="16"/>
  <c r="I305" i="16"/>
  <c r="K304" i="16"/>
  <c r="J304" i="16"/>
  <c r="I304" i="16"/>
  <c r="K303" i="16"/>
  <c r="J303" i="16"/>
  <c r="I303" i="16"/>
  <c r="K302" i="16"/>
  <c r="J302" i="16"/>
  <c r="I302" i="16"/>
  <c r="K301" i="16"/>
  <c r="J301" i="16"/>
  <c r="I301" i="16"/>
  <c r="K300" i="16"/>
  <c r="J300" i="16"/>
  <c r="I300" i="16"/>
  <c r="K299" i="16"/>
  <c r="J299" i="16"/>
  <c r="I299" i="16"/>
  <c r="A289" i="16"/>
  <c r="A283" i="16"/>
  <c r="A275" i="16"/>
  <c r="A267" i="16"/>
  <c r="Q262" i="16"/>
  <c r="O262" i="16"/>
  <c r="N262" i="16"/>
  <c r="M262" i="16"/>
  <c r="L262" i="16"/>
  <c r="H262" i="16"/>
  <c r="F262" i="16"/>
  <c r="E262" i="16"/>
  <c r="D262" i="16"/>
  <c r="C262" i="16"/>
  <c r="Q261" i="16"/>
  <c r="O261" i="16"/>
  <c r="N261" i="16"/>
  <c r="M261" i="16"/>
  <c r="L261" i="16"/>
  <c r="H261" i="16"/>
  <c r="F261" i="16"/>
  <c r="E261" i="16"/>
  <c r="D261" i="16"/>
  <c r="C261" i="16"/>
  <c r="Q260" i="16"/>
  <c r="O260" i="16"/>
  <c r="N260" i="16"/>
  <c r="M260" i="16"/>
  <c r="L260" i="16"/>
  <c r="H260" i="16"/>
  <c r="F260" i="16"/>
  <c r="E260" i="16"/>
  <c r="D260" i="16"/>
  <c r="C260" i="16"/>
  <c r="O259" i="16"/>
  <c r="N259" i="16"/>
  <c r="M259" i="16"/>
  <c r="L259" i="16"/>
  <c r="F259" i="16"/>
  <c r="E259" i="16"/>
  <c r="D259" i="16"/>
  <c r="C259" i="16"/>
  <c r="O258" i="16"/>
  <c r="N258" i="16"/>
  <c r="M258" i="16"/>
  <c r="L258" i="16"/>
  <c r="F258" i="16"/>
  <c r="E258" i="16"/>
  <c r="D258" i="16"/>
  <c r="C258" i="16"/>
  <c r="O257" i="16"/>
  <c r="N257" i="16"/>
  <c r="M257" i="16"/>
  <c r="L257" i="16"/>
  <c r="F257" i="16"/>
  <c r="E257" i="16"/>
  <c r="D257" i="16"/>
  <c r="C257" i="16"/>
  <c r="O256" i="16"/>
  <c r="N256" i="16"/>
  <c r="M256" i="16"/>
  <c r="L256" i="16"/>
  <c r="F256" i="16"/>
  <c r="E256" i="16"/>
  <c r="D256" i="16"/>
  <c r="C256" i="16"/>
  <c r="O255" i="16"/>
  <c r="N255" i="16"/>
  <c r="M255" i="16"/>
  <c r="L255" i="16"/>
  <c r="F255" i="16"/>
  <c r="E255" i="16"/>
  <c r="D255" i="16"/>
  <c r="C255" i="16"/>
  <c r="O254" i="16"/>
  <c r="N254" i="16"/>
  <c r="M254" i="16"/>
  <c r="L254" i="16"/>
  <c r="F254" i="16"/>
  <c r="E254" i="16"/>
  <c r="D254" i="16"/>
  <c r="C254" i="16"/>
  <c r="O253" i="16"/>
  <c r="N253" i="16"/>
  <c r="M253" i="16"/>
  <c r="L253" i="16"/>
  <c r="F253" i="16"/>
  <c r="E253" i="16"/>
  <c r="D253" i="16"/>
  <c r="C253" i="16"/>
  <c r="O252" i="16"/>
  <c r="N252" i="16"/>
  <c r="M252" i="16"/>
  <c r="L252" i="16"/>
  <c r="F252" i="16"/>
  <c r="E252" i="16"/>
  <c r="D252" i="16"/>
  <c r="C252" i="16"/>
  <c r="O251" i="16"/>
  <c r="N251" i="16"/>
  <c r="M251" i="16"/>
  <c r="L251" i="16"/>
  <c r="F251" i="16"/>
  <c r="E251" i="16"/>
  <c r="D251" i="16"/>
  <c r="C251" i="16"/>
  <c r="Q249" i="16"/>
  <c r="O249" i="16"/>
  <c r="N249" i="16"/>
  <c r="M249" i="16"/>
  <c r="L249" i="16"/>
  <c r="H249" i="16"/>
  <c r="F249" i="16"/>
  <c r="E249" i="16"/>
  <c r="D249" i="16"/>
  <c r="C249" i="16"/>
  <c r="Q248" i="16"/>
  <c r="O248" i="16"/>
  <c r="N248" i="16"/>
  <c r="M248" i="16"/>
  <c r="L248" i="16"/>
  <c r="H248" i="16"/>
  <c r="F248" i="16"/>
  <c r="E248" i="16"/>
  <c r="D248" i="16"/>
  <c r="C248" i="16"/>
  <c r="Q247" i="16"/>
  <c r="O247" i="16"/>
  <c r="N247" i="16"/>
  <c r="M247" i="16"/>
  <c r="L247" i="16"/>
  <c r="H247" i="16"/>
  <c r="F247" i="16"/>
  <c r="E247" i="16"/>
  <c r="D247" i="16"/>
  <c r="C247" i="16"/>
  <c r="O246" i="16"/>
  <c r="N246" i="16"/>
  <c r="M246" i="16"/>
  <c r="L246" i="16"/>
  <c r="F246" i="16"/>
  <c r="E246" i="16"/>
  <c r="D246" i="16"/>
  <c r="C246" i="16"/>
  <c r="O245" i="16"/>
  <c r="N245" i="16"/>
  <c r="M245" i="16"/>
  <c r="L245" i="16"/>
  <c r="F245" i="16"/>
  <c r="E245" i="16"/>
  <c r="D245" i="16"/>
  <c r="C245" i="16"/>
  <c r="O244" i="16"/>
  <c r="N244" i="16"/>
  <c r="M244" i="16"/>
  <c r="L244" i="16"/>
  <c r="F244" i="16"/>
  <c r="E244" i="16"/>
  <c r="D244" i="16"/>
  <c r="C244" i="16"/>
  <c r="O243" i="16"/>
  <c r="N243" i="16"/>
  <c r="M243" i="16"/>
  <c r="L243" i="16"/>
  <c r="F243" i="16"/>
  <c r="E243" i="16"/>
  <c r="D243" i="16"/>
  <c r="C243" i="16"/>
  <c r="O242" i="16"/>
  <c r="N242" i="16"/>
  <c r="M242" i="16"/>
  <c r="L242" i="16"/>
  <c r="F242" i="16"/>
  <c r="E242" i="16"/>
  <c r="D242" i="16"/>
  <c r="C242" i="16"/>
  <c r="O241" i="16"/>
  <c r="N241" i="16"/>
  <c r="M241" i="16"/>
  <c r="L241" i="16"/>
  <c r="F241" i="16"/>
  <c r="E241" i="16"/>
  <c r="D241" i="16"/>
  <c r="C241" i="16"/>
  <c r="P240" i="16"/>
  <c r="O240" i="16"/>
  <c r="N240" i="16"/>
  <c r="M240" i="16"/>
  <c r="L240" i="16"/>
  <c r="F240" i="16"/>
  <c r="E240" i="16"/>
  <c r="D240" i="16"/>
  <c r="C240" i="16"/>
  <c r="O239" i="16"/>
  <c r="N239" i="16"/>
  <c r="M239" i="16"/>
  <c r="L239" i="16"/>
  <c r="F239" i="16"/>
  <c r="E239" i="16"/>
  <c r="D239" i="16"/>
  <c r="C239" i="16"/>
  <c r="O238" i="16"/>
  <c r="N238" i="16"/>
  <c r="M238" i="16"/>
  <c r="L238" i="16"/>
  <c r="F238" i="16"/>
  <c r="E238" i="16"/>
  <c r="D238" i="16"/>
  <c r="C238" i="16"/>
  <c r="Q236" i="16"/>
  <c r="O236" i="16"/>
  <c r="N236" i="16"/>
  <c r="M236" i="16"/>
  <c r="L236" i="16"/>
  <c r="H236" i="16"/>
  <c r="F236" i="16"/>
  <c r="E236" i="16"/>
  <c r="D236" i="16"/>
  <c r="C236" i="16"/>
  <c r="Q235" i="16"/>
  <c r="O235" i="16"/>
  <c r="N235" i="16"/>
  <c r="M235" i="16"/>
  <c r="L235" i="16"/>
  <c r="H235" i="16"/>
  <c r="F235" i="16"/>
  <c r="E235" i="16"/>
  <c r="D235" i="16"/>
  <c r="C235" i="16"/>
  <c r="Q234" i="16"/>
  <c r="O234" i="16"/>
  <c r="N234" i="16"/>
  <c r="M234" i="16"/>
  <c r="L234" i="16"/>
  <c r="H234" i="16"/>
  <c r="F234" i="16"/>
  <c r="E234" i="16"/>
  <c r="D234" i="16"/>
  <c r="C234" i="16"/>
  <c r="P233" i="16"/>
  <c r="O233" i="16"/>
  <c r="N233" i="16"/>
  <c r="M233" i="16"/>
  <c r="L233" i="16"/>
  <c r="F233" i="16"/>
  <c r="E233" i="16"/>
  <c r="D233" i="16"/>
  <c r="C233" i="16"/>
  <c r="O232" i="16"/>
  <c r="N232" i="16"/>
  <c r="M232" i="16"/>
  <c r="L232" i="16"/>
  <c r="F232" i="16"/>
  <c r="E232" i="16"/>
  <c r="D232" i="16"/>
  <c r="C232" i="16"/>
  <c r="O231" i="16"/>
  <c r="N231" i="16"/>
  <c r="M231" i="16"/>
  <c r="L231" i="16"/>
  <c r="F231" i="16"/>
  <c r="E231" i="16"/>
  <c r="D231" i="16"/>
  <c r="C231" i="16"/>
  <c r="O230" i="16"/>
  <c r="N230" i="16"/>
  <c r="M230" i="16"/>
  <c r="L230" i="16"/>
  <c r="F230" i="16"/>
  <c r="E230" i="16"/>
  <c r="D230" i="16"/>
  <c r="C230" i="16"/>
  <c r="O229" i="16"/>
  <c r="N229" i="16"/>
  <c r="M229" i="16"/>
  <c r="L229" i="16"/>
  <c r="F229" i="16"/>
  <c r="E229" i="16"/>
  <c r="D229" i="16"/>
  <c r="C229" i="16"/>
  <c r="O228" i="16"/>
  <c r="N228" i="16"/>
  <c r="M228" i="16"/>
  <c r="L228" i="16"/>
  <c r="F228" i="16"/>
  <c r="E228" i="16"/>
  <c r="D228" i="16"/>
  <c r="C228" i="16"/>
  <c r="Q227" i="16"/>
  <c r="O227" i="16"/>
  <c r="N227" i="16"/>
  <c r="M227" i="16"/>
  <c r="L227" i="16"/>
  <c r="F227" i="16"/>
  <c r="E227" i="16"/>
  <c r="D227" i="16"/>
  <c r="C227" i="16"/>
  <c r="O226" i="16"/>
  <c r="N226" i="16"/>
  <c r="M226" i="16"/>
  <c r="L226" i="16"/>
  <c r="F226" i="16"/>
  <c r="E226" i="16"/>
  <c r="D226" i="16"/>
  <c r="C226" i="16"/>
  <c r="O225" i="16"/>
  <c r="N225" i="16"/>
  <c r="M225" i="16"/>
  <c r="L225" i="16"/>
  <c r="F225" i="16"/>
  <c r="E225" i="16"/>
  <c r="D225" i="16"/>
  <c r="C225" i="16"/>
  <c r="Q223" i="16"/>
  <c r="O223" i="16"/>
  <c r="N223" i="16"/>
  <c r="M223" i="16"/>
  <c r="L223" i="16"/>
  <c r="H223" i="16"/>
  <c r="F223" i="16"/>
  <c r="E223" i="16"/>
  <c r="D223" i="16"/>
  <c r="C223" i="16"/>
  <c r="Q222" i="16"/>
  <c r="P222" i="16"/>
  <c r="O222" i="16"/>
  <c r="N222" i="16"/>
  <c r="M222" i="16"/>
  <c r="L222" i="16"/>
  <c r="H222" i="16"/>
  <c r="F222" i="16"/>
  <c r="E222" i="16"/>
  <c r="D222" i="16"/>
  <c r="C222" i="16"/>
  <c r="Q221" i="16"/>
  <c r="O221" i="16"/>
  <c r="N221" i="16"/>
  <c r="M221" i="16"/>
  <c r="L221" i="16"/>
  <c r="H221" i="16"/>
  <c r="F221" i="16"/>
  <c r="E221" i="16"/>
  <c r="D221" i="16"/>
  <c r="C221" i="16"/>
  <c r="O220" i="16"/>
  <c r="N220" i="16"/>
  <c r="M220" i="16"/>
  <c r="L220" i="16"/>
  <c r="F220" i="16"/>
  <c r="E220" i="16"/>
  <c r="D220" i="16"/>
  <c r="C220" i="16"/>
  <c r="O219" i="16"/>
  <c r="N219" i="16"/>
  <c r="M219" i="16"/>
  <c r="L219" i="16"/>
  <c r="F219" i="16"/>
  <c r="E219" i="16"/>
  <c r="D219" i="16"/>
  <c r="C219" i="16"/>
  <c r="Q218" i="16"/>
  <c r="O218" i="16"/>
  <c r="N218" i="16"/>
  <c r="M218" i="16"/>
  <c r="L218" i="16"/>
  <c r="F218" i="16"/>
  <c r="E218" i="16"/>
  <c r="D218" i="16"/>
  <c r="C218" i="16"/>
  <c r="O217" i="16"/>
  <c r="N217" i="16"/>
  <c r="M217" i="16"/>
  <c r="L217" i="16"/>
  <c r="F217" i="16"/>
  <c r="E217" i="16"/>
  <c r="D217" i="16"/>
  <c r="C217" i="16"/>
  <c r="O216" i="16"/>
  <c r="N216" i="16"/>
  <c r="M216" i="16"/>
  <c r="L216" i="16"/>
  <c r="F216" i="16"/>
  <c r="E216" i="16"/>
  <c r="D216" i="16"/>
  <c r="C216" i="16"/>
  <c r="O215" i="16"/>
  <c r="N215" i="16"/>
  <c r="M215" i="16"/>
  <c r="L215" i="16"/>
  <c r="F215" i="16"/>
  <c r="E215" i="16"/>
  <c r="D215" i="16"/>
  <c r="C215" i="16"/>
  <c r="O214" i="16"/>
  <c r="N214" i="16"/>
  <c r="M214" i="16"/>
  <c r="L214" i="16"/>
  <c r="F214" i="16"/>
  <c r="E214" i="16"/>
  <c r="D214" i="16"/>
  <c r="C214" i="16"/>
  <c r="O213" i="16"/>
  <c r="N213" i="16"/>
  <c r="M213" i="16"/>
  <c r="L213" i="16"/>
  <c r="F213" i="16"/>
  <c r="E213" i="16"/>
  <c r="D213" i="16"/>
  <c r="C213" i="16"/>
  <c r="O212" i="16"/>
  <c r="N212" i="16"/>
  <c r="M212" i="16"/>
  <c r="L212" i="16"/>
  <c r="F212" i="16"/>
  <c r="E212" i="16"/>
  <c r="D212" i="16"/>
  <c r="C212" i="16"/>
  <c r="L210" i="16"/>
  <c r="C210" i="16"/>
  <c r="Q207" i="16"/>
  <c r="O207" i="16"/>
  <c r="N207" i="16"/>
  <c r="M207" i="16"/>
  <c r="L207" i="16"/>
  <c r="H207" i="16"/>
  <c r="F207" i="16"/>
  <c r="E207" i="16"/>
  <c r="D207" i="16"/>
  <c r="C207" i="16"/>
  <c r="Q206" i="16"/>
  <c r="O206" i="16"/>
  <c r="N206" i="16"/>
  <c r="M206" i="16"/>
  <c r="L206" i="16"/>
  <c r="H206" i="16"/>
  <c r="F206" i="16"/>
  <c r="E206" i="16"/>
  <c r="D206" i="16"/>
  <c r="C206" i="16"/>
  <c r="Q205" i="16"/>
  <c r="O205" i="16"/>
  <c r="N205" i="16"/>
  <c r="M205" i="16"/>
  <c r="L205" i="16"/>
  <c r="H205" i="16"/>
  <c r="F205" i="16"/>
  <c r="E205" i="16"/>
  <c r="D205" i="16"/>
  <c r="C205" i="16"/>
  <c r="O204" i="16"/>
  <c r="N204" i="16"/>
  <c r="M204" i="16"/>
  <c r="L204" i="16"/>
  <c r="F204" i="16"/>
  <c r="E204" i="16"/>
  <c r="D204" i="16"/>
  <c r="C204" i="16"/>
  <c r="O203" i="16"/>
  <c r="N203" i="16"/>
  <c r="M203" i="16"/>
  <c r="L203" i="16"/>
  <c r="F203" i="16"/>
  <c r="E203" i="16"/>
  <c r="D203" i="16"/>
  <c r="C203" i="16"/>
  <c r="O202" i="16"/>
  <c r="N202" i="16"/>
  <c r="M202" i="16"/>
  <c r="L202" i="16"/>
  <c r="F202" i="16"/>
  <c r="E202" i="16"/>
  <c r="D202" i="16"/>
  <c r="C202" i="16"/>
  <c r="O201" i="16"/>
  <c r="N201" i="16"/>
  <c r="M201" i="16"/>
  <c r="L201" i="16"/>
  <c r="F201" i="16"/>
  <c r="E201" i="16"/>
  <c r="D201" i="16"/>
  <c r="C201" i="16"/>
  <c r="O200" i="16"/>
  <c r="N200" i="16"/>
  <c r="M200" i="16"/>
  <c r="L200" i="16"/>
  <c r="F200" i="16"/>
  <c r="E200" i="16"/>
  <c r="D200" i="16"/>
  <c r="C200" i="16"/>
  <c r="O199" i="16"/>
  <c r="N199" i="16"/>
  <c r="M199" i="16"/>
  <c r="L199" i="16"/>
  <c r="F199" i="16"/>
  <c r="E199" i="16"/>
  <c r="D199" i="16"/>
  <c r="C199" i="16"/>
  <c r="O198" i="16"/>
  <c r="N198" i="16"/>
  <c r="M198" i="16"/>
  <c r="L198" i="16"/>
  <c r="F198" i="16"/>
  <c r="E198" i="16"/>
  <c r="D198" i="16"/>
  <c r="C198" i="16"/>
  <c r="O197" i="16"/>
  <c r="N197" i="16"/>
  <c r="M197" i="16"/>
  <c r="L197" i="16"/>
  <c r="F197" i="16"/>
  <c r="E197" i="16"/>
  <c r="D197" i="16"/>
  <c r="C197" i="16"/>
  <c r="O196" i="16"/>
  <c r="N196" i="16"/>
  <c r="M196" i="16"/>
  <c r="L196" i="16"/>
  <c r="H196" i="16"/>
  <c r="F196" i="16"/>
  <c r="E196" i="16"/>
  <c r="D196" i="16"/>
  <c r="C196" i="16"/>
  <c r="Q194" i="16"/>
  <c r="O194" i="16"/>
  <c r="N194" i="16"/>
  <c r="M194" i="16"/>
  <c r="L194" i="16"/>
  <c r="H194" i="16"/>
  <c r="F194" i="16"/>
  <c r="E194" i="16"/>
  <c r="D194" i="16"/>
  <c r="C194" i="16"/>
  <c r="Q193" i="16"/>
  <c r="O193" i="16"/>
  <c r="N193" i="16"/>
  <c r="M193" i="16"/>
  <c r="L193" i="16"/>
  <c r="H193" i="16"/>
  <c r="F193" i="16"/>
  <c r="E193" i="16"/>
  <c r="D193" i="16"/>
  <c r="C193" i="16"/>
  <c r="Q192" i="16"/>
  <c r="O192" i="16"/>
  <c r="N192" i="16"/>
  <c r="M192" i="16"/>
  <c r="L192" i="16"/>
  <c r="H192" i="16"/>
  <c r="F192" i="16"/>
  <c r="E192" i="16"/>
  <c r="D192" i="16"/>
  <c r="C192" i="16"/>
  <c r="O191" i="16"/>
  <c r="N191" i="16"/>
  <c r="M191" i="16"/>
  <c r="L191" i="16"/>
  <c r="H191" i="16"/>
  <c r="F191" i="16"/>
  <c r="E191" i="16"/>
  <c r="D191" i="16"/>
  <c r="C191" i="16"/>
  <c r="O190" i="16"/>
  <c r="N190" i="16"/>
  <c r="M190" i="16"/>
  <c r="L190" i="16"/>
  <c r="F190" i="16"/>
  <c r="E190" i="16"/>
  <c r="D190" i="16"/>
  <c r="C190" i="16"/>
  <c r="O189" i="16"/>
  <c r="N189" i="16"/>
  <c r="M189" i="16"/>
  <c r="L189" i="16"/>
  <c r="F189" i="16"/>
  <c r="E189" i="16"/>
  <c r="D189" i="16"/>
  <c r="C189" i="16"/>
  <c r="O188" i="16"/>
  <c r="N188" i="16"/>
  <c r="M188" i="16"/>
  <c r="L188" i="16"/>
  <c r="F188" i="16"/>
  <c r="E188" i="16"/>
  <c r="D188" i="16"/>
  <c r="C188" i="16"/>
  <c r="O187" i="16"/>
  <c r="N187" i="16"/>
  <c r="M187" i="16"/>
  <c r="L187" i="16"/>
  <c r="F187" i="16"/>
  <c r="E187" i="16"/>
  <c r="D187" i="16"/>
  <c r="C187" i="16"/>
  <c r="O186" i="16"/>
  <c r="N186" i="16"/>
  <c r="M186" i="16"/>
  <c r="L186" i="16"/>
  <c r="F186" i="16"/>
  <c r="E186" i="16"/>
  <c r="D186" i="16"/>
  <c r="C186" i="16"/>
  <c r="O185" i="16"/>
  <c r="N185" i="16"/>
  <c r="M185" i="16"/>
  <c r="L185" i="16"/>
  <c r="G185" i="16"/>
  <c r="F185" i="16"/>
  <c r="E185" i="16"/>
  <c r="D185" i="16"/>
  <c r="C185" i="16"/>
  <c r="O184" i="16"/>
  <c r="N184" i="16"/>
  <c r="M184" i="16"/>
  <c r="L184" i="16"/>
  <c r="F184" i="16"/>
  <c r="E184" i="16"/>
  <c r="D184" i="16"/>
  <c r="C184" i="16"/>
  <c r="O183" i="16"/>
  <c r="N183" i="16"/>
  <c r="M183" i="16"/>
  <c r="L183" i="16"/>
  <c r="F183" i="16"/>
  <c r="E183" i="16"/>
  <c r="D183" i="16"/>
  <c r="C183" i="16"/>
  <c r="Q181" i="16"/>
  <c r="O181" i="16"/>
  <c r="N181" i="16"/>
  <c r="M181" i="16"/>
  <c r="L181" i="16"/>
  <c r="H181" i="16"/>
  <c r="F181" i="16"/>
  <c r="E181" i="16"/>
  <c r="D181" i="16"/>
  <c r="C181" i="16"/>
  <c r="Q180" i="16"/>
  <c r="O180" i="16"/>
  <c r="N180" i="16"/>
  <c r="M180" i="16"/>
  <c r="L180" i="16"/>
  <c r="H180" i="16"/>
  <c r="F180" i="16"/>
  <c r="E180" i="16"/>
  <c r="D180" i="16"/>
  <c r="C180" i="16"/>
  <c r="Q179" i="16"/>
  <c r="O179" i="16"/>
  <c r="N179" i="16"/>
  <c r="M179" i="16"/>
  <c r="L179" i="16"/>
  <c r="H179" i="16"/>
  <c r="F179" i="16"/>
  <c r="E179" i="16"/>
  <c r="D179" i="16"/>
  <c r="C179" i="16"/>
  <c r="O178" i="16"/>
  <c r="N178" i="16"/>
  <c r="M178" i="16"/>
  <c r="L178" i="16"/>
  <c r="F178" i="16"/>
  <c r="E178" i="16"/>
  <c r="D178" i="16"/>
  <c r="C178" i="16"/>
  <c r="O177" i="16"/>
  <c r="N177" i="16"/>
  <c r="M177" i="16"/>
  <c r="L177" i="16"/>
  <c r="F177" i="16"/>
  <c r="E177" i="16"/>
  <c r="D177" i="16"/>
  <c r="C177" i="16"/>
  <c r="O176" i="16"/>
  <c r="N176" i="16"/>
  <c r="M176" i="16"/>
  <c r="L176" i="16"/>
  <c r="F176" i="16"/>
  <c r="E176" i="16"/>
  <c r="D176" i="16"/>
  <c r="C176" i="16"/>
  <c r="O175" i="16"/>
  <c r="N175" i="16"/>
  <c r="M175" i="16"/>
  <c r="L175" i="16"/>
  <c r="F175" i="16"/>
  <c r="E175" i="16"/>
  <c r="D175" i="16"/>
  <c r="C175" i="16"/>
  <c r="O174" i="16"/>
  <c r="N174" i="16"/>
  <c r="M174" i="16"/>
  <c r="L174" i="16"/>
  <c r="H174" i="16"/>
  <c r="F174" i="16"/>
  <c r="E174" i="16"/>
  <c r="D174" i="16"/>
  <c r="C174" i="16"/>
  <c r="O173" i="16"/>
  <c r="N173" i="16"/>
  <c r="M173" i="16"/>
  <c r="L173" i="16"/>
  <c r="F173" i="16"/>
  <c r="E173" i="16"/>
  <c r="D173" i="16"/>
  <c r="C173" i="16"/>
  <c r="O172" i="16"/>
  <c r="N172" i="16"/>
  <c r="M172" i="16"/>
  <c r="L172" i="16"/>
  <c r="F172" i="16"/>
  <c r="E172" i="16"/>
  <c r="D172" i="16"/>
  <c r="C172" i="16"/>
  <c r="O171" i="16"/>
  <c r="N171" i="16"/>
  <c r="M171" i="16"/>
  <c r="L171" i="16"/>
  <c r="F171" i="16"/>
  <c r="E171" i="16"/>
  <c r="D171" i="16"/>
  <c r="C171" i="16"/>
  <c r="O170" i="16"/>
  <c r="N170" i="16"/>
  <c r="M170" i="16"/>
  <c r="L170" i="16"/>
  <c r="F170" i="16"/>
  <c r="E170" i="16"/>
  <c r="D170" i="16"/>
  <c r="C170" i="16"/>
  <c r="Q168" i="16"/>
  <c r="O168" i="16"/>
  <c r="N168" i="16"/>
  <c r="M168" i="16"/>
  <c r="L168" i="16"/>
  <c r="H168" i="16"/>
  <c r="F168" i="16"/>
  <c r="E168" i="16"/>
  <c r="D168" i="16"/>
  <c r="C168" i="16"/>
  <c r="Q167" i="16"/>
  <c r="O167" i="16"/>
  <c r="N167" i="16"/>
  <c r="M167" i="16"/>
  <c r="L167" i="16"/>
  <c r="H167" i="16"/>
  <c r="F167" i="16"/>
  <c r="E167" i="16"/>
  <c r="D167" i="16"/>
  <c r="C167" i="16"/>
  <c r="Q166" i="16"/>
  <c r="O166" i="16"/>
  <c r="N166" i="16"/>
  <c r="M166" i="16"/>
  <c r="L166" i="16"/>
  <c r="H166" i="16"/>
  <c r="F166" i="16"/>
  <c r="E166" i="16"/>
  <c r="D166" i="16"/>
  <c r="C166" i="16"/>
  <c r="O165" i="16"/>
  <c r="N165" i="16"/>
  <c r="M165" i="16"/>
  <c r="L165" i="16"/>
  <c r="F165" i="16"/>
  <c r="E165" i="16"/>
  <c r="D165" i="16"/>
  <c r="C165" i="16"/>
  <c r="O164" i="16"/>
  <c r="N164" i="16"/>
  <c r="M164" i="16"/>
  <c r="L164" i="16"/>
  <c r="F164" i="16"/>
  <c r="E164" i="16"/>
  <c r="D164" i="16"/>
  <c r="C164" i="16"/>
  <c r="O163" i="16"/>
  <c r="N163" i="16"/>
  <c r="M163" i="16"/>
  <c r="L163" i="16"/>
  <c r="F163" i="16"/>
  <c r="E163" i="16"/>
  <c r="D163" i="16"/>
  <c r="C163" i="16"/>
  <c r="O162" i="16"/>
  <c r="N162" i="16"/>
  <c r="M162" i="16"/>
  <c r="L162" i="16"/>
  <c r="F162" i="16"/>
  <c r="E162" i="16"/>
  <c r="D162" i="16"/>
  <c r="C162" i="16"/>
  <c r="O161" i="16"/>
  <c r="N161" i="16"/>
  <c r="M161" i="16"/>
  <c r="L161" i="16"/>
  <c r="G161" i="16"/>
  <c r="F161" i="16"/>
  <c r="E161" i="16"/>
  <c r="D161" i="16"/>
  <c r="C161" i="16"/>
  <c r="O160" i="16"/>
  <c r="N160" i="16"/>
  <c r="M160" i="16"/>
  <c r="L160" i="16"/>
  <c r="F160" i="16"/>
  <c r="E160" i="16"/>
  <c r="D160" i="16"/>
  <c r="C160" i="16"/>
  <c r="O159" i="16"/>
  <c r="N159" i="16"/>
  <c r="M159" i="16"/>
  <c r="L159" i="16"/>
  <c r="F159" i="16"/>
  <c r="E159" i="16"/>
  <c r="D159" i="16"/>
  <c r="C159" i="16"/>
  <c r="O158" i="16"/>
  <c r="N158" i="16"/>
  <c r="M158" i="16"/>
  <c r="L158" i="16"/>
  <c r="F158" i="16"/>
  <c r="E158" i="16"/>
  <c r="D158" i="16"/>
  <c r="C158" i="16"/>
  <c r="O157" i="16"/>
  <c r="N157" i="16"/>
  <c r="M157" i="16"/>
  <c r="L157" i="16"/>
  <c r="G157" i="16"/>
  <c r="F157" i="16"/>
  <c r="E157" i="16"/>
  <c r="D157" i="16"/>
  <c r="C157" i="16"/>
  <c r="Q155" i="16"/>
  <c r="O155" i="16"/>
  <c r="N155" i="16"/>
  <c r="M155" i="16"/>
  <c r="L155" i="16"/>
  <c r="H155" i="16"/>
  <c r="F155" i="16"/>
  <c r="E155" i="16"/>
  <c r="D155" i="16"/>
  <c r="C155" i="16"/>
  <c r="Q154" i="16"/>
  <c r="O154" i="16"/>
  <c r="N154" i="16"/>
  <c r="M154" i="16"/>
  <c r="L154" i="16"/>
  <c r="H154" i="16"/>
  <c r="F154" i="16"/>
  <c r="E154" i="16"/>
  <c r="D154" i="16"/>
  <c r="C154" i="16"/>
  <c r="Q153" i="16"/>
  <c r="O153" i="16"/>
  <c r="N153" i="16"/>
  <c r="M153" i="16"/>
  <c r="L153" i="16"/>
  <c r="H153" i="16"/>
  <c r="F153" i="16"/>
  <c r="E153" i="16"/>
  <c r="D153" i="16"/>
  <c r="C153" i="16"/>
  <c r="O152" i="16"/>
  <c r="N152" i="16"/>
  <c r="M152" i="16"/>
  <c r="L152" i="16"/>
  <c r="F152" i="16"/>
  <c r="E152" i="16"/>
  <c r="D152" i="16"/>
  <c r="C152" i="16"/>
  <c r="O151" i="16"/>
  <c r="N151" i="16"/>
  <c r="M151" i="16"/>
  <c r="L151" i="16"/>
  <c r="F151" i="16"/>
  <c r="E151" i="16"/>
  <c r="D151" i="16"/>
  <c r="C151" i="16"/>
  <c r="O150" i="16"/>
  <c r="N150" i="16"/>
  <c r="M150" i="16"/>
  <c r="L150" i="16"/>
  <c r="F150" i="16"/>
  <c r="E150" i="16"/>
  <c r="D150" i="16"/>
  <c r="C150" i="16"/>
  <c r="O149" i="16"/>
  <c r="N149" i="16"/>
  <c r="M149" i="16"/>
  <c r="L149" i="16"/>
  <c r="F149" i="16"/>
  <c r="E149" i="16"/>
  <c r="D149" i="16"/>
  <c r="C149" i="16"/>
  <c r="O148" i="16"/>
  <c r="N148" i="16"/>
  <c r="M148" i="16"/>
  <c r="L148" i="16"/>
  <c r="F148" i="16"/>
  <c r="E148" i="16"/>
  <c r="D148" i="16"/>
  <c r="C148" i="16"/>
  <c r="O147" i="16"/>
  <c r="N147" i="16"/>
  <c r="M147" i="16"/>
  <c r="L147" i="16"/>
  <c r="F147" i="16"/>
  <c r="E147" i="16"/>
  <c r="D147" i="16"/>
  <c r="C147" i="16"/>
  <c r="O146" i="16"/>
  <c r="N146" i="16"/>
  <c r="M146" i="16"/>
  <c r="L146" i="16"/>
  <c r="F146" i="16"/>
  <c r="E146" i="16"/>
  <c r="D146" i="16"/>
  <c r="C146" i="16"/>
  <c r="O145" i="16"/>
  <c r="N145" i="16"/>
  <c r="M145" i="16"/>
  <c r="L145" i="16"/>
  <c r="F145" i="16"/>
  <c r="E145" i="16"/>
  <c r="D145" i="16"/>
  <c r="C145" i="16"/>
  <c r="O144" i="16"/>
  <c r="N144" i="16"/>
  <c r="M144" i="16"/>
  <c r="L144" i="16"/>
  <c r="F144" i="16"/>
  <c r="E144" i="16"/>
  <c r="D144" i="16"/>
  <c r="C144" i="16"/>
  <c r="Q142" i="16"/>
  <c r="O142" i="16"/>
  <c r="N142" i="16"/>
  <c r="M142" i="16"/>
  <c r="L142" i="16"/>
  <c r="H142" i="16"/>
  <c r="F142" i="16"/>
  <c r="E142" i="16"/>
  <c r="D142" i="16"/>
  <c r="C142" i="16"/>
  <c r="Q141" i="16"/>
  <c r="O141" i="16"/>
  <c r="N141" i="16"/>
  <c r="M141" i="16"/>
  <c r="L141" i="16"/>
  <c r="H141" i="16"/>
  <c r="F141" i="16"/>
  <c r="E141" i="16"/>
  <c r="D141" i="16"/>
  <c r="C141" i="16"/>
  <c r="Q140" i="16"/>
  <c r="O140" i="16"/>
  <c r="N140" i="16"/>
  <c r="M140" i="16"/>
  <c r="L140" i="16"/>
  <c r="H140" i="16"/>
  <c r="F140" i="16"/>
  <c r="E140" i="16"/>
  <c r="D140" i="16"/>
  <c r="C140" i="16"/>
  <c r="O139" i="16"/>
  <c r="N139" i="16"/>
  <c r="M139" i="16"/>
  <c r="L139" i="16"/>
  <c r="F139" i="16"/>
  <c r="E139" i="16"/>
  <c r="D139" i="16"/>
  <c r="C139" i="16"/>
  <c r="O138" i="16"/>
  <c r="N138" i="16"/>
  <c r="M138" i="16"/>
  <c r="L138" i="16"/>
  <c r="F138" i="16"/>
  <c r="E138" i="16"/>
  <c r="D138" i="16"/>
  <c r="C138" i="16"/>
  <c r="O137" i="16"/>
  <c r="N137" i="16"/>
  <c r="M137" i="16"/>
  <c r="L137" i="16"/>
  <c r="F137" i="16"/>
  <c r="E137" i="16"/>
  <c r="D137" i="16"/>
  <c r="C137" i="16"/>
  <c r="O136" i="16"/>
  <c r="N136" i="16"/>
  <c r="M136" i="16"/>
  <c r="L136" i="16"/>
  <c r="F136" i="16"/>
  <c r="E136" i="16"/>
  <c r="D136" i="16"/>
  <c r="C136" i="16"/>
  <c r="O135" i="16"/>
  <c r="N135" i="16"/>
  <c r="M135" i="16"/>
  <c r="L135" i="16"/>
  <c r="F135" i="16"/>
  <c r="E135" i="16"/>
  <c r="D135" i="16"/>
  <c r="C135" i="16"/>
  <c r="O134" i="16"/>
  <c r="N134" i="16"/>
  <c r="M134" i="16"/>
  <c r="L134" i="16"/>
  <c r="F134" i="16"/>
  <c r="E134" i="16"/>
  <c r="D134" i="16"/>
  <c r="C134" i="16"/>
  <c r="O133" i="16"/>
  <c r="N133" i="16"/>
  <c r="M133" i="16"/>
  <c r="L133" i="16"/>
  <c r="F133" i="16"/>
  <c r="E133" i="16"/>
  <c r="D133" i="16"/>
  <c r="C133" i="16"/>
  <c r="O132" i="16"/>
  <c r="N132" i="16"/>
  <c r="M132" i="16"/>
  <c r="L132" i="16"/>
  <c r="F132" i="16"/>
  <c r="E132" i="16"/>
  <c r="D132" i="16"/>
  <c r="C132" i="16"/>
  <c r="O131" i="16"/>
  <c r="N131" i="16"/>
  <c r="M131" i="16"/>
  <c r="L131" i="16"/>
  <c r="G131" i="16"/>
  <c r="F131" i="16"/>
  <c r="E131" i="16"/>
  <c r="D131" i="16"/>
  <c r="C131" i="16"/>
  <c r="L129" i="16"/>
  <c r="C129" i="16"/>
  <c r="J128" i="16"/>
  <c r="T124" i="16"/>
  <c r="P262" i="16" s="1"/>
  <c r="M124" i="16"/>
  <c r="P261" i="16" s="1"/>
  <c r="F124" i="16"/>
  <c r="P260" i="16" s="1"/>
  <c r="T123" i="16"/>
  <c r="P249" i="16" s="1"/>
  <c r="M123" i="16"/>
  <c r="P248" i="16" s="1"/>
  <c r="F123" i="16"/>
  <c r="P247" i="16" s="1"/>
  <c r="T122" i="16"/>
  <c r="P236" i="16" s="1"/>
  <c r="M122" i="16"/>
  <c r="P235" i="16" s="1"/>
  <c r="F122" i="16"/>
  <c r="P234" i="16" s="1"/>
  <c r="T121" i="16"/>
  <c r="P223" i="16" s="1"/>
  <c r="M121" i="16"/>
  <c r="F121" i="16"/>
  <c r="P221" i="16" s="1"/>
  <c r="S120" i="16"/>
  <c r="R120" i="16"/>
  <c r="Q120" i="16"/>
  <c r="L120" i="16"/>
  <c r="K120" i="16"/>
  <c r="J120" i="16"/>
  <c r="E120" i="16"/>
  <c r="D120" i="16"/>
  <c r="C120" i="16"/>
  <c r="P119" i="16"/>
  <c r="T118" i="16"/>
  <c r="G262" i="16" s="1"/>
  <c r="M118" i="16"/>
  <c r="G261" i="16" s="1"/>
  <c r="F118" i="16"/>
  <c r="G260" i="16" s="1"/>
  <c r="T117" i="16"/>
  <c r="G249" i="16" s="1"/>
  <c r="M117" i="16"/>
  <c r="G248" i="16" s="1"/>
  <c r="F117" i="16"/>
  <c r="G247" i="16" s="1"/>
  <c r="T116" i="16"/>
  <c r="G236" i="16" s="1"/>
  <c r="M116" i="16"/>
  <c r="G235" i="16" s="1"/>
  <c r="F116" i="16"/>
  <c r="G234" i="16" s="1"/>
  <c r="T115" i="16"/>
  <c r="G223" i="16" s="1"/>
  <c r="M115" i="16"/>
  <c r="G222" i="16" s="1"/>
  <c r="F115" i="16"/>
  <c r="G221" i="16" s="1"/>
  <c r="S114" i="16"/>
  <c r="R114" i="16"/>
  <c r="Q114" i="16"/>
  <c r="L114" i="16"/>
  <c r="K114" i="16"/>
  <c r="J114" i="16"/>
  <c r="E114" i="16"/>
  <c r="D114" i="16"/>
  <c r="C114" i="16"/>
  <c r="P113" i="16"/>
  <c r="T112" i="16"/>
  <c r="P207" i="16" s="1"/>
  <c r="M112" i="16"/>
  <c r="P206" i="16" s="1"/>
  <c r="F112" i="16"/>
  <c r="P205" i="16" s="1"/>
  <c r="T111" i="16"/>
  <c r="P194" i="16" s="1"/>
  <c r="M111" i="16"/>
  <c r="P193" i="16" s="1"/>
  <c r="F111" i="16"/>
  <c r="P192" i="16" s="1"/>
  <c r="T110" i="16"/>
  <c r="P181" i="16" s="1"/>
  <c r="M110" i="16"/>
  <c r="P180" i="16" s="1"/>
  <c r="F110" i="16"/>
  <c r="P179" i="16" s="1"/>
  <c r="T109" i="16"/>
  <c r="P168" i="16" s="1"/>
  <c r="M109" i="16"/>
  <c r="P167" i="16" s="1"/>
  <c r="F109" i="16"/>
  <c r="P166" i="16" s="1"/>
  <c r="T108" i="16"/>
  <c r="P155" i="16" s="1"/>
  <c r="M108" i="16"/>
  <c r="P154" i="16" s="1"/>
  <c r="F108" i="16"/>
  <c r="P153" i="16" s="1"/>
  <c r="T107" i="16"/>
  <c r="P142" i="16" s="1"/>
  <c r="M107" i="16"/>
  <c r="P141" i="16" s="1"/>
  <c r="F107" i="16"/>
  <c r="P140" i="16" s="1"/>
  <c r="S106" i="16"/>
  <c r="R106" i="16"/>
  <c r="Q106" i="16"/>
  <c r="L106" i="16"/>
  <c r="K106" i="16"/>
  <c r="J106" i="16"/>
  <c r="E106" i="16"/>
  <c r="D106" i="16"/>
  <c r="C106" i="16"/>
  <c r="P105" i="16"/>
  <c r="I105" i="16"/>
  <c r="T104" i="16"/>
  <c r="G207" i="16" s="1"/>
  <c r="M104" i="16"/>
  <c r="G206" i="16" s="1"/>
  <c r="F104" i="16"/>
  <c r="G205" i="16" s="1"/>
  <c r="T103" i="16"/>
  <c r="G194" i="16" s="1"/>
  <c r="M103" i="16"/>
  <c r="G193" i="16" s="1"/>
  <c r="F103" i="16"/>
  <c r="G192" i="16" s="1"/>
  <c r="T102" i="16"/>
  <c r="G181" i="16" s="1"/>
  <c r="M102" i="16"/>
  <c r="G180" i="16" s="1"/>
  <c r="F102" i="16"/>
  <c r="G179" i="16" s="1"/>
  <c r="T101" i="16"/>
  <c r="G168" i="16" s="1"/>
  <c r="M101" i="16"/>
  <c r="G167" i="16" s="1"/>
  <c r="F101" i="16"/>
  <c r="G166" i="16" s="1"/>
  <c r="T100" i="16"/>
  <c r="G155" i="16" s="1"/>
  <c r="M100" i="16"/>
  <c r="G154" i="16" s="1"/>
  <c r="F100" i="16"/>
  <c r="G153" i="16" s="1"/>
  <c r="T99" i="16"/>
  <c r="G142" i="16" s="1"/>
  <c r="M99" i="16"/>
  <c r="G141" i="16" s="1"/>
  <c r="F99" i="16"/>
  <c r="G140" i="16" s="1"/>
  <c r="P97" i="16"/>
  <c r="I97" i="16"/>
  <c r="U93" i="16"/>
  <c r="Q259" i="16" s="1"/>
  <c r="T93" i="16"/>
  <c r="P259" i="16" s="1"/>
  <c r="N93" i="16"/>
  <c r="Q258" i="16" s="1"/>
  <c r="M93" i="16"/>
  <c r="P258" i="16" s="1"/>
  <c r="G93" i="16"/>
  <c r="Q257" i="16" s="1"/>
  <c r="F93" i="16"/>
  <c r="P257" i="16" s="1"/>
  <c r="U92" i="16"/>
  <c r="Q246" i="16" s="1"/>
  <c r="T92" i="16"/>
  <c r="P246" i="16" s="1"/>
  <c r="N92" i="16"/>
  <c r="Q245" i="16" s="1"/>
  <c r="M92" i="16"/>
  <c r="P245" i="16" s="1"/>
  <c r="G92" i="16"/>
  <c r="Q244" i="16" s="1"/>
  <c r="F92" i="16"/>
  <c r="P244" i="16" s="1"/>
  <c r="U91" i="16"/>
  <c r="Q233" i="16" s="1"/>
  <c r="T91" i="16"/>
  <c r="N91" i="16"/>
  <c r="Q232" i="16" s="1"/>
  <c r="M91" i="16"/>
  <c r="P232" i="16" s="1"/>
  <c r="G91" i="16"/>
  <c r="Q231" i="16" s="1"/>
  <c r="F91" i="16"/>
  <c r="P231" i="16" s="1"/>
  <c r="U90" i="16"/>
  <c r="Q220" i="16" s="1"/>
  <c r="T90" i="16"/>
  <c r="P220" i="16" s="1"/>
  <c r="N90" i="16"/>
  <c r="Q219" i="16" s="1"/>
  <c r="M90" i="16"/>
  <c r="P219" i="16" s="1"/>
  <c r="G90" i="16"/>
  <c r="F90" i="16"/>
  <c r="P218" i="16" s="1"/>
  <c r="S89" i="16"/>
  <c r="R89" i="16"/>
  <c r="Q89" i="16"/>
  <c r="L89" i="16"/>
  <c r="K89" i="16"/>
  <c r="J89" i="16"/>
  <c r="E89" i="16"/>
  <c r="D89" i="16"/>
  <c r="C89" i="16"/>
  <c r="P88" i="16"/>
  <c r="U87" i="16"/>
  <c r="H259" i="16" s="1"/>
  <c r="T87" i="16"/>
  <c r="G259" i="16" s="1"/>
  <c r="N87" i="16"/>
  <c r="H258" i="16" s="1"/>
  <c r="M87" i="16"/>
  <c r="G258" i="16" s="1"/>
  <c r="G87" i="16"/>
  <c r="H257" i="16" s="1"/>
  <c r="F87" i="16"/>
  <c r="G257" i="16" s="1"/>
  <c r="U86" i="16"/>
  <c r="H246" i="16" s="1"/>
  <c r="T86" i="16"/>
  <c r="G246" i="16" s="1"/>
  <c r="N86" i="16"/>
  <c r="H245" i="16" s="1"/>
  <c r="M86" i="16"/>
  <c r="G245" i="16" s="1"/>
  <c r="G86" i="16"/>
  <c r="H244" i="16" s="1"/>
  <c r="F86" i="16"/>
  <c r="G244" i="16" s="1"/>
  <c r="U85" i="16"/>
  <c r="H233" i="16" s="1"/>
  <c r="T85" i="16"/>
  <c r="G233" i="16" s="1"/>
  <c r="N85" i="16"/>
  <c r="H232" i="16" s="1"/>
  <c r="M85" i="16"/>
  <c r="G232" i="16" s="1"/>
  <c r="G85" i="16"/>
  <c r="H231" i="16" s="1"/>
  <c r="F85" i="16"/>
  <c r="G231" i="16" s="1"/>
  <c r="U84" i="16"/>
  <c r="H220" i="16" s="1"/>
  <c r="T84" i="16"/>
  <c r="G220" i="16" s="1"/>
  <c r="N84" i="16"/>
  <c r="H219" i="16" s="1"/>
  <c r="M84" i="16"/>
  <c r="G219" i="16" s="1"/>
  <c r="G84" i="16"/>
  <c r="H218" i="16" s="1"/>
  <c r="F84" i="16"/>
  <c r="G218" i="16" s="1"/>
  <c r="S83" i="16"/>
  <c r="R83" i="16"/>
  <c r="Q83" i="16"/>
  <c r="L83" i="16"/>
  <c r="K83" i="16"/>
  <c r="J83" i="16"/>
  <c r="E83" i="16"/>
  <c r="D83" i="16"/>
  <c r="C83" i="16"/>
  <c r="P82" i="16"/>
  <c r="U81" i="16"/>
  <c r="Q204" i="16" s="1"/>
  <c r="T81" i="16"/>
  <c r="P204" i="16" s="1"/>
  <c r="N81" i="16"/>
  <c r="Q203" i="16" s="1"/>
  <c r="M81" i="16"/>
  <c r="P203" i="16" s="1"/>
  <c r="G81" i="16"/>
  <c r="Q202" i="16" s="1"/>
  <c r="F81" i="16"/>
  <c r="P202" i="16" s="1"/>
  <c r="U80" i="16"/>
  <c r="Q191" i="16" s="1"/>
  <c r="T80" i="16"/>
  <c r="P191" i="16" s="1"/>
  <c r="N80" i="16"/>
  <c r="Q190" i="16" s="1"/>
  <c r="M80" i="16"/>
  <c r="P190" i="16" s="1"/>
  <c r="G80" i="16"/>
  <c r="Q189" i="16" s="1"/>
  <c r="F80" i="16"/>
  <c r="P189" i="16" s="1"/>
  <c r="U79" i="16"/>
  <c r="Q178" i="16" s="1"/>
  <c r="T79" i="16"/>
  <c r="P178" i="16" s="1"/>
  <c r="N79" i="16"/>
  <c r="Q177" i="16" s="1"/>
  <c r="M79" i="16"/>
  <c r="P177" i="16" s="1"/>
  <c r="G79" i="16"/>
  <c r="Q176" i="16" s="1"/>
  <c r="F79" i="16"/>
  <c r="P176" i="16" s="1"/>
  <c r="U78" i="16"/>
  <c r="Q165" i="16" s="1"/>
  <c r="T78" i="16"/>
  <c r="P165" i="16" s="1"/>
  <c r="N78" i="16"/>
  <c r="Q164" i="16" s="1"/>
  <c r="M78" i="16"/>
  <c r="P164" i="16" s="1"/>
  <c r="G78" i="16"/>
  <c r="Q163" i="16" s="1"/>
  <c r="F78" i="16"/>
  <c r="P163" i="16" s="1"/>
  <c r="U77" i="16"/>
  <c r="Q152" i="16" s="1"/>
  <c r="T77" i="16"/>
  <c r="P152" i="16" s="1"/>
  <c r="N77" i="16"/>
  <c r="Q151" i="16" s="1"/>
  <c r="M77" i="16"/>
  <c r="P151" i="16" s="1"/>
  <c r="G77" i="16"/>
  <c r="Q150" i="16" s="1"/>
  <c r="F77" i="16"/>
  <c r="P150" i="16" s="1"/>
  <c r="U76" i="16"/>
  <c r="Q139" i="16" s="1"/>
  <c r="T76" i="16"/>
  <c r="P139" i="16" s="1"/>
  <c r="N76" i="16"/>
  <c r="Q138" i="16" s="1"/>
  <c r="M76" i="16"/>
  <c r="P138" i="16" s="1"/>
  <c r="G76" i="16"/>
  <c r="Q137" i="16" s="1"/>
  <c r="F76" i="16"/>
  <c r="P137" i="16" s="1"/>
  <c r="S75" i="16"/>
  <c r="R75" i="16"/>
  <c r="Q75" i="16"/>
  <c r="L75" i="16"/>
  <c r="K75" i="16"/>
  <c r="J75" i="16"/>
  <c r="E75" i="16"/>
  <c r="D75" i="16"/>
  <c r="C75" i="16"/>
  <c r="P74" i="16"/>
  <c r="I74" i="16"/>
  <c r="U73" i="16"/>
  <c r="H204" i="16" s="1"/>
  <c r="T73" i="16"/>
  <c r="G204" i="16" s="1"/>
  <c r="N73" i="16"/>
  <c r="H203" i="16" s="1"/>
  <c r="M73" i="16"/>
  <c r="G203" i="16" s="1"/>
  <c r="G73" i="16"/>
  <c r="H202" i="16" s="1"/>
  <c r="F73" i="16"/>
  <c r="G202" i="16" s="1"/>
  <c r="U72" i="16"/>
  <c r="T72" i="16"/>
  <c r="G191" i="16" s="1"/>
  <c r="N72" i="16"/>
  <c r="H190" i="16" s="1"/>
  <c r="M72" i="16"/>
  <c r="G190" i="16" s="1"/>
  <c r="G72" i="16"/>
  <c r="H189" i="16" s="1"/>
  <c r="F72" i="16"/>
  <c r="G189" i="16" s="1"/>
  <c r="U71" i="16"/>
  <c r="H178" i="16" s="1"/>
  <c r="T71" i="16"/>
  <c r="G178" i="16" s="1"/>
  <c r="N71" i="16"/>
  <c r="H177" i="16" s="1"/>
  <c r="M71" i="16"/>
  <c r="G177" i="16" s="1"/>
  <c r="G71" i="16"/>
  <c r="H176" i="16" s="1"/>
  <c r="F71" i="16"/>
  <c r="G176" i="16" s="1"/>
  <c r="U70" i="16"/>
  <c r="H165" i="16" s="1"/>
  <c r="T70" i="16"/>
  <c r="G165" i="16" s="1"/>
  <c r="N70" i="16"/>
  <c r="H164" i="16" s="1"/>
  <c r="M70" i="16"/>
  <c r="G164" i="16" s="1"/>
  <c r="G70" i="16"/>
  <c r="H163" i="16" s="1"/>
  <c r="F70" i="16"/>
  <c r="G163" i="16" s="1"/>
  <c r="U69" i="16"/>
  <c r="H152" i="16" s="1"/>
  <c r="T69" i="16"/>
  <c r="G152" i="16" s="1"/>
  <c r="N69" i="16"/>
  <c r="H151" i="16" s="1"/>
  <c r="M69" i="16"/>
  <c r="G151" i="16" s="1"/>
  <c r="G69" i="16"/>
  <c r="H150" i="16" s="1"/>
  <c r="F69" i="16"/>
  <c r="G150" i="16" s="1"/>
  <c r="U68" i="16"/>
  <c r="H139" i="16" s="1"/>
  <c r="T68" i="16"/>
  <c r="G139" i="16" s="1"/>
  <c r="N68" i="16"/>
  <c r="H138" i="16" s="1"/>
  <c r="M68" i="16"/>
  <c r="G138" i="16" s="1"/>
  <c r="G68" i="16"/>
  <c r="H137" i="16" s="1"/>
  <c r="F68" i="16"/>
  <c r="G137" i="16" s="1"/>
  <c r="P66" i="16"/>
  <c r="I66" i="16"/>
  <c r="U62" i="16"/>
  <c r="Q256" i="16" s="1"/>
  <c r="T62" i="16"/>
  <c r="P256" i="16" s="1"/>
  <c r="N62" i="16"/>
  <c r="Q255" i="16" s="1"/>
  <c r="M62" i="16"/>
  <c r="P255" i="16" s="1"/>
  <c r="G62" i="16"/>
  <c r="Q254" i="16" s="1"/>
  <c r="F62" i="16"/>
  <c r="P254" i="16" s="1"/>
  <c r="U61" i="16"/>
  <c r="Q243" i="16" s="1"/>
  <c r="T61" i="16"/>
  <c r="P243" i="16" s="1"/>
  <c r="N61" i="16"/>
  <c r="Q242" i="16" s="1"/>
  <c r="M61" i="16"/>
  <c r="P242" i="16" s="1"/>
  <c r="G61" i="16"/>
  <c r="Q241" i="16" s="1"/>
  <c r="F61" i="16"/>
  <c r="P241" i="16" s="1"/>
  <c r="U60" i="16"/>
  <c r="Q230" i="16" s="1"/>
  <c r="T60" i="16"/>
  <c r="P230" i="16" s="1"/>
  <c r="N60" i="16"/>
  <c r="Q229" i="16" s="1"/>
  <c r="M60" i="16"/>
  <c r="P229" i="16" s="1"/>
  <c r="G60" i="16"/>
  <c r="Q228" i="16" s="1"/>
  <c r="F60" i="16"/>
  <c r="P228" i="16" s="1"/>
  <c r="U59" i="16"/>
  <c r="Q217" i="16" s="1"/>
  <c r="T59" i="16"/>
  <c r="P217" i="16" s="1"/>
  <c r="N59" i="16"/>
  <c r="Q216" i="16" s="1"/>
  <c r="M59" i="16"/>
  <c r="P216" i="16" s="1"/>
  <c r="G59" i="16"/>
  <c r="Q215" i="16" s="1"/>
  <c r="F59" i="16"/>
  <c r="P215" i="16" s="1"/>
  <c r="S58" i="16"/>
  <c r="R58" i="16"/>
  <c r="Q58" i="16"/>
  <c r="L58" i="16"/>
  <c r="K58" i="16"/>
  <c r="J58" i="16"/>
  <c r="E58" i="16"/>
  <c r="D58" i="16"/>
  <c r="C58" i="16"/>
  <c r="B57" i="16"/>
  <c r="I57" i="16" s="1"/>
  <c r="P57" i="16" s="1"/>
  <c r="U56" i="16"/>
  <c r="H256" i="16" s="1"/>
  <c r="T56" i="16"/>
  <c r="G256" i="16" s="1"/>
  <c r="N56" i="16"/>
  <c r="H255" i="16" s="1"/>
  <c r="M56" i="16"/>
  <c r="G255" i="16" s="1"/>
  <c r="G56" i="16"/>
  <c r="H254" i="16" s="1"/>
  <c r="F56" i="16"/>
  <c r="G254" i="16" s="1"/>
  <c r="U55" i="16"/>
  <c r="H243" i="16" s="1"/>
  <c r="T55" i="16"/>
  <c r="G243" i="16" s="1"/>
  <c r="N55" i="16"/>
  <c r="H242" i="16" s="1"/>
  <c r="M55" i="16"/>
  <c r="G242" i="16" s="1"/>
  <c r="G55" i="16"/>
  <c r="H241" i="16" s="1"/>
  <c r="F55" i="16"/>
  <c r="G241" i="16" s="1"/>
  <c r="U54" i="16"/>
  <c r="H230" i="16" s="1"/>
  <c r="T54" i="16"/>
  <c r="G230" i="16" s="1"/>
  <c r="N54" i="16"/>
  <c r="H229" i="16" s="1"/>
  <c r="M54" i="16"/>
  <c r="G229" i="16" s="1"/>
  <c r="G54" i="16"/>
  <c r="H228" i="16" s="1"/>
  <c r="F54" i="16"/>
  <c r="G228" i="16" s="1"/>
  <c r="U53" i="16"/>
  <c r="H217" i="16" s="1"/>
  <c r="T53" i="16"/>
  <c r="G217" i="16" s="1"/>
  <c r="N53" i="16"/>
  <c r="H216" i="16" s="1"/>
  <c r="M53" i="16"/>
  <c r="G216" i="16" s="1"/>
  <c r="G53" i="16"/>
  <c r="H215" i="16" s="1"/>
  <c r="F53" i="16"/>
  <c r="G215" i="16" s="1"/>
  <c r="S52" i="16"/>
  <c r="R52" i="16"/>
  <c r="Q52" i="16"/>
  <c r="L52" i="16"/>
  <c r="K52" i="16"/>
  <c r="J52" i="16"/>
  <c r="E52" i="16"/>
  <c r="D52" i="16"/>
  <c r="C52" i="16"/>
  <c r="B51" i="16"/>
  <c r="I51" i="16" s="1"/>
  <c r="P51" i="16" s="1"/>
  <c r="U50" i="16"/>
  <c r="Q201" i="16" s="1"/>
  <c r="T50" i="16"/>
  <c r="P201" i="16" s="1"/>
  <c r="N50" i="16"/>
  <c r="Q200" i="16" s="1"/>
  <c r="M50" i="16"/>
  <c r="P200" i="16" s="1"/>
  <c r="G50" i="16"/>
  <c r="Q199" i="16" s="1"/>
  <c r="F50" i="16"/>
  <c r="P199" i="16" s="1"/>
  <c r="U49" i="16"/>
  <c r="Q188" i="16" s="1"/>
  <c r="T49" i="16"/>
  <c r="P188" i="16" s="1"/>
  <c r="N49" i="16"/>
  <c r="Q187" i="16" s="1"/>
  <c r="M49" i="16"/>
  <c r="P187" i="16" s="1"/>
  <c r="G49" i="16"/>
  <c r="Q186" i="16" s="1"/>
  <c r="F49" i="16"/>
  <c r="P186" i="16" s="1"/>
  <c r="U48" i="16"/>
  <c r="Q175" i="16" s="1"/>
  <c r="T48" i="16"/>
  <c r="P175" i="16" s="1"/>
  <c r="N48" i="16"/>
  <c r="Q174" i="16" s="1"/>
  <c r="M48" i="16"/>
  <c r="P174" i="16" s="1"/>
  <c r="G48" i="16"/>
  <c r="Q173" i="16" s="1"/>
  <c r="F48" i="16"/>
  <c r="P173" i="16" s="1"/>
  <c r="U47" i="16"/>
  <c r="Q162" i="16" s="1"/>
  <c r="T47" i="16"/>
  <c r="P162" i="16" s="1"/>
  <c r="N47" i="16"/>
  <c r="Q161" i="16" s="1"/>
  <c r="M47" i="16"/>
  <c r="P161" i="16" s="1"/>
  <c r="G47" i="16"/>
  <c r="Q160" i="16" s="1"/>
  <c r="F47" i="16"/>
  <c r="P160" i="16" s="1"/>
  <c r="U46" i="16"/>
  <c r="Q149" i="16" s="1"/>
  <c r="T46" i="16"/>
  <c r="P149" i="16" s="1"/>
  <c r="N46" i="16"/>
  <c r="Q148" i="16" s="1"/>
  <c r="M46" i="16"/>
  <c r="P148" i="16" s="1"/>
  <c r="G46" i="16"/>
  <c r="Q147" i="16" s="1"/>
  <c r="F46" i="16"/>
  <c r="P147" i="16" s="1"/>
  <c r="U45" i="16"/>
  <c r="Q136" i="16" s="1"/>
  <c r="T45" i="16"/>
  <c r="P136" i="16" s="1"/>
  <c r="N45" i="16"/>
  <c r="Q135" i="16" s="1"/>
  <c r="M45" i="16"/>
  <c r="P135" i="16" s="1"/>
  <c r="G45" i="16"/>
  <c r="Q134" i="16" s="1"/>
  <c r="F45" i="16"/>
  <c r="P134" i="16" s="1"/>
  <c r="S44" i="16"/>
  <c r="R44" i="16"/>
  <c r="Q44" i="16"/>
  <c r="L44" i="16"/>
  <c r="K44" i="16"/>
  <c r="J44" i="16"/>
  <c r="E44" i="16"/>
  <c r="D44" i="16"/>
  <c r="C44" i="16"/>
  <c r="B43" i="16"/>
  <c r="I43" i="16" s="1"/>
  <c r="P43" i="16" s="1"/>
  <c r="U42" i="16"/>
  <c r="H201" i="16" s="1"/>
  <c r="T42" i="16"/>
  <c r="G201" i="16" s="1"/>
  <c r="N42" i="16"/>
  <c r="H200" i="16" s="1"/>
  <c r="M42" i="16"/>
  <c r="G200" i="16" s="1"/>
  <c r="G42" i="16"/>
  <c r="H199" i="16" s="1"/>
  <c r="F42" i="16"/>
  <c r="G199" i="16" s="1"/>
  <c r="U41" i="16"/>
  <c r="H188" i="16" s="1"/>
  <c r="T41" i="16"/>
  <c r="G188" i="16" s="1"/>
  <c r="N41" i="16"/>
  <c r="H187" i="16" s="1"/>
  <c r="M41" i="16"/>
  <c r="G187" i="16" s="1"/>
  <c r="G41" i="16"/>
  <c r="H186" i="16" s="1"/>
  <c r="F41" i="16"/>
  <c r="G186" i="16" s="1"/>
  <c r="U40" i="16"/>
  <c r="H175" i="16" s="1"/>
  <c r="T40" i="16"/>
  <c r="G175" i="16" s="1"/>
  <c r="N40" i="16"/>
  <c r="M40" i="16"/>
  <c r="G174" i="16" s="1"/>
  <c r="G40" i="16"/>
  <c r="H173" i="16" s="1"/>
  <c r="F40" i="16"/>
  <c r="G173" i="16" s="1"/>
  <c r="U39" i="16"/>
  <c r="H162" i="16" s="1"/>
  <c r="T39" i="16"/>
  <c r="G162" i="16" s="1"/>
  <c r="N39" i="16"/>
  <c r="H161" i="16" s="1"/>
  <c r="M39" i="16"/>
  <c r="G39" i="16"/>
  <c r="H160" i="16" s="1"/>
  <c r="F39" i="16"/>
  <c r="G160" i="16" s="1"/>
  <c r="U38" i="16"/>
  <c r="H149" i="16" s="1"/>
  <c r="T38" i="16"/>
  <c r="G149" i="16" s="1"/>
  <c r="N38" i="16"/>
  <c r="H148" i="16" s="1"/>
  <c r="M38" i="16"/>
  <c r="G148" i="16" s="1"/>
  <c r="G38" i="16"/>
  <c r="H147" i="16" s="1"/>
  <c r="F38" i="16"/>
  <c r="G147" i="16" s="1"/>
  <c r="U37" i="16"/>
  <c r="H136" i="16" s="1"/>
  <c r="T37" i="16"/>
  <c r="G136" i="16" s="1"/>
  <c r="N37" i="16"/>
  <c r="H135" i="16" s="1"/>
  <c r="M37" i="16"/>
  <c r="G135" i="16" s="1"/>
  <c r="G37" i="16"/>
  <c r="H134" i="16" s="1"/>
  <c r="F37" i="16"/>
  <c r="G134" i="16" s="1"/>
  <c r="I35" i="16"/>
  <c r="P35" i="16" s="1"/>
  <c r="B35" i="16"/>
  <c r="U31" i="16"/>
  <c r="Q253" i="16" s="1"/>
  <c r="T31" i="16"/>
  <c r="P253" i="16" s="1"/>
  <c r="N31" i="16"/>
  <c r="Q252" i="16" s="1"/>
  <c r="M31" i="16"/>
  <c r="P252" i="16" s="1"/>
  <c r="G31" i="16"/>
  <c r="Q251" i="16" s="1"/>
  <c r="F31" i="16"/>
  <c r="P251" i="16" s="1"/>
  <c r="U30" i="16"/>
  <c r="Q240" i="16" s="1"/>
  <c r="T30" i="16"/>
  <c r="N30" i="16"/>
  <c r="Q239" i="16" s="1"/>
  <c r="M30" i="16"/>
  <c r="P239" i="16" s="1"/>
  <c r="G30" i="16"/>
  <c r="Q238" i="16" s="1"/>
  <c r="F30" i="16"/>
  <c r="P238" i="16" s="1"/>
  <c r="U29" i="16"/>
  <c r="T29" i="16"/>
  <c r="P227" i="16" s="1"/>
  <c r="N29" i="16"/>
  <c r="Q226" i="16" s="1"/>
  <c r="M29" i="16"/>
  <c r="P226" i="16" s="1"/>
  <c r="G29" i="16"/>
  <c r="Q225" i="16" s="1"/>
  <c r="F29" i="16"/>
  <c r="P225" i="16" s="1"/>
  <c r="U28" i="16"/>
  <c r="Q214" i="16" s="1"/>
  <c r="T28" i="16"/>
  <c r="P214" i="16" s="1"/>
  <c r="N28" i="16"/>
  <c r="Q213" i="16" s="1"/>
  <c r="M28" i="16"/>
  <c r="P213" i="16" s="1"/>
  <c r="G28" i="16"/>
  <c r="Q212" i="16" s="1"/>
  <c r="F28" i="16"/>
  <c r="P212" i="16" s="1"/>
  <c r="S27" i="16"/>
  <c r="R27" i="16"/>
  <c r="Q27" i="16"/>
  <c r="L27" i="16"/>
  <c r="K27" i="16"/>
  <c r="J27" i="16"/>
  <c r="E27" i="16"/>
  <c r="D27" i="16"/>
  <c r="C27" i="16"/>
  <c r="P26" i="16"/>
  <c r="I26" i="16"/>
  <c r="U25" i="16"/>
  <c r="H253" i="16" s="1"/>
  <c r="T25" i="16"/>
  <c r="G253" i="16" s="1"/>
  <c r="N25" i="16"/>
  <c r="H252" i="16" s="1"/>
  <c r="M25" i="16"/>
  <c r="G252" i="16" s="1"/>
  <c r="G25" i="16"/>
  <c r="H251" i="16" s="1"/>
  <c r="F25" i="16"/>
  <c r="G251" i="16" s="1"/>
  <c r="U24" i="16"/>
  <c r="H240" i="16" s="1"/>
  <c r="T24" i="16"/>
  <c r="G240" i="16" s="1"/>
  <c r="N24" i="16"/>
  <c r="H239" i="16" s="1"/>
  <c r="M24" i="16"/>
  <c r="G239" i="16" s="1"/>
  <c r="G24" i="16"/>
  <c r="H238" i="16" s="1"/>
  <c r="F24" i="16"/>
  <c r="G238" i="16" s="1"/>
  <c r="U23" i="16"/>
  <c r="H227" i="16" s="1"/>
  <c r="T23" i="16"/>
  <c r="G227" i="16" s="1"/>
  <c r="N23" i="16"/>
  <c r="H226" i="16" s="1"/>
  <c r="M23" i="16"/>
  <c r="G226" i="16" s="1"/>
  <c r="G23" i="16"/>
  <c r="H225" i="16" s="1"/>
  <c r="F23" i="16"/>
  <c r="G225" i="16" s="1"/>
  <c r="U22" i="16"/>
  <c r="H214" i="16" s="1"/>
  <c r="T22" i="16"/>
  <c r="G214" i="16" s="1"/>
  <c r="N22" i="16"/>
  <c r="H213" i="16" s="1"/>
  <c r="M22" i="16"/>
  <c r="G213" i="16" s="1"/>
  <c r="G22" i="16"/>
  <c r="H212" i="16" s="1"/>
  <c r="F22" i="16"/>
  <c r="G212" i="16" s="1"/>
  <c r="S21" i="16"/>
  <c r="R21" i="16"/>
  <c r="Q21" i="16"/>
  <c r="L21" i="16"/>
  <c r="K21" i="16"/>
  <c r="J21" i="16"/>
  <c r="E21" i="16"/>
  <c r="D21" i="16"/>
  <c r="C21" i="16"/>
  <c r="P20" i="16"/>
  <c r="I20" i="16"/>
  <c r="U19" i="16"/>
  <c r="Q198" i="16" s="1"/>
  <c r="T19" i="16"/>
  <c r="P198" i="16" s="1"/>
  <c r="N19" i="16"/>
  <c r="Q197" i="16" s="1"/>
  <c r="M19" i="16"/>
  <c r="P197" i="16" s="1"/>
  <c r="G19" i="16"/>
  <c r="Q196" i="16" s="1"/>
  <c r="F19" i="16"/>
  <c r="P196" i="16" s="1"/>
  <c r="U18" i="16"/>
  <c r="Q185" i="16" s="1"/>
  <c r="T18" i="16"/>
  <c r="P185" i="16" s="1"/>
  <c r="N18" i="16"/>
  <c r="Q184" i="16" s="1"/>
  <c r="M18" i="16"/>
  <c r="P184" i="16" s="1"/>
  <c r="G18" i="16"/>
  <c r="Q183" i="16" s="1"/>
  <c r="F18" i="16"/>
  <c r="P183" i="16" s="1"/>
  <c r="U17" i="16"/>
  <c r="Q172" i="16" s="1"/>
  <c r="T17" i="16"/>
  <c r="P172" i="16" s="1"/>
  <c r="N17" i="16"/>
  <c r="Q171" i="16" s="1"/>
  <c r="M17" i="16"/>
  <c r="P171" i="16" s="1"/>
  <c r="G17" i="16"/>
  <c r="Q170" i="16" s="1"/>
  <c r="F17" i="16"/>
  <c r="P170" i="16" s="1"/>
  <c r="U16" i="16"/>
  <c r="Q159" i="16" s="1"/>
  <c r="T16" i="16"/>
  <c r="P159" i="16" s="1"/>
  <c r="N16" i="16"/>
  <c r="Q158" i="16" s="1"/>
  <c r="M16" i="16"/>
  <c r="P158" i="16" s="1"/>
  <c r="G16" i="16"/>
  <c r="Q157" i="16" s="1"/>
  <c r="F16" i="16"/>
  <c r="P157" i="16" s="1"/>
  <c r="U15" i="16"/>
  <c r="Q146" i="16" s="1"/>
  <c r="T15" i="16"/>
  <c r="P146" i="16" s="1"/>
  <c r="N15" i="16"/>
  <c r="Q145" i="16" s="1"/>
  <c r="M15" i="16"/>
  <c r="P145" i="16" s="1"/>
  <c r="G15" i="16"/>
  <c r="Q144" i="16" s="1"/>
  <c r="F15" i="16"/>
  <c r="P144" i="16" s="1"/>
  <c r="U14" i="16"/>
  <c r="Q133" i="16" s="1"/>
  <c r="T14" i="16"/>
  <c r="P133" i="16" s="1"/>
  <c r="N14" i="16"/>
  <c r="Q132" i="16" s="1"/>
  <c r="M14" i="16"/>
  <c r="P132" i="16" s="1"/>
  <c r="G14" i="16"/>
  <c r="Q131" i="16" s="1"/>
  <c r="F14" i="16"/>
  <c r="P131" i="16" s="1"/>
  <c r="S13" i="16"/>
  <c r="R13" i="16"/>
  <c r="Q13" i="16"/>
  <c r="L13" i="16"/>
  <c r="K13" i="16"/>
  <c r="J13" i="16"/>
  <c r="E13" i="16"/>
  <c r="D13" i="16"/>
  <c r="C13" i="16"/>
  <c r="P12" i="16"/>
  <c r="I12" i="16"/>
  <c r="U11" i="16"/>
  <c r="H198" i="16" s="1"/>
  <c r="T11" i="16"/>
  <c r="G198" i="16" s="1"/>
  <c r="N11" i="16"/>
  <c r="H197" i="16" s="1"/>
  <c r="M11" i="16"/>
  <c r="G197" i="16" s="1"/>
  <c r="G11" i="16"/>
  <c r="F11" i="16"/>
  <c r="G196" i="16" s="1"/>
  <c r="U10" i="16"/>
  <c r="H185" i="16" s="1"/>
  <c r="T10" i="16"/>
  <c r="N10" i="16"/>
  <c r="H184" i="16" s="1"/>
  <c r="M10" i="16"/>
  <c r="G184" i="16" s="1"/>
  <c r="G10" i="16"/>
  <c r="H183" i="16" s="1"/>
  <c r="F10" i="16"/>
  <c r="G183" i="16" s="1"/>
  <c r="U9" i="16"/>
  <c r="H172" i="16" s="1"/>
  <c r="T9" i="16"/>
  <c r="G172" i="16" s="1"/>
  <c r="N9" i="16"/>
  <c r="H171" i="16" s="1"/>
  <c r="M9" i="16"/>
  <c r="G171" i="16" s="1"/>
  <c r="G9" i="16"/>
  <c r="H170" i="16" s="1"/>
  <c r="F9" i="16"/>
  <c r="G170" i="16" s="1"/>
  <c r="U8" i="16"/>
  <c r="H159" i="16" s="1"/>
  <c r="T8" i="16"/>
  <c r="G159" i="16" s="1"/>
  <c r="N8" i="16"/>
  <c r="H158" i="16" s="1"/>
  <c r="M8" i="16"/>
  <c r="G158" i="16" s="1"/>
  <c r="G8" i="16"/>
  <c r="H157" i="16" s="1"/>
  <c r="F8" i="16"/>
  <c r="U7" i="16"/>
  <c r="H146" i="16" s="1"/>
  <c r="T7" i="16"/>
  <c r="G146" i="16" s="1"/>
  <c r="N7" i="16"/>
  <c r="H145" i="16" s="1"/>
  <c r="M7" i="16"/>
  <c r="G145" i="16" s="1"/>
  <c r="G7" i="16"/>
  <c r="H144" i="16" s="1"/>
  <c r="F7" i="16"/>
  <c r="G144" i="16" s="1"/>
  <c r="U6" i="16"/>
  <c r="H133" i="16" s="1"/>
  <c r="T6" i="16"/>
  <c r="G133" i="16" s="1"/>
  <c r="N6" i="16"/>
  <c r="H132" i="16" s="1"/>
  <c r="M6" i="16"/>
  <c r="G132" i="16" s="1"/>
  <c r="G6" i="16"/>
  <c r="H131" i="16" s="1"/>
  <c r="F6" i="16"/>
  <c r="P4" i="16"/>
  <c r="I4" i="16"/>
  <c r="S25" i="8"/>
  <c r="B265" i="16" l="1"/>
  <c r="A311" i="16"/>
  <c r="A265" i="16" l="1"/>
  <c r="N298" i="16"/>
  <c r="N311" i="16" s="1"/>
  <c r="B50" i="12" s="1"/>
  <c r="D268" i="16"/>
  <c r="D276" i="16" s="1"/>
  <c r="D284" i="16" s="1"/>
  <c r="D290" i="16" s="1"/>
  <c r="C268" i="16"/>
  <c r="C276" i="16" s="1"/>
  <c r="C284" i="16" s="1"/>
  <c r="C290" i="16" s="1"/>
  <c r="B268" i="16"/>
  <c r="B276" i="16" s="1"/>
  <c r="B284" i="16" s="1"/>
  <c r="B290" i="16" s="1"/>
  <c r="F294" i="16" l="1"/>
  <c r="D293" i="16"/>
  <c r="B292" i="16"/>
  <c r="B288" i="16"/>
  <c r="F286" i="16"/>
  <c r="D285" i="16"/>
  <c r="F282" i="16"/>
  <c r="D281" i="16"/>
  <c r="B280" i="16"/>
  <c r="F278" i="16"/>
  <c r="D277" i="16"/>
  <c r="E273" i="16"/>
  <c r="A271" i="16"/>
  <c r="B270" i="16"/>
  <c r="E269" i="16"/>
  <c r="F293" i="16"/>
  <c r="E294" i="16"/>
  <c r="C293" i="16"/>
  <c r="A292" i="16"/>
  <c r="A288" i="16"/>
  <c r="E286" i="16"/>
  <c r="C285" i="16"/>
  <c r="E282" i="16"/>
  <c r="C281" i="16"/>
  <c r="A280" i="16"/>
  <c r="E278" i="16"/>
  <c r="C277" i="16"/>
  <c r="F274" i="16"/>
  <c r="D273" i="16"/>
  <c r="A270" i="16"/>
  <c r="D269" i="16"/>
  <c r="B279" i="16"/>
  <c r="D294" i="16"/>
  <c r="B293" i="16"/>
  <c r="F291" i="16"/>
  <c r="F287" i="16"/>
  <c r="D286" i="16"/>
  <c r="B285" i="16"/>
  <c r="D282" i="16"/>
  <c r="B281" i="16"/>
  <c r="F279" i="16"/>
  <c r="D278" i="16"/>
  <c r="B277" i="16"/>
  <c r="E274" i="16"/>
  <c r="C273" i="16"/>
  <c r="F272" i="16"/>
  <c r="C269" i="16"/>
  <c r="A274" i="16"/>
  <c r="C294" i="16"/>
  <c r="A293" i="16"/>
  <c r="E291" i="16"/>
  <c r="E287" i="16"/>
  <c r="C286" i="16"/>
  <c r="A285" i="16"/>
  <c r="C282" i="16"/>
  <c r="A281" i="16"/>
  <c r="E279" i="16"/>
  <c r="C278" i="16"/>
  <c r="A277" i="16"/>
  <c r="D274" i="16"/>
  <c r="B273" i="16"/>
  <c r="E272" i="16"/>
  <c r="F271" i="16"/>
  <c r="B269" i="16"/>
  <c r="F277" i="16"/>
  <c r="B294" i="16"/>
  <c r="F292" i="16"/>
  <c r="D291" i="16"/>
  <c r="F288" i="16"/>
  <c r="D287" i="16"/>
  <c r="B286" i="16"/>
  <c r="B282" i="16"/>
  <c r="F280" i="16"/>
  <c r="D279" i="16"/>
  <c r="B278" i="16"/>
  <c r="C274" i="16"/>
  <c r="A273" i="16"/>
  <c r="D272" i="16"/>
  <c r="E271" i="16"/>
  <c r="F270" i="16"/>
  <c r="A269" i="16"/>
  <c r="D292" i="16"/>
  <c r="B291" i="16"/>
  <c r="D288" i="16"/>
  <c r="B287" i="16"/>
  <c r="F285" i="16"/>
  <c r="F281" i="16"/>
  <c r="D280" i="16"/>
  <c r="B272" i="16"/>
  <c r="D270" i="16"/>
  <c r="A294" i="16"/>
  <c r="E292" i="16"/>
  <c r="C291" i="16"/>
  <c r="E288" i="16"/>
  <c r="C287" i="16"/>
  <c r="A286" i="16"/>
  <c r="A282" i="16"/>
  <c r="E280" i="16"/>
  <c r="C279" i="16"/>
  <c r="A278" i="16"/>
  <c r="B274" i="16"/>
  <c r="C272" i="16"/>
  <c r="D271" i="16"/>
  <c r="E270" i="16"/>
  <c r="E277" i="16"/>
  <c r="C288" i="16"/>
  <c r="C270" i="16"/>
  <c r="A287" i="16"/>
  <c r="F273" i="16"/>
  <c r="E285" i="16"/>
  <c r="F269" i="16"/>
  <c r="A272" i="16"/>
  <c r="E293" i="16"/>
  <c r="E281" i="16"/>
  <c r="C292" i="16"/>
  <c r="C280" i="16"/>
  <c r="C271" i="16"/>
  <c r="A291" i="16"/>
  <c r="A279" i="16"/>
  <c r="B271" i="16"/>
  <c r="J266" i="16" l="1"/>
  <c r="N270" i="16" s="1"/>
  <c r="O270" i="16" s="1"/>
  <c r="I27" i="8" s="1"/>
  <c r="I266" i="16"/>
  <c r="N269" i="16" s="1"/>
  <c r="O269" i="16" s="1"/>
  <c r="I26" i="8" s="1"/>
  <c r="H266" i="16"/>
  <c r="N268" i="16" s="1"/>
  <c r="E18" i="7" s="1"/>
  <c r="K266" i="16"/>
  <c r="N271" i="16" s="1"/>
  <c r="O271" i="16" s="1"/>
  <c r="I28" i="8" s="1"/>
  <c r="H269" i="16"/>
  <c r="N272" i="16" s="1"/>
  <c r="O272" i="16" s="1"/>
  <c r="T25" i="8" s="1"/>
  <c r="I269" i="16" l="1"/>
  <c r="O268" i="16"/>
  <c r="H272" i="16" s="1"/>
  <c r="I272" i="16" l="1"/>
  <c r="H274" i="16" s="1"/>
  <c r="E18" i="8" s="1"/>
  <c r="G18" i="7"/>
  <c r="D9" i="8" l="1"/>
  <c r="D9" i="7" s="1"/>
  <c r="E9" i="8"/>
  <c r="E9" i="7" s="1"/>
  <c r="A9" i="8"/>
  <c r="A9" i="7" s="1"/>
  <c r="B138" i="15" l="1"/>
  <c r="I73" i="7"/>
  <c r="D89" i="15"/>
  <c r="E89" i="15"/>
  <c r="G89" i="15"/>
  <c r="D90" i="15"/>
  <c r="E90" i="15"/>
  <c r="G90" i="15"/>
  <c r="D91" i="15"/>
  <c r="E91" i="15"/>
  <c r="G91" i="15"/>
  <c r="D78" i="15"/>
  <c r="E78" i="15"/>
  <c r="G78" i="15"/>
  <c r="D79" i="15"/>
  <c r="E79" i="15"/>
  <c r="G79" i="15"/>
  <c r="D80" i="15"/>
  <c r="E80" i="15"/>
  <c r="G80" i="15"/>
  <c r="D67" i="15"/>
  <c r="E67" i="15"/>
  <c r="G67" i="15"/>
  <c r="D68" i="15"/>
  <c r="E68" i="15"/>
  <c r="G68" i="15"/>
  <c r="D69" i="15"/>
  <c r="E69" i="15"/>
  <c r="G69" i="15"/>
  <c r="D56" i="15"/>
  <c r="E56" i="15"/>
  <c r="G56" i="15"/>
  <c r="D57" i="15"/>
  <c r="E57" i="15"/>
  <c r="G57" i="15"/>
  <c r="D58" i="15"/>
  <c r="E58" i="15"/>
  <c r="G58" i="15"/>
  <c r="D45" i="15"/>
  <c r="E45" i="15"/>
  <c r="G45" i="15"/>
  <c r="D46" i="15"/>
  <c r="E46" i="15"/>
  <c r="G46" i="15"/>
  <c r="D47" i="15"/>
  <c r="E47" i="15"/>
  <c r="G47" i="15"/>
  <c r="D34" i="15"/>
  <c r="E34" i="15"/>
  <c r="G34" i="15"/>
  <c r="D35" i="15"/>
  <c r="E35" i="15"/>
  <c r="G35" i="15"/>
  <c r="D36" i="15"/>
  <c r="E36" i="15"/>
  <c r="G36" i="15"/>
  <c r="C91" i="15"/>
  <c r="C90" i="15"/>
  <c r="C89" i="15"/>
  <c r="C80" i="15"/>
  <c r="C79" i="15"/>
  <c r="C78" i="15"/>
  <c r="C69" i="15"/>
  <c r="C68" i="15"/>
  <c r="C67" i="15"/>
  <c r="C58" i="15"/>
  <c r="C57" i="15"/>
  <c r="C56" i="15"/>
  <c r="C47" i="15"/>
  <c r="C46" i="15"/>
  <c r="C45" i="15"/>
  <c r="C36" i="15"/>
  <c r="C35" i="15"/>
  <c r="C34" i="15"/>
  <c r="J204" i="15"/>
  <c r="J205" i="15"/>
  <c r="I205" i="15"/>
  <c r="I204" i="15"/>
  <c r="J203" i="15"/>
  <c r="I203" i="15"/>
  <c r="P51" i="15" l="1"/>
  <c r="F89" i="15" s="1"/>
  <c r="P50" i="15"/>
  <c r="F78" i="15" s="1"/>
  <c r="P49" i="15"/>
  <c r="F67" i="15" s="1"/>
  <c r="P48" i="15"/>
  <c r="F56" i="15" s="1"/>
  <c r="P47" i="15"/>
  <c r="F45" i="15" s="1"/>
  <c r="P46" i="15"/>
  <c r="F34" i="15" s="1"/>
  <c r="P71" i="15" l="1"/>
  <c r="F91" i="15" s="1"/>
  <c r="P70" i="15"/>
  <c r="F80" i="15" s="1"/>
  <c r="P69" i="15"/>
  <c r="F69" i="15" s="1"/>
  <c r="P68" i="15"/>
  <c r="F58" i="15" s="1"/>
  <c r="P67" i="15"/>
  <c r="F47" i="15" s="1"/>
  <c r="P66" i="15"/>
  <c r="F36" i="15" s="1"/>
  <c r="P61" i="15"/>
  <c r="F90" i="15" s="1"/>
  <c r="P60" i="15"/>
  <c r="F79" i="15" s="1"/>
  <c r="P59" i="15"/>
  <c r="F68" i="15" s="1"/>
  <c r="P58" i="15"/>
  <c r="F57" i="15" s="1"/>
  <c r="P57" i="15"/>
  <c r="F46" i="15" s="1"/>
  <c r="P56" i="15"/>
  <c r="F35" i="15" s="1"/>
  <c r="Q23" i="8" l="1"/>
  <c r="A392" i="17" l="1"/>
  <c r="S378" i="17"/>
  <c r="S377" i="17"/>
  <c r="Q378" i="17"/>
  <c r="F386" i="17" s="1"/>
  <c r="Q377" i="17"/>
  <c r="A386" i="17" s="1"/>
  <c r="J412" i="17"/>
  <c r="I412" i="17"/>
  <c r="J411" i="17"/>
  <c r="I411" i="17"/>
  <c r="J410" i="17"/>
  <c r="I410" i="17"/>
  <c r="J409" i="17"/>
  <c r="I409" i="17"/>
  <c r="J408" i="17"/>
  <c r="I408" i="17"/>
  <c r="J407" i="17"/>
  <c r="I407" i="17"/>
  <c r="J406" i="17"/>
  <c r="I406" i="17"/>
  <c r="J405" i="17"/>
  <c r="I405" i="17"/>
  <c r="J404" i="17"/>
  <c r="I404" i="17"/>
  <c r="J403" i="17"/>
  <c r="I403" i="17"/>
  <c r="J402" i="17"/>
  <c r="I402" i="17"/>
  <c r="J401" i="17"/>
  <c r="I401" i="17"/>
  <c r="J400" i="17"/>
  <c r="I400" i="17"/>
  <c r="J399" i="17"/>
  <c r="I399" i="17"/>
  <c r="J398" i="17"/>
  <c r="I398" i="17"/>
  <c r="J397" i="17"/>
  <c r="I397" i="17"/>
  <c r="J396" i="17"/>
  <c r="I396" i="17"/>
  <c r="J395" i="17"/>
  <c r="I395" i="17"/>
  <c r="J394" i="17"/>
  <c r="I394" i="17"/>
  <c r="J393" i="17"/>
  <c r="I393" i="17"/>
  <c r="K386" i="17"/>
  <c r="S371" i="17"/>
  <c r="R371" i="17"/>
  <c r="Q371" i="17"/>
  <c r="L371" i="17"/>
  <c r="K371" i="17"/>
  <c r="J371" i="17"/>
  <c r="E371" i="17"/>
  <c r="D371" i="17"/>
  <c r="C371" i="17"/>
  <c r="S370" i="17"/>
  <c r="R370" i="17"/>
  <c r="Q370" i="17"/>
  <c r="L370" i="17"/>
  <c r="K370" i="17"/>
  <c r="J370" i="17"/>
  <c r="E370" i="17"/>
  <c r="D370" i="17"/>
  <c r="C370" i="17"/>
  <c r="S369" i="17"/>
  <c r="R369" i="17"/>
  <c r="Q369" i="17"/>
  <c r="L369" i="17"/>
  <c r="K369" i="17"/>
  <c r="J369" i="17"/>
  <c r="E369" i="17"/>
  <c r="D369" i="17"/>
  <c r="C369" i="17"/>
  <c r="S368" i="17"/>
  <c r="R368" i="17"/>
  <c r="Q368" i="17"/>
  <c r="L368" i="17"/>
  <c r="K368" i="17"/>
  <c r="J368" i="17"/>
  <c r="E368" i="17"/>
  <c r="D368" i="17"/>
  <c r="C368" i="17"/>
  <c r="S367" i="17"/>
  <c r="R367" i="17"/>
  <c r="Q367" i="17"/>
  <c r="L367" i="17"/>
  <c r="K367" i="17"/>
  <c r="J367" i="17"/>
  <c r="E367" i="17"/>
  <c r="D367" i="17"/>
  <c r="C367" i="17"/>
  <c r="S366" i="17"/>
  <c r="R366" i="17"/>
  <c r="Q366" i="17"/>
  <c r="L366" i="17"/>
  <c r="K366" i="17"/>
  <c r="J366" i="17"/>
  <c r="E366" i="17"/>
  <c r="D366" i="17"/>
  <c r="C366" i="17"/>
  <c r="S365" i="17"/>
  <c r="R365" i="17"/>
  <c r="Q365" i="17"/>
  <c r="L365" i="17"/>
  <c r="K365" i="17"/>
  <c r="J365" i="17"/>
  <c r="E365" i="17"/>
  <c r="D365" i="17"/>
  <c r="C365" i="17"/>
  <c r="S364" i="17"/>
  <c r="R364" i="17"/>
  <c r="Q364" i="17"/>
  <c r="L364" i="17"/>
  <c r="K364" i="17"/>
  <c r="J364" i="17"/>
  <c r="E364" i="17"/>
  <c r="D364" i="17"/>
  <c r="C364" i="17"/>
  <c r="S363" i="17"/>
  <c r="R363" i="17"/>
  <c r="Q363" i="17"/>
  <c r="L363" i="17"/>
  <c r="K363" i="17"/>
  <c r="J363" i="17"/>
  <c r="E363" i="17"/>
  <c r="D363" i="17"/>
  <c r="C363" i="17"/>
  <c r="S362" i="17"/>
  <c r="R362" i="17"/>
  <c r="Q362" i="17"/>
  <c r="L362" i="17"/>
  <c r="K362" i="17"/>
  <c r="J362" i="17"/>
  <c r="E362" i="17"/>
  <c r="D362" i="17"/>
  <c r="C362" i="17"/>
  <c r="S361" i="17"/>
  <c r="R361" i="17"/>
  <c r="Q361" i="17"/>
  <c r="L361" i="17"/>
  <c r="K361" i="17"/>
  <c r="J361" i="17"/>
  <c r="E361" i="17"/>
  <c r="D361" i="17"/>
  <c r="C361" i="17"/>
  <c r="S360" i="17"/>
  <c r="R360" i="17"/>
  <c r="Q360" i="17"/>
  <c r="L360" i="17"/>
  <c r="K360" i="17"/>
  <c r="J360" i="17"/>
  <c r="E360" i="17"/>
  <c r="D360" i="17"/>
  <c r="C360" i="17"/>
  <c r="S359" i="17"/>
  <c r="R359" i="17"/>
  <c r="Q359" i="17"/>
  <c r="L359" i="17"/>
  <c r="K359" i="17"/>
  <c r="J359" i="17"/>
  <c r="E359" i="17"/>
  <c r="D359" i="17"/>
  <c r="C359" i="17"/>
  <c r="S358" i="17"/>
  <c r="R358" i="17"/>
  <c r="Q358" i="17"/>
  <c r="L358" i="17"/>
  <c r="K358" i="17"/>
  <c r="J358" i="17"/>
  <c r="E358" i="17"/>
  <c r="D358" i="17"/>
  <c r="C358" i="17"/>
  <c r="S357" i="17"/>
  <c r="R357" i="17"/>
  <c r="Q357" i="17"/>
  <c r="L357" i="17"/>
  <c r="K357" i="17"/>
  <c r="J357" i="17"/>
  <c r="E357" i="17"/>
  <c r="D357" i="17"/>
  <c r="C357" i="17"/>
  <c r="S356" i="17"/>
  <c r="R356" i="17"/>
  <c r="Q356" i="17"/>
  <c r="L356" i="17"/>
  <c r="K356" i="17"/>
  <c r="J356" i="17"/>
  <c r="E356" i="17"/>
  <c r="D356" i="17"/>
  <c r="C356" i="17"/>
  <c r="S355" i="17"/>
  <c r="R355" i="17"/>
  <c r="Q355" i="17"/>
  <c r="L355" i="17"/>
  <c r="K355" i="17"/>
  <c r="J355" i="17"/>
  <c r="E355" i="17"/>
  <c r="D355" i="17"/>
  <c r="C355" i="17"/>
  <c r="S354" i="17"/>
  <c r="R354" i="17"/>
  <c r="Q354" i="17"/>
  <c r="L354" i="17"/>
  <c r="K354" i="17"/>
  <c r="J354" i="17"/>
  <c r="E354" i="17"/>
  <c r="D354" i="17"/>
  <c r="C354" i="17"/>
  <c r="S353" i="17"/>
  <c r="R353" i="17"/>
  <c r="Q353" i="17"/>
  <c r="L353" i="17"/>
  <c r="K353" i="17"/>
  <c r="J353" i="17"/>
  <c r="E353" i="17"/>
  <c r="D353" i="17"/>
  <c r="C353" i="17"/>
  <c r="S352" i="17"/>
  <c r="R352" i="17"/>
  <c r="Q352" i="17"/>
  <c r="L352" i="17"/>
  <c r="K352" i="17"/>
  <c r="J352" i="17"/>
  <c r="E352" i="17"/>
  <c r="D352" i="17"/>
  <c r="C352" i="17"/>
  <c r="S350" i="17"/>
  <c r="R350" i="17"/>
  <c r="Q350" i="17"/>
  <c r="L350" i="17"/>
  <c r="K350" i="17"/>
  <c r="J350" i="17"/>
  <c r="E350" i="17"/>
  <c r="D350" i="17"/>
  <c r="C350" i="17"/>
  <c r="S349" i="17"/>
  <c r="R349" i="17"/>
  <c r="Q349" i="17"/>
  <c r="L349" i="17"/>
  <c r="K349" i="17"/>
  <c r="J349" i="17"/>
  <c r="E349" i="17"/>
  <c r="D349" i="17"/>
  <c r="C349" i="17"/>
  <c r="S348" i="17"/>
  <c r="R348" i="17"/>
  <c r="Q348" i="17"/>
  <c r="L348" i="17"/>
  <c r="K348" i="17"/>
  <c r="J348" i="17"/>
  <c r="E348" i="17"/>
  <c r="D348" i="17"/>
  <c r="C348" i="17"/>
  <c r="S347" i="17"/>
  <c r="R347" i="17"/>
  <c r="Q347" i="17"/>
  <c r="L347" i="17"/>
  <c r="K347" i="17"/>
  <c r="J347" i="17"/>
  <c r="E347" i="17"/>
  <c r="D347" i="17"/>
  <c r="C347" i="17"/>
  <c r="S346" i="17"/>
  <c r="R346" i="17"/>
  <c r="Q346" i="17"/>
  <c r="L346" i="17"/>
  <c r="K346" i="17"/>
  <c r="J346" i="17"/>
  <c r="E346" i="17"/>
  <c r="D346" i="17"/>
  <c r="C346" i="17"/>
  <c r="S345" i="17"/>
  <c r="R345" i="17"/>
  <c r="Q345" i="17"/>
  <c r="L345" i="17"/>
  <c r="K345" i="17"/>
  <c r="J345" i="17"/>
  <c r="E345" i="17"/>
  <c r="D345" i="17"/>
  <c r="C345" i="17"/>
  <c r="S344" i="17"/>
  <c r="R344" i="17"/>
  <c r="Q344" i="17"/>
  <c r="L344" i="17"/>
  <c r="K344" i="17"/>
  <c r="J344" i="17"/>
  <c r="E344" i="17"/>
  <c r="D344" i="17"/>
  <c r="C344" i="17"/>
  <c r="S343" i="17"/>
  <c r="R343" i="17"/>
  <c r="Q343" i="17"/>
  <c r="L343" i="17"/>
  <c r="K343" i="17"/>
  <c r="J343" i="17"/>
  <c r="E343" i="17"/>
  <c r="D343" i="17"/>
  <c r="C343" i="17"/>
  <c r="S342" i="17"/>
  <c r="R342" i="17"/>
  <c r="Q342" i="17"/>
  <c r="L342" i="17"/>
  <c r="K342" i="17"/>
  <c r="J342" i="17"/>
  <c r="E342" i="17"/>
  <c r="D342" i="17"/>
  <c r="C342" i="17"/>
  <c r="S341" i="17"/>
  <c r="R341" i="17"/>
  <c r="Q341" i="17"/>
  <c r="L341" i="17"/>
  <c r="K341" i="17"/>
  <c r="J341" i="17"/>
  <c r="E341" i="17"/>
  <c r="D341" i="17"/>
  <c r="C341" i="17"/>
  <c r="S340" i="17"/>
  <c r="R340" i="17"/>
  <c r="Q340" i="17"/>
  <c r="L340" i="17"/>
  <c r="K340" i="17"/>
  <c r="J340" i="17"/>
  <c r="E340" i="17"/>
  <c r="D340" i="17"/>
  <c r="C340" i="17"/>
  <c r="S339" i="17"/>
  <c r="R339" i="17"/>
  <c r="Q339" i="17"/>
  <c r="L339" i="17"/>
  <c r="K339" i="17"/>
  <c r="J339" i="17"/>
  <c r="E339" i="17"/>
  <c r="D339" i="17"/>
  <c r="C339" i="17"/>
  <c r="S338" i="17"/>
  <c r="R338" i="17"/>
  <c r="Q338" i="17"/>
  <c r="L338" i="17"/>
  <c r="K338" i="17"/>
  <c r="J338" i="17"/>
  <c r="E338" i="17"/>
  <c r="D338" i="17"/>
  <c r="C338" i="17"/>
  <c r="S337" i="17"/>
  <c r="R337" i="17"/>
  <c r="Q337" i="17"/>
  <c r="L337" i="17"/>
  <c r="K337" i="17"/>
  <c r="J337" i="17"/>
  <c r="E337" i="17"/>
  <c r="D337" i="17"/>
  <c r="C337" i="17"/>
  <c r="S336" i="17"/>
  <c r="R336" i="17"/>
  <c r="Q336" i="17"/>
  <c r="L336" i="17"/>
  <c r="K336" i="17"/>
  <c r="J336" i="17"/>
  <c r="E336" i="17"/>
  <c r="D336" i="17"/>
  <c r="C336" i="17"/>
  <c r="S335" i="17"/>
  <c r="R335" i="17"/>
  <c r="Q335" i="17"/>
  <c r="L335" i="17"/>
  <c r="K335" i="17"/>
  <c r="J335" i="17"/>
  <c r="E335" i="17"/>
  <c r="D335" i="17"/>
  <c r="C335" i="17"/>
  <c r="S334" i="17"/>
  <c r="R334" i="17"/>
  <c r="Q334" i="17"/>
  <c r="L334" i="17"/>
  <c r="K334" i="17"/>
  <c r="J334" i="17"/>
  <c r="E334" i="17"/>
  <c r="D334" i="17"/>
  <c r="C334" i="17"/>
  <c r="S333" i="17"/>
  <c r="R333" i="17"/>
  <c r="Q333" i="17"/>
  <c r="L333" i="17"/>
  <c r="K333" i="17"/>
  <c r="J333" i="17"/>
  <c r="E333" i="17"/>
  <c r="D333" i="17"/>
  <c r="C333" i="17"/>
  <c r="S332" i="17"/>
  <c r="R332" i="17"/>
  <c r="Q332" i="17"/>
  <c r="L332" i="17"/>
  <c r="K332" i="17"/>
  <c r="J332" i="17"/>
  <c r="E332" i="17"/>
  <c r="D332" i="17"/>
  <c r="C332" i="17"/>
  <c r="S331" i="17"/>
  <c r="R331" i="17"/>
  <c r="Q331" i="17"/>
  <c r="L331" i="17"/>
  <c r="K331" i="17"/>
  <c r="J331" i="17"/>
  <c r="E331" i="17"/>
  <c r="D331" i="17"/>
  <c r="C331" i="17"/>
  <c r="S329" i="17"/>
  <c r="R329" i="17"/>
  <c r="Q329" i="17"/>
  <c r="L329" i="17"/>
  <c r="K329" i="17"/>
  <c r="J329" i="17"/>
  <c r="E329" i="17"/>
  <c r="D329" i="17"/>
  <c r="C329" i="17"/>
  <c r="S328" i="17"/>
  <c r="R328" i="17"/>
  <c r="Q328" i="17"/>
  <c r="L328" i="17"/>
  <c r="K328" i="17"/>
  <c r="J328" i="17"/>
  <c r="E328" i="17"/>
  <c r="D328" i="17"/>
  <c r="C328" i="17"/>
  <c r="S327" i="17"/>
  <c r="R327" i="17"/>
  <c r="Q327" i="17"/>
  <c r="L327" i="17"/>
  <c r="K327" i="17"/>
  <c r="J327" i="17"/>
  <c r="E327" i="17"/>
  <c r="D327" i="17"/>
  <c r="C327" i="17"/>
  <c r="S326" i="17"/>
  <c r="R326" i="17"/>
  <c r="Q326" i="17"/>
  <c r="L326" i="17"/>
  <c r="K326" i="17"/>
  <c r="J326" i="17"/>
  <c r="E326" i="17"/>
  <c r="D326" i="17"/>
  <c r="C326" i="17"/>
  <c r="S325" i="17"/>
  <c r="R325" i="17"/>
  <c r="Q325" i="17"/>
  <c r="L325" i="17"/>
  <c r="K325" i="17"/>
  <c r="J325" i="17"/>
  <c r="E325" i="17"/>
  <c r="D325" i="17"/>
  <c r="C325" i="17"/>
  <c r="S324" i="17"/>
  <c r="R324" i="17"/>
  <c r="Q324" i="17"/>
  <c r="L324" i="17"/>
  <c r="K324" i="17"/>
  <c r="J324" i="17"/>
  <c r="E324" i="17"/>
  <c r="D324" i="17"/>
  <c r="C324" i="17"/>
  <c r="S323" i="17"/>
  <c r="R323" i="17"/>
  <c r="Q323" i="17"/>
  <c r="L323" i="17"/>
  <c r="K323" i="17"/>
  <c r="J323" i="17"/>
  <c r="E323" i="17"/>
  <c r="D323" i="17"/>
  <c r="C323" i="17"/>
  <c r="S322" i="17"/>
  <c r="R322" i="17"/>
  <c r="Q322" i="17"/>
  <c r="L322" i="17"/>
  <c r="K322" i="17"/>
  <c r="J322" i="17"/>
  <c r="E322" i="17"/>
  <c r="D322" i="17"/>
  <c r="C322" i="17"/>
  <c r="S321" i="17"/>
  <c r="R321" i="17"/>
  <c r="Q321" i="17"/>
  <c r="L321" i="17"/>
  <c r="K321" i="17"/>
  <c r="J321" i="17"/>
  <c r="E321" i="17"/>
  <c r="D321" i="17"/>
  <c r="C321" i="17"/>
  <c r="S320" i="17"/>
  <c r="R320" i="17"/>
  <c r="Q320" i="17"/>
  <c r="L320" i="17"/>
  <c r="K320" i="17"/>
  <c r="J320" i="17"/>
  <c r="E320" i="17"/>
  <c r="D320" i="17"/>
  <c r="C320" i="17"/>
  <c r="S319" i="17"/>
  <c r="R319" i="17"/>
  <c r="Q319" i="17"/>
  <c r="L319" i="17"/>
  <c r="K319" i="17"/>
  <c r="J319" i="17"/>
  <c r="E319" i="17"/>
  <c r="D319" i="17"/>
  <c r="C319" i="17"/>
  <c r="S318" i="17"/>
  <c r="R318" i="17"/>
  <c r="Q318" i="17"/>
  <c r="L318" i="17"/>
  <c r="K318" i="17"/>
  <c r="J318" i="17"/>
  <c r="E318" i="17"/>
  <c r="D318" i="17"/>
  <c r="C318" i="17"/>
  <c r="S317" i="17"/>
  <c r="R317" i="17"/>
  <c r="Q317" i="17"/>
  <c r="L317" i="17"/>
  <c r="K317" i="17"/>
  <c r="J317" i="17"/>
  <c r="E317" i="17"/>
  <c r="D317" i="17"/>
  <c r="C317" i="17"/>
  <c r="S316" i="17"/>
  <c r="R316" i="17"/>
  <c r="Q316" i="17"/>
  <c r="L316" i="17"/>
  <c r="K316" i="17"/>
  <c r="J316" i="17"/>
  <c r="E316" i="17"/>
  <c r="D316" i="17"/>
  <c r="C316" i="17"/>
  <c r="S315" i="17"/>
  <c r="R315" i="17"/>
  <c r="Q315" i="17"/>
  <c r="L315" i="17"/>
  <c r="K315" i="17"/>
  <c r="J315" i="17"/>
  <c r="E315" i="17"/>
  <c r="D315" i="17"/>
  <c r="C315" i="17"/>
  <c r="S314" i="17"/>
  <c r="R314" i="17"/>
  <c r="Q314" i="17"/>
  <c r="L314" i="17"/>
  <c r="K314" i="17"/>
  <c r="J314" i="17"/>
  <c r="E314" i="17"/>
  <c r="D314" i="17"/>
  <c r="C314" i="17"/>
  <c r="S313" i="17"/>
  <c r="R313" i="17"/>
  <c r="Q313" i="17"/>
  <c r="L313" i="17"/>
  <c r="K313" i="17"/>
  <c r="J313" i="17"/>
  <c r="E313" i="17"/>
  <c r="D313" i="17"/>
  <c r="C313" i="17"/>
  <c r="S312" i="17"/>
  <c r="R312" i="17"/>
  <c r="Q312" i="17"/>
  <c r="L312" i="17"/>
  <c r="K312" i="17"/>
  <c r="J312" i="17"/>
  <c r="E312" i="17"/>
  <c r="D312" i="17"/>
  <c r="C312" i="17"/>
  <c r="S311" i="17"/>
  <c r="R311" i="17"/>
  <c r="Q311" i="17"/>
  <c r="L311" i="17"/>
  <c r="K311" i="17"/>
  <c r="J311" i="17"/>
  <c r="E311" i="17"/>
  <c r="D311" i="17"/>
  <c r="C311" i="17"/>
  <c r="S310" i="17"/>
  <c r="R310" i="17"/>
  <c r="Q310" i="17"/>
  <c r="L310" i="17"/>
  <c r="K310" i="17"/>
  <c r="J310" i="17"/>
  <c r="E310" i="17"/>
  <c r="D310" i="17"/>
  <c r="C310" i="17"/>
  <c r="S308" i="17"/>
  <c r="R308" i="17"/>
  <c r="Q308" i="17"/>
  <c r="L308" i="17"/>
  <c r="K308" i="17"/>
  <c r="J308" i="17"/>
  <c r="E308" i="17"/>
  <c r="D308" i="17"/>
  <c r="C308" i="17"/>
  <c r="S307" i="17"/>
  <c r="R307" i="17"/>
  <c r="Q307" i="17"/>
  <c r="L307" i="17"/>
  <c r="K307" i="17"/>
  <c r="J307" i="17"/>
  <c r="E307" i="17"/>
  <c r="D307" i="17"/>
  <c r="C307" i="17"/>
  <c r="S306" i="17"/>
  <c r="R306" i="17"/>
  <c r="Q306" i="17"/>
  <c r="L306" i="17"/>
  <c r="K306" i="17"/>
  <c r="J306" i="17"/>
  <c r="E306" i="17"/>
  <c r="D306" i="17"/>
  <c r="C306" i="17"/>
  <c r="S305" i="17"/>
  <c r="R305" i="17"/>
  <c r="Q305" i="17"/>
  <c r="L305" i="17"/>
  <c r="K305" i="17"/>
  <c r="J305" i="17"/>
  <c r="E305" i="17"/>
  <c r="D305" i="17"/>
  <c r="C305" i="17"/>
  <c r="S304" i="17"/>
  <c r="R304" i="17"/>
  <c r="Q304" i="17"/>
  <c r="L304" i="17"/>
  <c r="K304" i="17"/>
  <c r="J304" i="17"/>
  <c r="E304" i="17"/>
  <c r="D304" i="17"/>
  <c r="C304" i="17"/>
  <c r="S303" i="17"/>
  <c r="R303" i="17"/>
  <c r="Q303" i="17"/>
  <c r="L303" i="17"/>
  <c r="K303" i="17"/>
  <c r="J303" i="17"/>
  <c r="E303" i="17"/>
  <c r="D303" i="17"/>
  <c r="C303" i="17"/>
  <c r="S302" i="17"/>
  <c r="R302" i="17"/>
  <c r="Q302" i="17"/>
  <c r="L302" i="17"/>
  <c r="K302" i="17"/>
  <c r="J302" i="17"/>
  <c r="E302" i="17"/>
  <c r="D302" i="17"/>
  <c r="C302" i="17"/>
  <c r="S301" i="17"/>
  <c r="R301" i="17"/>
  <c r="Q301" i="17"/>
  <c r="L301" i="17"/>
  <c r="K301" i="17"/>
  <c r="J301" i="17"/>
  <c r="E301" i="17"/>
  <c r="D301" i="17"/>
  <c r="C301" i="17"/>
  <c r="S300" i="17"/>
  <c r="R300" i="17"/>
  <c r="Q300" i="17"/>
  <c r="L300" i="17"/>
  <c r="K300" i="17"/>
  <c r="J300" i="17"/>
  <c r="E300" i="17"/>
  <c r="D300" i="17"/>
  <c r="C300" i="17"/>
  <c r="S299" i="17"/>
  <c r="R299" i="17"/>
  <c r="Q299" i="17"/>
  <c r="L299" i="17"/>
  <c r="K299" i="17"/>
  <c r="J299" i="17"/>
  <c r="E299" i="17"/>
  <c r="D299" i="17"/>
  <c r="C299" i="17"/>
  <c r="S298" i="17"/>
  <c r="R298" i="17"/>
  <c r="Q298" i="17"/>
  <c r="L298" i="17"/>
  <c r="K298" i="17"/>
  <c r="J298" i="17"/>
  <c r="E298" i="17"/>
  <c r="D298" i="17"/>
  <c r="C298" i="17"/>
  <c r="S297" i="17"/>
  <c r="R297" i="17"/>
  <c r="Q297" i="17"/>
  <c r="L297" i="17"/>
  <c r="K297" i="17"/>
  <c r="J297" i="17"/>
  <c r="E297" i="17"/>
  <c r="D297" i="17"/>
  <c r="C297" i="17"/>
  <c r="S296" i="17"/>
  <c r="R296" i="17"/>
  <c r="Q296" i="17"/>
  <c r="L296" i="17"/>
  <c r="K296" i="17"/>
  <c r="J296" i="17"/>
  <c r="E296" i="17"/>
  <c r="D296" i="17"/>
  <c r="C296" i="17"/>
  <c r="S295" i="17"/>
  <c r="R295" i="17"/>
  <c r="Q295" i="17"/>
  <c r="L295" i="17"/>
  <c r="K295" i="17"/>
  <c r="J295" i="17"/>
  <c r="E295" i="17"/>
  <c r="D295" i="17"/>
  <c r="C295" i="17"/>
  <c r="S294" i="17"/>
  <c r="R294" i="17"/>
  <c r="Q294" i="17"/>
  <c r="L294" i="17"/>
  <c r="K294" i="17"/>
  <c r="J294" i="17"/>
  <c r="E294" i="17"/>
  <c r="D294" i="17"/>
  <c r="C294" i="17"/>
  <c r="S293" i="17"/>
  <c r="R293" i="17"/>
  <c r="Q293" i="17"/>
  <c r="L293" i="17"/>
  <c r="K293" i="17"/>
  <c r="J293" i="17"/>
  <c r="E293" i="17"/>
  <c r="D293" i="17"/>
  <c r="C293" i="17"/>
  <c r="W292" i="17"/>
  <c r="S292" i="17"/>
  <c r="R292" i="17"/>
  <c r="Q292" i="17"/>
  <c r="L292" i="17"/>
  <c r="K292" i="17"/>
  <c r="J292" i="17"/>
  <c r="E292" i="17"/>
  <c r="D292" i="17"/>
  <c r="C292" i="17"/>
  <c r="W291" i="17"/>
  <c r="S291" i="17"/>
  <c r="R291" i="17"/>
  <c r="Q291" i="17"/>
  <c r="L291" i="17"/>
  <c r="K291" i="17"/>
  <c r="J291" i="17"/>
  <c r="E291" i="17"/>
  <c r="D291" i="17"/>
  <c r="C291" i="17"/>
  <c r="W290" i="17"/>
  <c r="S290" i="17"/>
  <c r="R290" i="17"/>
  <c r="Q290" i="17"/>
  <c r="L290" i="17"/>
  <c r="K290" i="17"/>
  <c r="J290" i="17"/>
  <c r="E290" i="17"/>
  <c r="D290" i="17"/>
  <c r="C290" i="17"/>
  <c r="W289" i="17"/>
  <c r="S289" i="17"/>
  <c r="R289" i="17"/>
  <c r="Q289" i="17"/>
  <c r="L289" i="17"/>
  <c r="K289" i="17"/>
  <c r="J289" i="17"/>
  <c r="E289" i="17"/>
  <c r="D289" i="17"/>
  <c r="C289" i="17"/>
  <c r="W288" i="17"/>
  <c r="W287" i="17"/>
  <c r="S287" i="17"/>
  <c r="R287" i="17"/>
  <c r="Q287" i="17"/>
  <c r="L287" i="17"/>
  <c r="K287" i="17"/>
  <c r="J287" i="17"/>
  <c r="E287" i="17"/>
  <c r="D287" i="17"/>
  <c r="C287" i="17"/>
  <c r="W286" i="17"/>
  <c r="S286" i="17"/>
  <c r="R286" i="17"/>
  <c r="Q286" i="17"/>
  <c r="L286" i="17"/>
  <c r="K286" i="17"/>
  <c r="J286" i="17"/>
  <c r="E286" i="17"/>
  <c r="D286" i="17"/>
  <c r="C286" i="17"/>
  <c r="W285" i="17"/>
  <c r="S285" i="17"/>
  <c r="R285" i="17"/>
  <c r="Q285" i="17"/>
  <c r="L285" i="17"/>
  <c r="K285" i="17"/>
  <c r="J285" i="17"/>
  <c r="E285" i="17"/>
  <c r="D285" i="17"/>
  <c r="C285" i="17"/>
  <c r="W284" i="17"/>
  <c r="S284" i="17"/>
  <c r="R284" i="17"/>
  <c r="Q284" i="17"/>
  <c r="L284" i="17"/>
  <c r="K284" i="17"/>
  <c r="J284" i="17"/>
  <c r="E284" i="17"/>
  <c r="D284" i="17"/>
  <c r="C284" i="17"/>
  <c r="W283" i="17"/>
  <c r="S283" i="17"/>
  <c r="R283" i="17"/>
  <c r="Q283" i="17"/>
  <c r="L283" i="17"/>
  <c r="K283" i="17"/>
  <c r="J283" i="17"/>
  <c r="E283" i="17"/>
  <c r="D283" i="17"/>
  <c r="C283" i="17"/>
  <c r="W282" i="17"/>
  <c r="S282" i="17"/>
  <c r="R282" i="17"/>
  <c r="Q282" i="17"/>
  <c r="L282" i="17"/>
  <c r="K282" i="17"/>
  <c r="J282" i="17"/>
  <c r="E282" i="17"/>
  <c r="D282" i="17"/>
  <c r="C282" i="17"/>
  <c r="W281" i="17"/>
  <c r="S281" i="17"/>
  <c r="R281" i="17"/>
  <c r="Q281" i="17"/>
  <c r="L281" i="17"/>
  <c r="K281" i="17"/>
  <c r="J281" i="17"/>
  <c r="E281" i="17"/>
  <c r="D281" i="17"/>
  <c r="C281" i="17"/>
  <c r="W280" i="17"/>
  <c r="S280" i="17"/>
  <c r="R280" i="17"/>
  <c r="Q280" i="17"/>
  <c r="L280" i="17"/>
  <c r="K280" i="17"/>
  <c r="J280" i="17"/>
  <c r="E280" i="17"/>
  <c r="D280" i="17"/>
  <c r="C280" i="17"/>
  <c r="W279" i="17"/>
  <c r="S279" i="17"/>
  <c r="R279" i="17"/>
  <c r="Q279" i="17"/>
  <c r="L279" i="17"/>
  <c r="K279" i="17"/>
  <c r="J279" i="17"/>
  <c r="E279" i="17"/>
  <c r="D279" i="17"/>
  <c r="C279" i="17"/>
  <c r="W278" i="17"/>
  <c r="S278" i="17"/>
  <c r="R278" i="17"/>
  <c r="Q278" i="17"/>
  <c r="L278" i="17"/>
  <c r="K278" i="17"/>
  <c r="J278" i="17"/>
  <c r="E278" i="17"/>
  <c r="D278" i="17"/>
  <c r="C278" i="17"/>
  <c r="W277" i="17"/>
  <c r="S277" i="17"/>
  <c r="R277" i="17"/>
  <c r="Q277" i="17"/>
  <c r="L277" i="17"/>
  <c r="K277" i="17"/>
  <c r="J277" i="17"/>
  <c r="E277" i="17"/>
  <c r="D277" i="17"/>
  <c r="C277" i="17"/>
  <c r="W276" i="17"/>
  <c r="S276" i="17"/>
  <c r="R276" i="17"/>
  <c r="Q276" i="17"/>
  <c r="L276" i="17"/>
  <c r="K276" i="17"/>
  <c r="J276" i="17"/>
  <c r="E276" i="17"/>
  <c r="D276" i="17"/>
  <c r="C276" i="17"/>
  <c r="W275" i="17"/>
  <c r="S275" i="17"/>
  <c r="R275" i="17"/>
  <c r="Q275" i="17"/>
  <c r="L275" i="17"/>
  <c r="K275" i="17"/>
  <c r="J275" i="17"/>
  <c r="E275" i="17"/>
  <c r="D275" i="17"/>
  <c r="C275" i="17"/>
  <c r="W274" i="17"/>
  <c r="S274" i="17"/>
  <c r="R274" i="17"/>
  <c r="Q274" i="17"/>
  <c r="L274" i="17"/>
  <c r="K274" i="17"/>
  <c r="J274" i="17"/>
  <c r="E274" i="17"/>
  <c r="D274" i="17"/>
  <c r="C274" i="17"/>
  <c r="W273" i="17"/>
  <c r="S273" i="17"/>
  <c r="R273" i="17"/>
  <c r="Q273" i="17"/>
  <c r="L273" i="17"/>
  <c r="K273" i="17"/>
  <c r="J273" i="17"/>
  <c r="E273" i="17"/>
  <c r="D273" i="17"/>
  <c r="C273" i="17"/>
  <c r="S272" i="17"/>
  <c r="R272" i="17"/>
  <c r="Q272" i="17"/>
  <c r="L272" i="17"/>
  <c r="K272" i="17"/>
  <c r="J272" i="17"/>
  <c r="E272" i="17"/>
  <c r="D272" i="17"/>
  <c r="C272" i="17"/>
  <c r="S271" i="17"/>
  <c r="R271" i="17"/>
  <c r="Q271" i="17"/>
  <c r="L271" i="17"/>
  <c r="K271" i="17"/>
  <c r="J271" i="17"/>
  <c r="E271" i="17"/>
  <c r="D271" i="17"/>
  <c r="C271" i="17"/>
  <c r="S270" i="17"/>
  <c r="R270" i="17"/>
  <c r="Q270" i="17"/>
  <c r="L270" i="17"/>
  <c r="K270" i="17"/>
  <c r="J270" i="17"/>
  <c r="E270" i="17"/>
  <c r="D270" i="17"/>
  <c r="C270" i="17"/>
  <c r="S269" i="17"/>
  <c r="R269" i="17"/>
  <c r="Q269" i="17"/>
  <c r="L269" i="17"/>
  <c r="K269" i="17"/>
  <c r="J269" i="17"/>
  <c r="E269" i="17"/>
  <c r="D269" i="17"/>
  <c r="C269" i="17"/>
  <c r="W268" i="17"/>
  <c r="S268" i="17"/>
  <c r="R268" i="17"/>
  <c r="Q268" i="17"/>
  <c r="L268" i="17"/>
  <c r="K268" i="17"/>
  <c r="J268" i="17"/>
  <c r="E268" i="17"/>
  <c r="D268" i="17"/>
  <c r="C268" i="17"/>
  <c r="W267" i="17"/>
  <c r="W266" i="17"/>
  <c r="S266" i="17"/>
  <c r="R266" i="17"/>
  <c r="Q266" i="17"/>
  <c r="L266" i="17"/>
  <c r="K266" i="17"/>
  <c r="J266" i="17"/>
  <c r="E266" i="17"/>
  <c r="D266" i="17"/>
  <c r="C266" i="17"/>
  <c r="W265" i="17"/>
  <c r="S265" i="17"/>
  <c r="R265" i="17"/>
  <c r="Q265" i="17"/>
  <c r="L265" i="17"/>
  <c r="K265" i="17"/>
  <c r="J265" i="17"/>
  <c r="E265" i="17"/>
  <c r="D265" i="17"/>
  <c r="C265" i="17"/>
  <c r="W264" i="17"/>
  <c r="S264" i="17"/>
  <c r="R264" i="17"/>
  <c r="Q264" i="17"/>
  <c r="L264" i="17"/>
  <c r="K264" i="17"/>
  <c r="J264" i="17"/>
  <c r="E264" i="17"/>
  <c r="D264" i="17"/>
  <c r="C264" i="17"/>
  <c r="W263" i="17"/>
  <c r="S263" i="17"/>
  <c r="R263" i="17"/>
  <c r="Q263" i="17"/>
  <c r="L263" i="17"/>
  <c r="K263" i="17"/>
  <c r="J263" i="17"/>
  <c r="E263" i="17"/>
  <c r="D263" i="17"/>
  <c r="C263" i="17"/>
  <c r="W262" i="17"/>
  <c r="S262" i="17"/>
  <c r="R262" i="17"/>
  <c r="Q262" i="17"/>
  <c r="L262" i="17"/>
  <c r="K262" i="17"/>
  <c r="J262" i="17"/>
  <c r="E262" i="17"/>
  <c r="D262" i="17"/>
  <c r="C262" i="17"/>
  <c r="W261" i="17"/>
  <c r="S261" i="17"/>
  <c r="R261" i="17"/>
  <c r="Q261" i="17"/>
  <c r="L261" i="17"/>
  <c r="K261" i="17"/>
  <c r="J261" i="17"/>
  <c r="E261" i="17"/>
  <c r="D261" i="17"/>
  <c r="C261" i="17"/>
  <c r="W260" i="17"/>
  <c r="S260" i="17"/>
  <c r="R260" i="17"/>
  <c r="Q260" i="17"/>
  <c r="L260" i="17"/>
  <c r="K260" i="17"/>
  <c r="J260" i="17"/>
  <c r="E260" i="17"/>
  <c r="D260" i="17"/>
  <c r="C260" i="17"/>
  <c r="W259" i="17"/>
  <c r="S259" i="17"/>
  <c r="R259" i="17"/>
  <c r="Q259" i="17"/>
  <c r="L259" i="17"/>
  <c r="K259" i="17"/>
  <c r="J259" i="17"/>
  <c r="E259" i="17"/>
  <c r="D259" i="17"/>
  <c r="C259" i="17"/>
  <c r="W258" i="17"/>
  <c r="S258" i="17"/>
  <c r="R258" i="17"/>
  <c r="Q258" i="17"/>
  <c r="L258" i="17"/>
  <c r="K258" i="17"/>
  <c r="J258" i="17"/>
  <c r="E258" i="17"/>
  <c r="D258" i="17"/>
  <c r="C258" i="17"/>
  <c r="W257" i="17"/>
  <c r="S257" i="17"/>
  <c r="R257" i="17"/>
  <c r="Q257" i="17"/>
  <c r="L257" i="17"/>
  <c r="K257" i="17"/>
  <c r="J257" i="17"/>
  <c r="E257" i="17"/>
  <c r="D257" i="17"/>
  <c r="C257" i="17"/>
  <c r="W256" i="17"/>
  <c r="S256" i="17"/>
  <c r="R256" i="17"/>
  <c r="Q256" i="17"/>
  <c r="L256" i="17"/>
  <c r="K256" i="17"/>
  <c r="J256" i="17"/>
  <c r="E256" i="17"/>
  <c r="D256" i="17"/>
  <c r="C256" i="17"/>
  <c r="W255" i="17"/>
  <c r="S255" i="17"/>
  <c r="R255" i="17"/>
  <c r="Q255" i="17"/>
  <c r="L255" i="17"/>
  <c r="K255" i="17"/>
  <c r="J255" i="17"/>
  <c r="E255" i="17"/>
  <c r="D255" i="17"/>
  <c r="C255" i="17"/>
  <c r="W254" i="17"/>
  <c r="S254" i="17"/>
  <c r="R254" i="17"/>
  <c r="Q254" i="17"/>
  <c r="L254" i="17"/>
  <c r="K254" i="17"/>
  <c r="J254" i="17"/>
  <c r="E254" i="17"/>
  <c r="D254" i="17"/>
  <c r="C254" i="17"/>
  <c r="W253" i="17"/>
  <c r="S253" i="17"/>
  <c r="R253" i="17"/>
  <c r="Q253" i="17"/>
  <c r="L253" i="17"/>
  <c r="K253" i="17"/>
  <c r="J253" i="17"/>
  <c r="E253" i="17"/>
  <c r="D253" i="17"/>
  <c r="C253" i="17"/>
  <c r="W252" i="17"/>
  <c r="S252" i="17"/>
  <c r="R252" i="17"/>
  <c r="Q252" i="17"/>
  <c r="L252" i="17"/>
  <c r="K252" i="17"/>
  <c r="J252" i="17"/>
  <c r="E252" i="17"/>
  <c r="D252" i="17"/>
  <c r="C252" i="17"/>
  <c r="W251" i="17"/>
  <c r="S251" i="17"/>
  <c r="R251" i="17"/>
  <c r="Q251" i="17"/>
  <c r="L251" i="17"/>
  <c r="K251" i="17"/>
  <c r="J251" i="17"/>
  <c r="E251" i="17"/>
  <c r="D251" i="17"/>
  <c r="C251" i="17"/>
  <c r="W250" i="17"/>
  <c r="S250" i="17"/>
  <c r="R250" i="17"/>
  <c r="Q250" i="17"/>
  <c r="L250" i="17"/>
  <c r="K250" i="17"/>
  <c r="J250" i="17"/>
  <c r="E250" i="17"/>
  <c r="D250" i="17"/>
  <c r="C250" i="17"/>
  <c r="W249" i="17"/>
  <c r="S249" i="17"/>
  <c r="R249" i="17"/>
  <c r="Q249" i="17"/>
  <c r="L249" i="17"/>
  <c r="K249" i="17"/>
  <c r="J249" i="17"/>
  <c r="E249" i="17"/>
  <c r="D249" i="17"/>
  <c r="C249" i="17"/>
  <c r="S248" i="17"/>
  <c r="R248" i="17"/>
  <c r="Q248" i="17"/>
  <c r="L248" i="17"/>
  <c r="K248" i="17"/>
  <c r="J248" i="17"/>
  <c r="E248" i="17"/>
  <c r="D248" i="17"/>
  <c r="C248" i="17"/>
  <c r="S247" i="17"/>
  <c r="R247" i="17"/>
  <c r="Q247" i="17"/>
  <c r="L247" i="17"/>
  <c r="K247" i="17"/>
  <c r="J247" i="17"/>
  <c r="E247" i="17"/>
  <c r="D247" i="17"/>
  <c r="C247" i="17"/>
  <c r="S245" i="17"/>
  <c r="R245" i="17"/>
  <c r="Q245" i="17"/>
  <c r="L245" i="17"/>
  <c r="K245" i="17"/>
  <c r="J245" i="17"/>
  <c r="E245" i="17"/>
  <c r="D245" i="17"/>
  <c r="C245" i="17"/>
  <c r="W244" i="17"/>
  <c r="S244" i="17"/>
  <c r="R244" i="17"/>
  <c r="Q244" i="17"/>
  <c r="L244" i="17"/>
  <c r="K244" i="17"/>
  <c r="J244" i="17"/>
  <c r="E244" i="17"/>
  <c r="D244" i="17"/>
  <c r="C244" i="17"/>
  <c r="W243" i="17"/>
  <c r="S243" i="17"/>
  <c r="R243" i="17"/>
  <c r="Q243" i="17"/>
  <c r="L243" i="17"/>
  <c r="K243" i="17"/>
  <c r="J243" i="17"/>
  <c r="E243" i="17"/>
  <c r="D243" i="17"/>
  <c r="C243" i="17"/>
  <c r="W242" i="17"/>
  <c r="S242" i="17"/>
  <c r="R242" i="17"/>
  <c r="Q242" i="17"/>
  <c r="L242" i="17"/>
  <c r="K242" i="17"/>
  <c r="J242" i="17"/>
  <c r="E242" i="17"/>
  <c r="D242" i="17"/>
  <c r="C242" i="17"/>
  <c r="W241" i="17"/>
  <c r="S241" i="17"/>
  <c r="R241" i="17"/>
  <c r="Q241" i="17"/>
  <c r="L241" i="17"/>
  <c r="K241" i="17"/>
  <c r="J241" i="17"/>
  <c r="E241" i="17"/>
  <c r="D241" i="17"/>
  <c r="C241" i="17"/>
  <c r="W240" i="17"/>
  <c r="S240" i="17"/>
  <c r="R240" i="17"/>
  <c r="Q240" i="17"/>
  <c r="L240" i="17"/>
  <c r="K240" i="17"/>
  <c r="J240" i="17"/>
  <c r="E240" i="17"/>
  <c r="D240" i="17"/>
  <c r="C240" i="17"/>
  <c r="W239" i="17"/>
  <c r="S239" i="17"/>
  <c r="R239" i="17"/>
  <c r="Q239" i="17"/>
  <c r="L239" i="17"/>
  <c r="K239" i="17"/>
  <c r="J239" i="17"/>
  <c r="E239" i="17"/>
  <c r="D239" i="17"/>
  <c r="C239" i="17"/>
  <c r="W238" i="17"/>
  <c r="S238" i="17"/>
  <c r="R238" i="17"/>
  <c r="Q238" i="17"/>
  <c r="L238" i="17"/>
  <c r="K238" i="17"/>
  <c r="J238" i="17"/>
  <c r="E238" i="17"/>
  <c r="D238" i="17"/>
  <c r="C238" i="17"/>
  <c r="W237" i="17"/>
  <c r="S237" i="17"/>
  <c r="R237" i="17"/>
  <c r="Q237" i="17"/>
  <c r="L237" i="17"/>
  <c r="K237" i="17"/>
  <c r="J237" i="17"/>
  <c r="E237" i="17"/>
  <c r="D237" i="17"/>
  <c r="C237" i="17"/>
  <c r="W236" i="17"/>
  <c r="S236" i="17"/>
  <c r="R236" i="17"/>
  <c r="Q236" i="17"/>
  <c r="L236" i="17"/>
  <c r="K236" i="17"/>
  <c r="J236" i="17"/>
  <c r="E236" i="17"/>
  <c r="D236" i="17"/>
  <c r="C236" i="17"/>
  <c r="W235" i="17"/>
  <c r="S235" i="17"/>
  <c r="R235" i="17"/>
  <c r="Q235" i="17"/>
  <c r="L235" i="17"/>
  <c r="K235" i="17"/>
  <c r="J235" i="17"/>
  <c r="E235" i="17"/>
  <c r="D235" i="17"/>
  <c r="C235" i="17"/>
  <c r="W234" i="17"/>
  <c r="S234" i="17"/>
  <c r="R234" i="17"/>
  <c r="Q234" i="17"/>
  <c r="L234" i="17"/>
  <c r="K234" i="17"/>
  <c r="J234" i="17"/>
  <c r="E234" i="17"/>
  <c r="D234" i="17"/>
  <c r="C234" i="17"/>
  <c r="W233" i="17"/>
  <c r="S233" i="17"/>
  <c r="R233" i="17"/>
  <c r="Q233" i="17"/>
  <c r="L233" i="17"/>
  <c r="K233" i="17"/>
  <c r="J233" i="17"/>
  <c r="E233" i="17"/>
  <c r="D233" i="17"/>
  <c r="C233" i="17"/>
  <c r="W232" i="17"/>
  <c r="S232" i="17"/>
  <c r="R232" i="17"/>
  <c r="Q232" i="17"/>
  <c r="L232" i="17"/>
  <c r="K232" i="17"/>
  <c r="J232" i="17"/>
  <c r="E232" i="17"/>
  <c r="D232" i="17"/>
  <c r="C232" i="17"/>
  <c r="W231" i="17"/>
  <c r="S231" i="17"/>
  <c r="R231" i="17"/>
  <c r="Q231" i="17"/>
  <c r="L231" i="17"/>
  <c r="K231" i="17"/>
  <c r="J231" i="17"/>
  <c r="E231" i="17"/>
  <c r="D231" i="17"/>
  <c r="C231" i="17"/>
  <c r="W230" i="17"/>
  <c r="S230" i="17"/>
  <c r="R230" i="17"/>
  <c r="Q230" i="17"/>
  <c r="L230" i="17"/>
  <c r="K230" i="17"/>
  <c r="J230" i="17"/>
  <c r="E230" i="17"/>
  <c r="D230" i="17"/>
  <c r="C230" i="17"/>
  <c r="W229" i="17"/>
  <c r="S229" i="17"/>
  <c r="R229" i="17"/>
  <c r="Q229" i="17"/>
  <c r="L229" i="17"/>
  <c r="K229" i="17"/>
  <c r="J229" i="17"/>
  <c r="E229" i="17"/>
  <c r="D229" i="17"/>
  <c r="C229" i="17"/>
  <c r="W228" i="17"/>
  <c r="S228" i="17"/>
  <c r="R228" i="17"/>
  <c r="Q228" i="17"/>
  <c r="L228" i="17"/>
  <c r="K228" i="17"/>
  <c r="J228" i="17"/>
  <c r="E228" i="17"/>
  <c r="D228" i="17"/>
  <c r="C228" i="17"/>
  <c r="W227" i="17"/>
  <c r="S227" i="17"/>
  <c r="R227" i="17"/>
  <c r="Q227" i="17"/>
  <c r="L227" i="17"/>
  <c r="K227" i="17"/>
  <c r="J227" i="17"/>
  <c r="E227" i="17"/>
  <c r="D227" i="17"/>
  <c r="C227" i="17"/>
  <c r="W226" i="17"/>
  <c r="S226" i="17"/>
  <c r="R226" i="17"/>
  <c r="Q226" i="17"/>
  <c r="L226" i="17"/>
  <c r="K226" i="17"/>
  <c r="J226" i="17"/>
  <c r="E226" i="17"/>
  <c r="D226" i="17"/>
  <c r="C226" i="17"/>
  <c r="W225" i="17"/>
  <c r="R220" i="17"/>
  <c r="T371" i="17" s="1"/>
  <c r="L220" i="17"/>
  <c r="M371" i="17" s="1"/>
  <c r="F220" i="17"/>
  <c r="F371" i="17" s="1"/>
  <c r="R219" i="17"/>
  <c r="T350" i="17" s="1"/>
  <c r="L219" i="17"/>
  <c r="M350" i="17" s="1"/>
  <c r="F219" i="17"/>
  <c r="F350" i="17" s="1"/>
  <c r="R218" i="17"/>
  <c r="T329" i="17" s="1"/>
  <c r="L218" i="17"/>
  <c r="M329" i="17" s="1"/>
  <c r="F218" i="17"/>
  <c r="F329" i="17" s="1"/>
  <c r="R217" i="17"/>
  <c r="T308" i="17" s="1"/>
  <c r="L217" i="17"/>
  <c r="M308" i="17" s="1"/>
  <c r="F217" i="17"/>
  <c r="F308" i="17" s="1"/>
  <c r="R216" i="17"/>
  <c r="T287" i="17" s="1"/>
  <c r="L216" i="17"/>
  <c r="M287" i="17" s="1"/>
  <c r="F216" i="17"/>
  <c r="F287" i="17" s="1"/>
  <c r="R215" i="17"/>
  <c r="T266" i="17" s="1"/>
  <c r="L215" i="17"/>
  <c r="M266" i="17" s="1"/>
  <c r="F215" i="17"/>
  <c r="F266" i="17" s="1"/>
  <c r="R214" i="17"/>
  <c r="T245" i="17" s="1"/>
  <c r="L214" i="17"/>
  <c r="M245" i="17" s="1"/>
  <c r="F214" i="17"/>
  <c r="F245" i="17" s="1"/>
  <c r="K213" i="17"/>
  <c r="Q213" i="17" s="1"/>
  <c r="J213" i="17"/>
  <c r="P213" i="17" s="1"/>
  <c r="H211" i="17"/>
  <c r="N211" i="17" s="1"/>
  <c r="R209" i="17"/>
  <c r="T370" i="17" s="1"/>
  <c r="L209" i="17"/>
  <c r="M370" i="17" s="1"/>
  <c r="F209" i="17"/>
  <c r="F370" i="17" s="1"/>
  <c r="R208" i="17"/>
  <c r="T349" i="17" s="1"/>
  <c r="L208" i="17"/>
  <c r="M349" i="17" s="1"/>
  <c r="F208" i="17"/>
  <c r="F349" i="17" s="1"/>
  <c r="R207" i="17"/>
  <c r="T328" i="17" s="1"/>
  <c r="L207" i="17"/>
  <c r="M328" i="17" s="1"/>
  <c r="F207" i="17"/>
  <c r="F328" i="17" s="1"/>
  <c r="R206" i="17"/>
  <c r="T307" i="17" s="1"/>
  <c r="L206" i="17"/>
  <c r="M307" i="17" s="1"/>
  <c r="F206" i="17"/>
  <c r="F307" i="17" s="1"/>
  <c r="R205" i="17"/>
  <c r="T286" i="17" s="1"/>
  <c r="L205" i="17"/>
  <c r="M286" i="17" s="1"/>
  <c r="F205" i="17"/>
  <c r="R204" i="17"/>
  <c r="T265" i="17" s="1"/>
  <c r="L204" i="17"/>
  <c r="M265" i="17" s="1"/>
  <c r="F204" i="17"/>
  <c r="F265" i="17" s="1"/>
  <c r="R203" i="17"/>
  <c r="T244" i="17" s="1"/>
  <c r="L203" i="17"/>
  <c r="M244" i="17" s="1"/>
  <c r="F203" i="17"/>
  <c r="F244" i="17" s="1"/>
  <c r="K202" i="17"/>
  <c r="Q202" i="17" s="1"/>
  <c r="J202" i="17"/>
  <c r="P202" i="17" s="1"/>
  <c r="H200" i="17"/>
  <c r="N200" i="17" s="1"/>
  <c r="R198" i="17"/>
  <c r="T369" i="17" s="1"/>
  <c r="L198" i="17"/>
  <c r="M369" i="17" s="1"/>
  <c r="F198" i="17"/>
  <c r="F369" i="17" s="1"/>
  <c r="R197" i="17"/>
  <c r="T348" i="17" s="1"/>
  <c r="L197" i="17"/>
  <c r="M348" i="17" s="1"/>
  <c r="F197" i="17"/>
  <c r="F348" i="17" s="1"/>
  <c r="R196" i="17"/>
  <c r="T327" i="17" s="1"/>
  <c r="L196" i="17"/>
  <c r="M327" i="17" s="1"/>
  <c r="F196" i="17"/>
  <c r="F327" i="17" s="1"/>
  <c r="R195" i="17"/>
  <c r="T306" i="17" s="1"/>
  <c r="L195" i="17"/>
  <c r="M306" i="17" s="1"/>
  <c r="F195" i="17"/>
  <c r="F306" i="17" s="1"/>
  <c r="R194" i="17"/>
  <c r="T285" i="17" s="1"/>
  <c r="L194" i="17"/>
  <c r="M285" i="17" s="1"/>
  <c r="F194" i="17"/>
  <c r="R193" i="17"/>
  <c r="T264" i="17" s="1"/>
  <c r="L193" i="17"/>
  <c r="M264" i="17" s="1"/>
  <c r="F193" i="17"/>
  <c r="F264" i="17" s="1"/>
  <c r="R192" i="17"/>
  <c r="T243" i="17" s="1"/>
  <c r="L192" i="17"/>
  <c r="M243" i="17" s="1"/>
  <c r="F192" i="17"/>
  <c r="F243" i="17" s="1"/>
  <c r="K191" i="17"/>
  <c r="Q191" i="17" s="1"/>
  <c r="J191" i="17"/>
  <c r="P191" i="17" s="1"/>
  <c r="H189" i="17"/>
  <c r="N189" i="17" s="1"/>
  <c r="R187" i="17"/>
  <c r="T368" i="17" s="1"/>
  <c r="L187" i="17"/>
  <c r="M368" i="17" s="1"/>
  <c r="F187" i="17"/>
  <c r="F368" i="17" s="1"/>
  <c r="R186" i="17"/>
  <c r="T347" i="17" s="1"/>
  <c r="L186" i="17"/>
  <c r="M347" i="17" s="1"/>
  <c r="F186" i="17"/>
  <c r="F347" i="17" s="1"/>
  <c r="R185" i="17"/>
  <c r="T326" i="17" s="1"/>
  <c r="L185" i="17"/>
  <c r="M326" i="17" s="1"/>
  <c r="F185" i="17"/>
  <c r="F326" i="17" s="1"/>
  <c r="R184" i="17"/>
  <c r="T305" i="17" s="1"/>
  <c r="L184" i="17"/>
  <c r="M305" i="17" s="1"/>
  <c r="F184" i="17"/>
  <c r="F305" i="17" s="1"/>
  <c r="R183" i="17"/>
  <c r="T284" i="17" s="1"/>
  <c r="L183" i="17"/>
  <c r="M284" i="17" s="1"/>
  <c r="F183" i="17"/>
  <c r="F284" i="17" s="1"/>
  <c r="R182" i="17"/>
  <c r="T263" i="17" s="1"/>
  <c r="L182" i="17"/>
  <c r="M263" i="17" s="1"/>
  <c r="F182" i="17"/>
  <c r="F263" i="17" s="1"/>
  <c r="R181" i="17"/>
  <c r="T242" i="17" s="1"/>
  <c r="L181" i="17"/>
  <c r="M242" i="17" s="1"/>
  <c r="F181" i="17"/>
  <c r="F242" i="17" s="1"/>
  <c r="K180" i="17"/>
  <c r="Q180" i="17" s="1"/>
  <c r="J180" i="17"/>
  <c r="P180" i="17" s="1"/>
  <c r="H178" i="17"/>
  <c r="N178" i="17" s="1"/>
  <c r="R176" i="17"/>
  <c r="T367" i="17" s="1"/>
  <c r="L176" i="17"/>
  <c r="M367" i="17" s="1"/>
  <c r="F176" i="17"/>
  <c r="F367" i="17" s="1"/>
  <c r="R175" i="17"/>
  <c r="T346" i="17" s="1"/>
  <c r="L175" i="17"/>
  <c r="M346" i="17" s="1"/>
  <c r="F175" i="17"/>
  <c r="F346" i="17" s="1"/>
  <c r="R174" i="17"/>
  <c r="T325" i="17" s="1"/>
  <c r="L174" i="17"/>
  <c r="M325" i="17" s="1"/>
  <c r="F174" i="17"/>
  <c r="F325" i="17" s="1"/>
  <c r="R173" i="17"/>
  <c r="T304" i="17" s="1"/>
  <c r="L173" i="17"/>
  <c r="M304" i="17" s="1"/>
  <c r="F173" i="17"/>
  <c r="F304" i="17" s="1"/>
  <c r="R172" i="17"/>
  <c r="T283" i="17" s="1"/>
  <c r="L172" i="17"/>
  <c r="M283" i="17" s="1"/>
  <c r="F172" i="17"/>
  <c r="F283" i="17" s="1"/>
  <c r="R171" i="17"/>
  <c r="T262" i="17" s="1"/>
  <c r="L171" i="17"/>
  <c r="M262" i="17" s="1"/>
  <c r="F171" i="17"/>
  <c r="F262" i="17" s="1"/>
  <c r="R170" i="17"/>
  <c r="T241" i="17" s="1"/>
  <c r="L170" i="17"/>
  <c r="M241" i="17" s="1"/>
  <c r="F170" i="17"/>
  <c r="F241" i="17" s="1"/>
  <c r="K169" i="17"/>
  <c r="Q169" i="17" s="1"/>
  <c r="J169" i="17"/>
  <c r="P169" i="17" s="1"/>
  <c r="H167" i="17"/>
  <c r="N167" i="17" s="1"/>
  <c r="R165" i="17"/>
  <c r="T366" i="17" s="1"/>
  <c r="L165" i="17"/>
  <c r="M366" i="17" s="1"/>
  <c r="F165" i="17"/>
  <c r="F366" i="17" s="1"/>
  <c r="R164" i="17"/>
  <c r="T345" i="17" s="1"/>
  <c r="L164" i="17"/>
  <c r="M345" i="17" s="1"/>
  <c r="F164" i="17"/>
  <c r="F345" i="17" s="1"/>
  <c r="R163" i="17"/>
  <c r="T324" i="17" s="1"/>
  <c r="L163" i="17"/>
  <c r="M324" i="17" s="1"/>
  <c r="F163" i="17"/>
  <c r="F324" i="17" s="1"/>
  <c r="R162" i="17"/>
  <c r="T303" i="17" s="1"/>
  <c r="L162" i="17"/>
  <c r="M303" i="17" s="1"/>
  <c r="F162" i="17"/>
  <c r="F303" i="17" s="1"/>
  <c r="R161" i="17"/>
  <c r="T282" i="17" s="1"/>
  <c r="L161" i="17"/>
  <c r="M282" i="17" s="1"/>
  <c r="F161" i="17"/>
  <c r="F282" i="17" s="1"/>
  <c r="R160" i="17"/>
  <c r="T261" i="17" s="1"/>
  <c r="L160" i="17"/>
  <c r="M261" i="17" s="1"/>
  <c r="F160" i="17"/>
  <c r="F261" i="17" s="1"/>
  <c r="R159" i="17"/>
  <c r="T240" i="17" s="1"/>
  <c r="L159" i="17"/>
  <c r="M240" i="17" s="1"/>
  <c r="F159" i="17"/>
  <c r="F240" i="17" s="1"/>
  <c r="K158" i="17"/>
  <c r="Q158" i="17" s="1"/>
  <c r="J158" i="17"/>
  <c r="P158" i="17" s="1"/>
  <c r="H156" i="17"/>
  <c r="N156" i="17" s="1"/>
  <c r="R154" i="17"/>
  <c r="T365" i="17" s="1"/>
  <c r="L154" i="17"/>
  <c r="M365" i="17" s="1"/>
  <c r="F154" i="17"/>
  <c r="F365" i="17" s="1"/>
  <c r="R153" i="17"/>
  <c r="T344" i="17" s="1"/>
  <c r="L153" i="17"/>
  <c r="M344" i="17" s="1"/>
  <c r="F153" i="17"/>
  <c r="F344" i="17" s="1"/>
  <c r="R152" i="17"/>
  <c r="T323" i="17" s="1"/>
  <c r="L152" i="17"/>
  <c r="M323" i="17" s="1"/>
  <c r="F152" i="17"/>
  <c r="F323" i="17" s="1"/>
  <c r="R151" i="17"/>
  <c r="T302" i="17" s="1"/>
  <c r="L151" i="17"/>
  <c r="F151" i="17"/>
  <c r="R150" i="17"/>
  <c r="T281" i="17" s="1"/>
  <c r="L150" i="17"/>
  <c r="F150" i="17"/>
  <c r="F281" i="17" s="1"/>
  <c r="R149" i="17"/>
  <c r="T260" i="17" s="1"/>
  <c r="L149" i="17"/>
  <c r="M260" i="17" s="1"/>
  <c r="F149" i="17"/>
  <c r="F260" i="17" s="1"/>
  <c r="R148" i="17"/>
  <c r="T239" i="17" s="1"/>
  <c r="L148" i="17"/>
  <c r="M239" i="17" s="1"/>
  <c r="F148" i="17"/>
  <c r="F239" i="17" s="1"/>
  <c r="K147" i="17"/>
  <c r="Q147" i="17" s="1"/>
  <c r="J147" i="17"/>
  <c r="P147" i="17" s="1"/>
  <c r="H145" i="17"/>
  <c r="N145" i="17" s="1"/>
  <c r="R143" i="17"/>
  <c r="T364" i="17" s="1"/>
  <c r="L143" i="17"/>
  <c r="M364" i="17" s="1"/>
  <c r="F143" i="17"/>
  <c r="F364" i="17" s="1"/>
  <c r="R142" i="17"/>
  <c r="T343" i="17" s="1"/>
  <c r="L142" i="17"/>
  <c r="M343" i="17" s="1"/>
  <c r="F142" i="17"/>
  <c r="F343" i="17" s="1"/>
  <c r="R141" i="17"/>
  <c r="T322" i="17" s="1"/>
  <c r="L141" i="17"/>
  <c r="M322" i="17" s="1"/>
  <c r="F141" i="17"/>
  <c r="F322" i="17" s="1"/>
  <c r="R140" i="17"/>
  <c r="T301" i="17" s="1"/>
  <c r="L140" i="17"/>
  <c r="M301" i="17" s="1"/>
  <c r="F140" i="17"/>
  <c r="R139" i="17"/>
  <c r="T280" i="17" s="1"/>
  <c r="L139" i="17"/>
  <c r="M280" i="17" s="1"/>
  <c r="F139" i="17"/>
  <c r="F280" i="17" s="1"/>
  <c r="R138" i="17"/>
  <c r="T259" i="17" s="1"/>
  <c r="L138" i="17"/>
  <c r="M259" i="17" s="1"/>
  <c r="F138" i="17"/>
  <c r="F259" i="17" s="1"/>
  <c r="R137" i="17"/>
  <c r="T238" i="17" s="1"/>
  <c r="L137" i="17"/>
  <c r="M238" i="17" s="1"/>
  <c r="F137" i="17"/>
  <c r="F238" i="17" s="1"/>
  <c r="K136" i="17"/>
  <c r="Q136" i="17" s="1"/>
  <c r="J136" i="17"/>
  <c r="P136" i="17" s="1"/>
  <c r="H134" i="17"/>
  <c r="N134" i="17" s="1"/>
  <c r="R132" i="17"/>
  <c r="T363" i="17" s="1"/>
  <c r="L132" i="17"/>
  <c r="M363" i="17" s="1"/>
  <c r="F132" i="17"/>
  <c r="F363" i="17" s="1"/>
  <c r="R131" i="17"/>
  <c r="T342" i="17" s="1"/>
  <c r="L131" i="17"/>
  <c r="M342" i="17" s="1"/>
  <c r="F131" i="17"/>
  <c r="F342" i="17" s="1"/>
  <c r="R130" i="17"/>
  <c r="T321" i="17" s="1"/>
  <c r="L130" i="17"/>
  <c r="M321" i="17" s="1"/>
  <c r="F130" i="17"/>
  <c r="F321" i="17" s="1"/>
  <c r="R129" i="17"/>
  <c r="T300" i="17" s="1"/>
  <c r="L129" i="17"/>
  <c r="M300" i="17" s="1"/>
  <c r="F129" i="17"/>
  <c r="F300" i="17" s="1"/>
  <c r="R128" i="17"/>
  <c r="T279" i="17" s="1"/>
  <c r="L128" i="17"/>
  <c r="M279" i="17" s="1"/>
  <c r="F128" i="17"/>
  <c r="F279" i="17" s="1"/>
  <c r="R127" i="17"/>
  <c r="T258" i="17" s="1"/>
  <c r="L127" i="17"/>
  <c r="M258" i="17" s="1"/>
  <c r="F127" i="17"/>
  <c r="F258" i="17" s="1"/>
  <c r="R126" i="17"/>
  <c r="T237" i="17" s="1"/>
  <c r="L126" i="17"/>
  <c r="M237" i="17" s="1"/>
  <c r="F126" i="17"/>
  <c r="F237" i="17" s="1"/>
  <c r="K125" i="17"/>
  <c r="Q125" i="17" s="1"/>
  <c r="J125" i="17"/>
  <c r="P125" i="17" s="1"/>
  <c r="H123" i="17"/>
  <c r="N123" i="17" s="1"/>
  <c r="R121" i="17"/>
  <c r="T362" i="17" s="1"/>
  <c r="L121" i="17"/>
  <c r="M362" i="17" s="1"/>
  <c r="F121" i="17"/>
  <c r="F362" i="17" s="1"/>
  <c r="R120" i="17"/>
  <c r="T341" i="17" s="1"/>
  <c r="L120" i="17"/>
  <c r="M341" i="17" s="1"/>
  <c r="F120" i="17"/>
  <c r="F341" i="17" s="1"/>
  <c r="R119" i="17"/>
  <c r="T320" i="17" s="1"/>
  <c r="L119" i="17"/>
  <c r="M320" i="17" s="1"/>
  <c r="F119" i="17"/>
  <c r="F320" i="17" s="1"/>
  <c r="R118" i="17"/>
  <c r="T299" i="17" s="1"/>
  <c r="L118" i="17"/>
  <c r="M299" i="17" s="1"/>
  <c r="F118" i="17"/>
  <c r="F299" i="17" s="1"/>
  <c r="R117" i="17"/>
  <c r="T278" i="17" s="1"/>
  <c r="L117" i="17"/>
  <c r="M278" i="17" s="1"/>
  <c r="F117" i="17"/>
  <c r="F278" i="17" s="1"/>
  <c r="R116" i="17"/>
  <c r="T257" i="17" s="1"/>
  <c r="L116" i="17"/>
  <c r="M257" i="17" s="1"/>
  <c r="F116" i="17"/>
  <c r="F257" i="17" s="1"/>
  <c r="R115" i="17"/>
  <c r="T236" i="17" s="1"/>
  <c r="L115" i="17"/>
  <c r="M236" i="17" s="1"/>
  <c r="F115" i="17"/>
  <c r="F236" i="17" s="1"/>
  <c r="K114" i="17"/>
  <c r="Q114" i="17" s="1"/>
  <c r="J114" i="17"/>
  <c r="P114" i="17" s="1"/>
  <c r="H112" i="17"/>
  <c r="N112" i="17" s="1"/>
  <c r="R110" i="17"/>
  <c r="T361" i="17" s="1"/>
  <c r="L110" i="17"/>
  <c r="M361" i="17" s="1"/>
  <c r="F110" i="17"/>
  <c r="F361" i="17" s="1"/>
  <c r="R109" i="17"/>
  <c r="T340" i="17" s="1"/>
  <c r="L109" i="17"/>
  <c r="M340" i="17" s="1"/>
  <c r="F109" i="17"/>
  <c r="F340" i="17" s="1"/>
  <c r="R108" i="17"/>
  <c r="T319" i="17" s="1"/>
  <c r="L108" i="17"/>
  <c r="M319" i="17" s="1"/>
  <c r="F108" i="17"/>
  <c r="F319" i="17" s="1"/>
  <c r="R107" i="17"/>
  <c r="T298" i="17" s="1"/>
  <c r="L107" i="17"/>
  <c r="M298" i="17" s="1"/>
  <c r="F107" i="17"/>
  <c r="F298" i="17" s="1"/>
  <c r="R106" i="17"/>
  <c r="T277" i="17" s="1"/>
  <c r="L106" i="17"/>
  <c r="M277" i="17" s="1"/>
  <c r="F106" i="17"/>
  <c r="F277" i="17" s="1"/>
  <c r="R105" i="17"/>
  <c r="T256" i="17" s="1"/>
  <c r="L105" i="17"/>
  <c r="M256" i="17" s="1"/>
  <c r="F105" i="17"/>
  <c r="F256" i="17" s="1"/>
  <c r="R104" i="17"/>
  <c r="T235" i="17" s="1"/>
  <c r="L104" i="17"/>
  <c r="M235" i="17" s="1"/>
  <c r="F104" i="17"/>
  <c r="F235" i="17" s="1"/>
  <c r="K103" i="17"/>
  <c r="Q103" i="17" s="1"/>
  <c r="J103" i="17"/>
  <c r="P103" i="17" s="1"/>
  <c r="H101" i="17"/>
  <c r="N101" i="17" s="1"/>
  <c r="R99" i="17"/>
  <c r="T360" i="17" s="1"/>
  <c r="L99" i="17"/>
  <c r="M360" i="17" s="1"/>
  <c r="F99" i="17"/>
  <c r="F360" i="17" s="1"/>
  <c r="R98" i="17"/>
  <c r="T339" i="17" s="1"/>
  <c r="L98" i="17"/>
  <c r="M339" i="17" s="1"/>
  <c r="F98" i="17"/>
  <c r="F339" i="17" s="1"/>
  <c r="R97" i="17"/>
  <c r="T318" i="17" s="1"/>
  <c r="L97" i="17"/>
  <c r="M318" i="17" s="1"/>
  <c r="F97" i="17"/>
  <c r="F318" i="17" s="1"/>
  <c r="R96" i="17"/>
  <c r="T297" i="17" s="1"/>
  <c r="L96" i="17"/>
  <c r="M297" i="17" s="1"/>
  <c r="F96" i="17"/>
  <c r="F297" i="17" s="1"/>
  <c r="R95" i="17"/>
  <c r="T276" i="17" s="1"/>
  <c r="L95" i="17"/>
  <c r="M276" i="17" s="1"/>
  <c r="F95" i="17"/>
  <c r="F276" i="17" s="1"/>
  <c r="R94" i="17"/>
  <c r="T255" i="17" s="1"/>
  <c r="L94" i="17"/>
  <c r="M255" i="17" s="1"/>
  <c r="F94" i="17"/>
  <c r="F255" i="17" s="1"/>
  <c r="R93" i="17"/>
  <c r="T234" i="17" s="1"/>
  <c r="L93" i="17"/>
  <c r="M234" i="17" s="1"/>
  <c r="F93" i="17"/>
  <c r="F234" i="17" s="1"/>
  <c r="K92" i="17"/>
  <c r="Q92" i="17" s="1"/>
  <c r="J92" i="17"/>
  <c r="P92" i="17" s="1"/>
  <c r="H90" i="17"/>
  <c r="N90" i="17" s="1"/>
  <c r="R88" i="17"/>
  <c r="T359" i="17" s="1"/>
  <c r="L88" i="17"/>
  <c r="M359" i="17" s="1"/>
  <c r="F88" i="17"/>
  <c r="F359" i="17" s="1"/>
  <c r="R87" i="17"/>
  <c r="T338" i="17" s="1"/>
  <c r="L87" i="17"/>
  <c r="M338" i="17" s="1"/>
  <c r="F87" i="17"/>
  <c r="F338" i="17" s="1"/>
  <c r="R86" i="17"/>
  <c r="T317" i="17" s="1"/>
  <c r="L86" i="17"/>
  <c r="M317" i="17" s="1"/>
  <c r="F86" i="17"/>
  <c r="F317" i="17" s="1"/>
  <c r="R85" i="17"/>
  <c r="T296" i="17" s="1"/>
  <c r="L85" i="17"/>
  <c r="M296" i="17" s="1"/>
  <c r="F85" i="17"/>
  <c r="F296" i="17" s="1"/>
  <c r="R84" i="17"/>
  <c r="T275" i="17" s="1"/>
  <c r="L84" i="17"/>
  <c r="M275" i="17" s="1"/>
  <c r="F84" i="17"/>
  <c r="F275" i="17" s="1"/>
  <c r="R83" i="17"/>
  <c r="T254" i="17" s="1"/>
  <c r="L83" i="17"/>
  <c r="M254" i="17" s="1"/>
  <c r="F83" i="17"/>
  <c r="F254" i="17" s="1"/>
  <c r="R82" i="17"/>
  <c r="T233" i="17" s="1"/>
  <c r="L82" i="17"/>
  <c r="M233" i="17" s="1"/>
  <c r="F82" i="17"/>
  <c r="F233" i="17" s="1"/>
  <c r="K81" i="17"/>
  <c r="Q81" i="17" s="1"/>
  <c r="J81" i="17"/>
  <c r="P81" i="17" s="1"/>
  <c r="H79" i="17"/>
  <c r="N79" i="17" s="1"/>
  <c r="R77" i="17"/>
  <c r="T358" i="17" s="1"/>
  <c r="L77" i="17"/>
  <c r="M358" i="17" s="1"/>
  <c r="F77" i="17"/>
  <c r="F358" i="17" s="1"/>
  <c r="R76" i="17"/>
  <c r="T337" i="17" s="1"/>
  <c r="L76" i="17"/>
  <c r="M337" i="17" s="1"/>
  <c r="F76" i="17"/>
  <c r="F337" i="17" s="1"/>
  <c r="R75" i="17"/>
  <c r="T316" i="17" s="1"/>
  <c r="L75" i="17"/>
  <c r="M316" i="17" s="1"/>
  <c r="F75" i="17"/>
  <c r="F316" i="17" s="1"/>
  <c r="R74" i="17"/>
  <c r="T295" i="17" s="1"/>
  <c r="L74" i="17"/>
  <c r="M295" i="17" s="1"/>
  <c r="F74" i="17"/>
  <c r="F295" i="17" s="1"/>
  <c r="R73" i="17"/>
  <c r="T274" i="17" s="1"/>
  <c r="L73" i="17"/>
  <c r="M274" i="17" s="1"/>
  <c r="F73" i="17"/>
  <c r="F274" i="17" s="1"/>
  <c r="R72" i="17"/>
  <c r="T253" i="17" s="1"/>
  <c r="L72" i="17"/>
  <c r="M253" i="17" s="1"/>
  <c r="F72" i="17"/>
  <c r="F253" i="17" s="1"/>
  <c r="R71" i="17"/>
  <c r="T232" i="17" s="1"/>
  <c r="L71" i="17"/>
  <c r="M232" i="17" s="1"/>
  <c r="F71" i="17"/>
  <c r="F232" i="17" s="1"/>
  <c r="K70" i="17"/>
  <c r="Q70" i="17" s="1"/>
  <c r="J70" i="17"/>
  <c r="P70" i="17" s="1"/>
  <c r="H68" i="17"/>
  <c r="N68" i="17" s="1"/>
  <c r="R66" i="17"/>
  <c r="T357" i="17" s="1"/>
  <c r="L66" i="17"/>
  <c r="M357" i="17" s="1"/>
  <c r="F66" i="17"/>
  <c r="F357" i="17" s="1"/>
  <c r="R65" i="17"/>
  <c r="T336" i="17" s="1"/>
  <c r="L65" i="17"/>
  <c r="M336" i="17" s="1"/>
  <c r="F65" i="17"/>
  <c r="F336" i="17" s="1"/>
  <c r="R64" i="17"/>
  <c r="T315" i="17" s="1"/>
  <c r="L64" i="17"/>
  <c r="M315" i="17" s="1"/>
  <c r="F64" i="17"/>
  <c r="F315" i="17" s="1"/>
  <c r="R63" i="17"/>
  <c r="T294" i="17" s="1"/>
  <c r="L63" i="17"/>
  <c r="M294" i="17" s="1"/>
  <c r="F63" i="17"/>
  <c r="F294" i="17" s="1"/>
  <c r="R62" i="17"/>
  <c r="T273" i="17" s="1"/>
  <c r="L62" i="17"/>
  <c r="M273" i="17" s="1"/>
  <c r="F62" i="17"/>
  <c r="F273" i="17" s="1"/>
  <c r="R61" i="17"/>
  <c r="T252" i="17" s="1"/>
  <c r="L61" i="17"/>
  <c r="M252" i="17" s="1"/>
  <c r="F61" i="17"/>
  <c r="F252" i="17" s="1"/>
  <c r="R60" i="17"/>
  <c r="T231" i="17" s="1"/>
  <c r="L60" i="17"/>
  <c r="M231" i="17" s="1"/>
  <c r="F60" i="17"/>
  <c r="F231" i="17" s="1"/>
  <c r="K59" i="17"/>
  <c r="Q59" i="17" s="1"/>
  <c r="J59" i="17"/>
  <c r="P59" i="17" s="1"/>
  <c r="H57" i="17"/>
  <c r="N57" i="17" s="1"/>
  <c r="R55" i="17"/>
  <c r="T356" i="17" s="1"/>
  <c r="L55" i="17"/>
  <c r="M356" i="17" s="1"/>
  <c r="F55" i="17"/>
  <c r="F356" i="17" s="1"/>
  <c r="R54" i="17"/>
  <c r="T335" i="17" s="1"/>
  <c r="L54" i="17"/>
  <c r="M335" i="17" s="1"/>
  <c r="F54" i="17"/>
  <c r="F335" i="17" s="1"/>
  <c r="R53" i="17"/>
  <c r="T314" i="17" s="1"/>
  <c r="L53" i="17"/>
  <c r="M314" i="17" s="1"/>
  <c r="F53" i="17"/>
  <c r="F314" i="17" s="1"/>
  <c r="R52" i="17"/>
  <c r="T293" i="17" s="1"/>
  <c r="L52" i="17"/>
  <c r="M293" i="17" s="1"/>
  <c r="F52" i="17"/>
  <c r="F293" i="17" s="1"/>
  <c r="R51" i="17"/>
  <c r="T272" i="17" s="1"/>
  <c r="L51" i="17"/>
  <c r="M272" i="17" s="1"/>
  <c r="F51" i="17"/>
  <c r="F272" i="17" s="1"/>
  <c r="R50" i="17"/>
  <c r="T251" i="17" s="1"/>
  <c r="L50" i="17"/>
  <c r="M251" i="17" s="1"/>
  <c r="F50" i="17"/>
  <c r="F251" i="17" s="1"/>
  <c r="R49" i="17"/>
  <c r="T230" i="17" s="1"/>
  <c r="L49" i="17"/>
  <c r="M230" i="17" s="1"/>
  <c r="F49" i="17"/>
  <c r="F230" i="17" s="1"/>
  <c r="K48" i="17"/>
  <c r="Q48" i="17" s="1"/>
  <c r="J48" i="17"/>
  <c r="P48" i="17" s="1"/>
  <c r="H46" i="17"/>
  <c r="N46" i="17" s="1"/>
  <c r="R44" i="17"/>
  <c r="T355" i="17" s="1"/>
  <c r="L44" i="17"/>
  <c r="M355" i="17" s="1"/>
  <c r="F44" i="17"/>
  <c r="F355" i="17" s="1"/>
  <c r="R43" i="17"/>
  <c r="T334" i="17" s="1"/>
  <c r="L43" i="17"/>
  <c r="M334" i="17" s="1"/>
  <c r="F43" i="17"/>
  <c r="F334" i="17" s="1"/>
  <c r="R42" i="17"/>
  <c r="T313" i="17" s="1"/>
  <c r="L42" i="17"/>
  <c r="M313" i="17" s="1"/>
  <c r="F42" i="17"/>
  <c r="F313" i="17" s="1"/>
  <c r="R41" i="17"/>
  <c r="T292" i="17" s="1"/>
  <c r="L41" i="17"/>
  <c r="M292" i="17" s="1"/>
  <c r="F41" i="17"/>
  <c r="F292" i="17" s="1"/>
  <c r="R40" i="17"/>
  <c r="T271" i="17" s="1"/>
  <c r="L40" i="17"/>
  <c r="M271" i="17" s="1"/>
  <c r="F40" i="17"/>
  <c r="F271" i="17" s="1"/>
  <c r="R39" i="17"/>
  <c r="T250" i="17" s="1"/>
  <c r="L39" i="17"/>
  <c r="M250" i="17" s="1"/>
  <c r="F39" i="17"/>
  <c r="F250" i="17" s="1"/>
  <c r="R38" i="17"/>
  <c r="T229" i="17" s="1"/>
  <c r="L38" i="17"/>
  <c r="M229" i="17" s="1"/>
  <c r="F38" i="17"/>
  <c r="F229" i="17" s="1"/>
  <c r="K37" i="17"/>
  <c r="Q37" i="17" s="1"/>
  <c r="J37" i="17"/>
  <c r="P37" i="17" s="1"/>
  <c r="H35" i="17"/>
  <c r="N35" i="17" s="1"/>
  <c r="R33" i="17"/>
  <c r="T354" i="17" s="1"/>
  <c r="L33" i="17"/>
  <c r="M354" i="17" s="1"/>
  <c r="F33" i="17"/>
  <c r="F354" i="17" s="1"/>
  <c r="R32" i="17"/>
  <c r="T333" i="17" s="1"/>
  <c r="L32" i="17"/>
  <c r="M333" i="17" s="1"/>
  <c r="F32" i="17"/>
  <c r="F333" i="17" s="1"/>
  <c r="R31" i="17"/>
  <c r="T312" i="17" s="1"/>
  <c r="L31" i="17"/>
  <c r="M312" i="17" s="1"/>
  <c r="F31" i="17"/>
  <c r="F312" i="17" s="1"/>
  <c r="R30" i="17"/>
  <c r="T291" i="17" s="1"/>
  <c r="L30" i="17"/>
  <c r="M291" i="17" s="1"/>
  <c r="F30" i="17"/>
  <c r="F291" i="17" s="1"/>
  <c r="R29" i="17"/>
  <c r="T270" i="17" s="1"/>
  <c r="L29" i="17"/>
  <c r="M270" i="17" s="1"/>
  <c r="F29" i="17"/>
  <c r="F270" i="17" s="1"/>
  <c r="R28" i="17"/>
  <c r="T249" i="17" s="1"/>
  <c r="L28" i="17"/>
  <c r="M249" i="17" s="1"/>
  <c r="F28" i="17"/>
  <c r="F249" i="17" s="1"/>
  <c r="R27" i="17"/>
  <c r="T228" i="17" s="1"/>
  <c r="L27" i="17"/>
  <c r="M228" i="17" s="1"/>
  <c r="F27" i="17"/>
  <c r="F228" i="17" s="1"/>
  <c r="K26" i="17"/>
  <c r="Q26" i="17" s="1"/>
  <c r="J26" i="17"/>
  <c r="P26" i="17" s="1"/>
  <c r="H24" i="17"/>
  <c r="N24" i="17" s="1"/>
  <c r="R22" i="17"/>
  <c r="T353" i="17" s="1"/>
  <c r="L22" i="17"/>
  <c r="M353" i="17" s="1"/>
  <c r="F22" i="17"/>
  <c r="F353" i="17" s="1"/>
  <c r="R21" i="17"/>
  <c r="T332" i="17" s="1"/>
  <c r="L21" i="17"/>
  <c r="M332" i="17" s="1"/>
  <c r="F21" i="17"/>
  <c r="F332" i="17" s="1"/>
  <c r="R20" i="17"/>
  <c r="T311" i="17" s="1"/>
  <c r="L20" i="17"/>
  <c r="F20" i="17"/>
  <c r="F311" i="17" s="1"/>
  <c r="R19" i="17"/>
  <c r="T290" i="17" s="1"/>
  <c r="L19" i="17"/>
  <c r="M290" i="17" s="1"/>
  <c r="F19" i="17"/>
  <c r="F290" i="17" s="1"/>
  <c r="R18" i="17"/>
  <c r="T269" i="17" s="1"/>
  <c r="L18" i="17"/>
  <c r="M269" i="17" s="1"/>
  <c r="F18" i="17"/>
  <c r="F269" i="17" s="1"/>
  <c r="R17" i="17"/>
  <c r="T248" i="17" s="1"/>
  <c r="L17" i="17"/>
  <c r="M248" i="17" s="1"/>
  <c r="F17" i="17"/>
  <c r="F248" i="17" s="1"/>
  <c r="R16" i="17"/>
  <c r="T227" i="17" s="1"/>
  <c r="L16" i="17"/>
  <c r="M227" i="17" s="1"/>
  <c r="F16" i="17"/>
  <c r="F227" i="17" s="1"/>
  <c r="K15" i="17"/>
  <c r="Q15" i="17" s="1"/>
  <c r="J15" i="17"/>
  <c r="P15" i="17" s="1"/>
  <c r="H13" i="17"/>
  <c r="N13" i="17" s="1"/>
  <c r="R11" i="17"/>
  <c r="T352" i="17" s="1"/>
  <c r="L11" i="17"/>
  <c r="M352" i="17" s="1"/>
  <c r="F11" i="17"/>
  <c r="F352" i="17" s="1"/>
  <c r="R10" i="17"/>
  <c r="T331" i="17" s="1"/>
  <c r="L10" i="17"/>
  <c r="M331" i="17" s="1"/>
  <c r="F10" i="17"/>
  <c r="F331" i="17" s="1"/>
  <c r="R9" i="17"/>
  <c r="T310" i="17" s="1"/>
  <c r="L9" i="17"/>
  <c r="F9" i="17"/>
  <c r="F310" i="17" s="1"/>
  <c r="R8" i="17"/>
  <c r="T289" i="17" s="1"/>
  <c r="L8" i="17"/>
  <c r="M289" i="17" s="1"/>
  <c r="F8" i="17"/>
  <c r="F289" i="17" s="1"/>
  <c r="R7" i="17"/>
  <c r="T268" i="17" s="1"/>
  <c r="L7" i="17"/>
  <c r="M268" i="17" s="1"/>
  <c r="F7" i="17"/>
  <c r="F268" i="17" s="1"/>
  <c r="R6" i="17"/>
  <c r="T247" i="17" s="1"/>
  <c r="L6" i="17"/>
  <c r="M247" i="17" s="1"/>
  <c r="F6" i="17"/>
  <c r="F247" i="17" s="1"/>
  <c r="R5" i="17"/>
  <c r="T226" i="17" s="1"/>
  <c r="L5" i="17"/>
  <c r="M226" i="17" s="1"/>
  <c r="F5" i="17"/>
  <c r="F226" i="17" s="1"/>
  <c r="K4" i="17"/>
  <c r="Q4" i="17" s="1"/>
  <c r="J4" i="17"/>
  <c r="P4" i="17" s="1"/>
  <c r="H2" i="17"/>
  <c r="N2" i="17" s="1"/>
  <c r="M311" i="17" l="1"/>
  <c r="M310" i="17"/>
  <c r="F301" i="17"/>
  <c r="F302" i="17"/>
  <c r="M302" i="17"/>
  <c r="M281" i="17"/>
  <c r="F286" i="17"/>
  <c r="F285" i="17"/>
  <c r="A413" i="17"/>
  <c r="A373" i="17" s="1"/>
  <c r="B373" i="17"/>
  <c r="A380" i="17" l="1"/>
  <c r="A379" i="17"/>
  <c r="A378" i="17"/>
  <c r="A377" i="17"/>
  <c r="F373" i="17"/>
  <c r="D381" i="17"/>
  <c r="D376" i="17"/>
  <c r="C381" i="17"/>
  <c r="C376" i="17"/>
  <c r="B381" i="17"/>
  <c r="B376" i="17"/>
  <c r="D382" i="17"/>
  <c r="A381" i="17"/>
  <c r="A376" i="17"/>
  <c r="P373" i="17"/>
  <c r="C382" i="17"/>
  <c r="D380" i="17"/>
  <c r="D379" i="17"/>
  <c r="D378" i="17"/>
  <c r="D377" i="17"/>
  <c r="B382" i="17"/>
  <c r="C380" i="17"/>
  <c r="C379" i="17"/>
  <c r="C378" i="17"/>
  <c r="C377" i="17"/>
  <c r="B380" i="17"/>
  <c r="B378" i="17"/>
  <c r="A382" i="17"/>
  <c r="B379" i="17"/>
  <c r="B377" i="17"/>
  <c r="C375" i="17"/>
  <c r="H375" i="17" s="1"/>
  <c r="M375" i="17" s="1"/>
  <c r="B375" i="17"/>
  <c r="G375" i="17" s="1"/>
  <c r="L375" i="17" s="1"/>
  <c r="G373" i="17"/>
  <c r="I382" i="17" l="1"/>
  <c r="F381" i="17"/>
  <c r="F376" i="17"/>
  <c r="H382" i="17"/>
  <c r="I380" i="17"/>
  <c r="I379" i="17"/>
  <c r="I378" i="17"/>
  <c r="I377" i="17"/>
  <c r="G382" i="17"/>
  <c r="H380" i="17"/>
  <c r="H379" i="17"/>
  <c r="H378" i="17"/>
  <c r="H377" i="17"/>
  <c r="F382" i="17"/>
  <c r="G380" i="17"/>
  <c r="G379" i="17"/>
  <c r="G378" i="17"/>
  <c r="G377" i="17"/>
  <c r="F380" i="17"/>
  <c r="F379" i="17"/>
  <c r="F378" i="17"/>
  <c r="F377" i="17"/>
  <c r="I381" i="17"/>
  <c r="I376" i="17"/>
  <c r="H381" i="17"/>
  <c r="H376" i="17"/>
  <c r="K373" i="17"/>
  <c r="G376" i="17"/>
  <c r="G381" i="17"/>
  <c r="T379" i="17"/>
  <c r="N395" i="17" s="1"/>
  <c r="T378" i="17"/>
  <c r="N394" i="17" s="1"/>
  <c r="T377" i="17"/>
  <c r="N393" i="17" s="1"/>
  <c r="D387" i="17"/>
  <c r="B387" i="17"/>
  <c r="D385" i="17"/>
  <c r="B385" i="17"/>
  <c r="Q373" i="17"/>
  <c r="L373" i="17"/>
  <c r="C386" i="17" l="1"/>
  <c r="R377" i="17" s="1"/>
  <c r="G385" i="17"/>
  <c r="G387" i="17"/>
  <c r="I385" i="17"/>
  <c r="I387" i="17"/>
  <c r="K380" i="17"/>
  <c r="K379" i="17"/>
  <c r="K378" i="17"/>
  <c r="K377" i="17"/>
  <c r="N381" i="17"/>
  <c r="N376" i="17"/>
  <c r="M381" i="17"/>
  <c r="M376" i="17"/>
  <c r="L381" i="17"/>
  <c r="L376" i="17"/>
  <c r="N382" i="17"/>
  <c r="K381" i="17"/>
  <c r="K376" i="17"/>
  <c r="M382" i="17"/>
  <c r="N380" i="17"/>
  <c r="N379" i="17"/>
  <c r="N378" i="17"/>
  <c r="N377" i="17"/>
  <c r="L382" i="17"/>
  <c r="M380" i="17"/>
  <c r="M379" i="17"/>
  <c r="M378" i="17"/>
  <c r="M377" i="17"/>
  <c r="L379" i="17"/>
  <c r="L377" i="17"/>
  <c r="L378" i="17"/>
  <c r="K382" i="17"/>
  <c r="L380" i="17"/>
  <c r="M393" i="17" l="1"/>
  <c r="Q381" i="17" s="1"/>
  <c r="E16" i="8" s="1"/>
  <c r="G16" i="12"/>
  <c r="N387" i="17"/>
  <c r="L387" i="17"/>
  <c r="N385" i="17"/>
  <c r="L385" i="17"/>
  <c r="H386" i="17"/>
  <c r="R378" i="17" s="1"/>
  <c r="M394" i="17" l="1"/>
  <c r="Q382" i="17" s="1"/>
  <c r="E17" i="8" s="1"/>
  <c r="G17" i="12"/>
  <c r="M386" i="17"/>
  <c r="R379" i="17" s="1"/>
  <c r="M395" i="17" s="1"/>
  <c r="Q383" i="17" s="1"/>
  <c r="C27" i="12" l="1"/>
  <c r="K28" i="8" l="1"/>
  <c r="B63" i="12"/>
  <c r="A10" i="12"/>
  <c r="A9" i="12"/>
  <c r="J202" i="15" l="1"/>
  <c r="I202" i="15"/>
  <c r="J201" i="15"/>
  <c r="I201" i="15"/>
  <c r="J200" i="15"/>
  <c r="I200" i="15"/>
  <c r="J199" i="15"/>
  <c r="I199" i="15"/>
  <c r="J198" i="15"/>
  <c r="I198" i="15"/>
  <c r="J197" i="15"/>
  <c r="I197" i="15"/>
  <c r="J196" i="15"/>
  <c r="J195" i="15"/>
  <c r="I195" i="15"/>
  <c r="R37" i="8" l="1"/>
  <c r="F92" i="14" l="1"/>
  <c r="E92" i="14"/>
  <c r="F78" i="14"/>
  <c r="E78" i="14"/>
  <c r="F64" i="14"/>
  <c r="E64" i="14"/>
  <c r="F50" i="14"/>
  <c r="E50" i="14"/>
  <c r="F36" i="14"/>
  <c r="E36" i="14"/>
  <c r="F22" i="14"/>
  <c r="E22" i="14"/>
  <c r="B22" i="14"/>
  <c r="F8" i="14"/>
  <c r="E8" i="14"/>
  <c r="B8" i="14"/>
  <c r="N151" i="15"/>
  <c r="D92" i="14" s="1"/>
  <c r="G92" i="14" l="1"/>
  <c r="I92" i="14" s="1"/>
  <c r="J92" i="14" s="1"/>
  <c r="D8" i="14"/>
  <c r="G8" i="14" s="1"/>
  <c r="I8" i="14" s="1"/>
  <c r="K8" i="14" s="1"/>
  <c r="D22" i="14"/>
  <c r="G22" i="14" s="1"/>
  <c r="I22" i="14" s="1"/>
  <c r="K22" i="14" s="1"/>
  <c r="D36" i="14"/>
  <c r="G36" i="14" s="1"/>
  <c r="I36" i="14" s="1"/>
  <c r="J36" i="14" s="1"/>
  <c r="D50" i="14"/>
  <c r="G50" i="14" s="1"/>
  <c r="I50" i="14" s="1"/>
  <c r="K50" i="14" s="1"/>
  <c r="D64" i="14"/>
  <c r="G64" i="14" s="1"/>
  <c r="I64" i="14" s="1"/>
  <c r="K64" i="14" s="1"/>
  <c r="D78" i="14"/>
  <c r="G78" i="14" s="1"/>
  <c r="I78" i="14" s="1"/>
  <c r="K78" i="14" s="1"/>
  <c r="J8" i="14" l="1"/>
  <c r="K92" i="14"/>
  <c r="J22" i="14"/>
  <c r="K36" i="14"/>
  <c r="J64" i="14"/>
  <c r="J50" i="14"/>
  <c r="J78" i="14"/>
  <c r="F94" i="14"/>
  <c r="F93" i="14"/>
  <c r="E93" i="14"/>
  <c r="F91" i="14"/>
  <c r="E91" i="14"/>
  <c r="E90" i="14"/>
  <c r="A88" i="14"/>
  <c r="C138" i="15"/>
  <c r="D138" i="15"/>
  <c r="E138" i="15"/>
  <c r="F138" i="15"/>
  <c r="C139" i="15"/>
  <c r="D139" i="15"/>
  <c r="E139" i="15"/>
  <c r="F139" i="15"/>
  <c r="C140" i="15"/>
  <c r="D140" i="15"/>
  <c r="E140" i="15"/>
  <c r="F140" i="15"/>
  <c r="C141" i="15"/>
  <c r="D141" i="15"/>
  <c r="E141" i="15"/>
  <c r="F141" i="15"/>
  <c r="C142" i="15"/>
  <c r="D142" i="15"/>
  <c r="E142" i="15"/>
  <c r="F142" i="15"/>
  <c r="C143" i="15"/>
  <c r="D143" i="15"/>
  <c r="E143" i="15"/>
  <c r="F143" i="15"/>
  <c r="C144" i="15"/>
  <c r="D144" i="15"/>
  <c r="E144" i="15"/>
  <c r="F144" i="15"/>
  <c r="B139" i="15"/>
  <c r="B140" i="15"/>
  <c r="B141" i="15"/>
  <c r="B142" i="15"/>
  <c r="B143" i="15"/>
  <c r="B144" i="15"/>
  <c r="A139" i="15"/>
  <c r="A140" i="15"/>
  <c r="A141" i="15"/>
  <c r="A142" i="15"/>
  <c r="A143" i="15"/>
  <c r="A144" i="15"/>
  <c r="A138" i="15"/>
  <c r="D156" i="15" l="1"/>
  <c r="D152" i="15"/>
  <c r="D153" i="15"/>
  <c r="D157" i="15"/>
  <c r="D155" i="15"/>
  <c r="D151" i="15"/>
  <c r="D154" i="15"/>
  <c r="B151" i="15"/>
  <c r="B157" i="15"/>
  <c r="B156" i="15"/>
  <c r="B154" i="15"/>
  <c r="B152" i="15"/>
  <c r="B153" i="15"/>
  <c r="B155" i="15"/>
  <c r="P47" i="13" l="1"/>
  <c r="C67" i="8" l="1"/>
  <c r="B54" i="12"/>
  <c r="A54" i="12"/>
  <c r="B48" i="12"/>
  <c r="A48" i="12"/>
  <c r="B37" i="12"/>
  <c r="B32" i="12"/>
  <c r="B31" i="12"/>
  <c r="B30" i="8" s="1"/>
  <c r="B30" i="7" s="1"/>
  <c r="A31" i="12"/>
  <c r="A30" i="8" s="1"/>
  <c r="A30" i="7" s="1"/>
  <c r="K27" i="12"/>
  <c r="K26" i="8" s="1"/>
  <c r="O26" i="8" s="1"/>
  <c r="B36" i="8" l="1"/>
  <c r="B36" i="7" s="1"/>
  <c r="D81" i="15"/>
  <c r="E81" i="15"/>
  <c r="G81" i="15"/>
  <c r="D82" i="15"/>
  <c r="E82" i="15"/>
  <c r="G82" i="15"/>
  <c r="D83" i="15"/>
  <c r="E83" i="15"/>
  <c r="G83" i="15"/>
  <c r="D84" i="15"/>
  <c r="E84" i="15"/>
  <c r="G84" i="15"/>
  <c r="D85" i="15"/>
  <c r="E85" i="15"/>
  <c r="G85" i="15"/>
  <c r="D86" i="15"/>
  <c r="E86" i="15"/>
  <c r="G86" i="15"/>
  <c r="D87" i="15"/>
  <c r="E87" i="15"/>
  <c r="G87" i="15"/>
  <c r="D88" i="15"/>
  <c r="E88" i="15"/>
  <c r="G88" i="15"/>
  <c r="C88" i="15"/>
  <c r="C87" i="15"/>
  <c r="C86" i="15"/>
  <c r="C85" i="15"/>
  <c r="C84" i="15"/>
  <c r="C83" i="15"/>
  <c r="C82" i="15"/>
  <c r="C81" i="15"/>
  <c r="D70" i="15"/>
  <c r="E70" i="15"/>
  <c r="G70" i="15"/>
  <c r="D71" i="15"/>
  <c r="E71" i="15"/>
  <c r="G71" i="15"/>
  <c r="D72" i="15"/>
  <c r="E72" i="15"/>
  <c r="G72" i="15"/>
  <c r="D73" i="15"/>
  <c r="E73" i="15"/>
  <c r="G73" i="15"/>
  <c r="D74" i="15"/>
  <c r="E74" i="15"/>
  <c r="G74" i="15"/>
  <c r="D75" i="15"/>
  <c r="E75" i="15"/>
  <c r="G75" i="15"/>
  <c r="D76" i="15"/>
  <c r="E76" i="15"/>
  <c r="G76" i="15"/>
  <c r="D77" i="15"/>
  <c r="E77" i="15"/>
  <c r="G77" i="15"/>
  <c r="C77" i="15"/>
  <c r="C76" i="15"/>
  <c r="C75" i="15"/>
  <c r="C74" i="15"/>
  <c r="C73" i="15"/>
  <c r="C72" i="15"/>
  <c r="C71" i="15"/>
  <c r="C70" i="15"/>
  <c r="D59" i="15"/>
  <c r="E59" i="15"/>
  <c r="G59" i="15"/>
  <c r="D60" i="15"/>
  <c r="E60" i="15"/>
  <c r="G60" i="15"/>
  <c r="D61" i="15"/>
  <c r="E61" i="15"/>
  <c r="G61" i="15"/>
  <c r="D62" i="15"/>
  <c r="E62" i="15"/>
  <c r="G62" i="15"/>
  <c r="D63" i="15"/>
  <c r="E63" i="15"/>
  <c r="G63" i="15"/>
  <c r="D64" i="15"/>
  <c r="E64" i="15"/>
  <c r="G64" i="15"/>
  <c r="D65" i="15"/>
  <c r="E65" i="15"/>
  <c r="G65" i="15"/>
  <c r="D66" i="15"/>
  <c r="E66" i="15"/>
  <c r="G66" i="15"/>
  <c r="C66" i="15"/>
  <c r="C65" i="15"/>
  <c r="C64" i="15"/>
  <c r="C63" i="15"/>
  <c r="C62" i="15"/>
  <c r="C61" i="15"/>
  <c r="C60" i="15"/>
  <c r="C59" i="15"/>
  <c r="D48" i="15"/>
  <c r="E48" i="15"/>
  <c r="G48" i="15"/>
  <c r="D49" i="15"/>
  <c r="E49" i="15"/>
  <c r="G49" i="15"/>
  <c r="D50" i="15"/>
  <c r="E50" i="15"/>
  <c r="G50" i="15"/>
  <c r="D51" i="15"/>
  <c r="E51" i="15"/>
  <c r="G51" i="15"/>
  <c r="D52" i="15"/>
  <c r="E52" i="15"/>
  <c r="G52" i="15"/>
  <c r="D53" i="15"/>
  <c r="E53" i="15"/>
  <c r="G53" i="15"/>
  <c r="D54" i="15"/>
  <c r="E54" i="15"/>
  <c r="G54" i="15"/>
  <c r="D55" i="15"/>
  <c r="E55" i="15"/>
  <c r="G55" i="15"/>
  <c r="C55" i="15"/>
  <c r="C54" i="15"/>
  <c r="C53" i="15"/>
  <c r="C52" i="15"/>
  <c r="C51" i="15"/>
  <c r="C50" i="15"/>
  <c r="C49" i="15"/>
  <c r="C48" i="15"/>
  <c r="D37" i="15"/>
  <c r="E37" i="15"/>
  <c r="G37" i="15"/>
  <c r="D38" i="15"/>
  <c r="E38" i="15"/>
  <c r="G38" i="15"/>
  <c r="D39" i="15"/>
  <c r="E39" i="15"/>
  <c r="G39" i="15"/>
  <c r="D40" i="15"/>
  <c r="E40" i="15"/>
  <c r="G40" i="15"/>
  <c r="D41" i="15"/>
  <c r="E41" i="15"/>
  <c r="G41" i="15"/>
  <c r="D42" i="15"/>
  <c r="E42" i="15"/>
  <c r="G42" i="15"/>
  <c r="D43" i="15"/>
  <c r="E43" i="15"/>
  <c r="G43" i="15"/>
  <c r="D44" i="15"/>
  <c r="E44" i="15"/>
  <c r="G44" i="15"/>
  <c r="C44" i="15"/>
  <c r="C43" i="15"/>
  <c r="C42" i="15"/>
  <c r="C41" i="15"/>
  <c r="C40" i="15"/>
  <c r="C39" i="15"/>
  <c r="C38" i="15"/>
  <c r="C37" i="15"/>
  <c r="D26" i="15"/>
  <c r="E26" i="15"/>
  <c r="G26" i="15"/>
  <c r="D27" i="15"/>
  <c r="E27" i="15"/>
  <c r="G27" i="15"/>
  <c r="D28" i="15"/>
  <c r="E28" i="15"/>
  <c r="G28" i="15"/>
  <c r="D29" i="15"/>
  <c r="E29" i="15"/>
  <c r="G29" i="15"/>
  <c r="D30" i="15"/>
  <c r="E30" i="15"/>
  <c r="G30" i="15"/>
  <c r="D31" i="15"/>
  <c r="E31" i="15"/>
  <c r="G31" i="15"/>
  <c r="D32" i="15"/>
  <c r="E32" i="15"/>
  <c r="G32" i="15"/>
  <c r="D33" i="15"/>
  <c r="E33" i="15"/>
  <c r="G33" i="15"/>
  <c r="C33" i="15"/>
  <c r="C32" i="15"/>
  <c r="C31" i="15"/>
  <c r="C30" i="15"/>
  <c r="C29" i="15"/>
  <c r="C28" i="15"/>
  <c r="C27" i="15"/>
  <c r="C26" i="15"/>
  <c r="P41" i="15"/>
  <c r="F88" i="15" s="1"/>
  <c r="P40" i="15"/>
  <c r="F77" i="15" s="1"/>
  <c r="P39" i="15"/>
  <c r="F66" i="15" s="1"/>
  <c r="P38" i="15"/>
  <c r="F55" i="15" s="1"/>
  <c r="P37" i="15"/>
  <c r="F44" i="15" s="1"/>
  <c r="P36" i="15"/>
  <c r="F33" i="15" s="1"/>
  <c r="P31" i="15"/>
  <c r="F87" i="15" s="1"/>
  <c r="P30" i="15"/>
  <c r="F76" i="15" s="1"/>
  <c r="P29" i="15"/>
  <c r="F65" i="15" s="1"/>
  <c r="P28" i="15"/>
  <c r="F54" i="15" s="1"/>
  <c r="P27" i="15"/>
  <c r="F43" i="15" s="1"/>
  <c r="P26" i="15"/>
  <c r="F32" i="15" s="1"/>
  <c r="J27" i="7" l="1"/>
  <c r="J26" i="7"/>
  <c r="J25" i="7"/>
  <c r="H25" i="7"/>
  <c r="M151" i="15" l="1"/>
  <c r="D91" i="14" s="1"/>
  <c r="G91" i="14" s="1"/>
  <c r="I91" i="14" s="1"/>
  <c r="D20" i="14"/>
  <c r="D34" i="14"/>
  <c r="D48" i="14"/>
  <c r="D62" i="14"/>
  <c r="D76" i="14"/>
  <c r="D90" i="14"/>
  <c r="G90" i="14" s="1"/>
  <c r="I90" i="14" s="1"/>
  <c r="D6" i="14"/>
  <c r="A121" i="15"/>
  <c r="A129" i="15"/>
  <c r="A105" i="15"/>
  <c r="A147" i="15"/>
  <c r="A134" i="15" s="1"/>
  <c r="A152" i="15"/>
  <c r="A153" i="15"/>
  <c r="A154" i="15"/>
  <c r="A155" i="15"/>
  <c r="A156" i="15"/>
  <c r="A157" i="15"/>
  <c r="C88" i="14" s="1"/>
  <c r="A151" i="15"/>
  <c r="D40" i="8"/>
  <c r="D40" i="7" s="1"/>
  <c r="D41" i="8"/>
  <c r="D41" i="7" s="1"/>
  <c r="D42" i="8"/>
  <c r="D42" i="7" s="1"/>
  <c r="D43" i="8"/>
  <c r="D43" i="7" s="1"/>
  <c r="D44" i="8"/>
  <c r="D44" i="7" s="1"/>
  <c r="D45" i="8"/>
  <c r="D45" i="7" s="1"/>
  <c r="D39" i="8"/>
  <c r="C28" i="8"/>
  <c r="C27" i="8"/>
  <c r="C26" i="8"/>
  <c r="E13" i="8"/>
  <c r="O27" i="8" l="1"/>
  <c r="R31" i="8"/>
  <c r="Q31" i="8"/>
  <c r="W23" i="8"/>
  <c r="B52" i="12" s="1"/>
  <c r="B51" i="8" s="1"/>
  <c r="B51" i="7" s="1"/>
  <c r="J91" i="14"/>
  <c r="K91" i="14"/>
  <c r="J90" i="14"/>
  <c r="K90" i="14"/>
  <c r="D35" i="14"/>
  <c r="D49" i="14"/>
  <c r="D7" i="14"/>
  <c r="D63" i="14"/>
  <c r="D21" i="14"/>
  <c r="D77" i="14"/>
  <c r="A113" i="15"/>
  <c r="A125" i="15"/>
  <c r="A117" i="15"/>
  <c r="A109" i="15"/>
  <c r="J28" i="7"/>
  <c r="A194" i="15"/>
  <c r="A206" i="15" s="1"/>
  <c r="P20" i="15"/>
  <c r="F86" i="15" s="1"/>
  <c r="J20" i="15"/>
  <c r="F84" i="15" s="1"/>
  <c r="D20" i="15"/>
  <c r="F82" i="15" s="1"/>
  <c r="P19" i="15"/>
  <c r="F75" i="15" s="1"/>
  <c r="J19" i="15"/>
  <c r="F73" i="15" s="1"/>
  <c r="D19" i="15"/>
  <c r="F71" i="15" s="1"/>
  <c r="P18" i="15"/>
  <c r="F64" i="15" s="1"/>
  <c r="J18" i="15"/>
  <c r="F62" i="15" s="1"/>
  <c r="D18" i="15"/>
  <c r="F60" i="15" s="1"/>
  <c r="P17" i="15"/>
  <c r="F53" i="15" s="1"/>
  <c r="J17" i="15"/>
  <c r="F51" i="15" s="1"/>
  <c r="D17" i="15"/>
  <c r="F49" i="15" s="1"/>
  <c r="P16" i="15"/>
  <c r="F42" i="15" s="1"/>
  <c r="J16" i="15"/>
  <c r="F40" i="15" s="1"/>
  <c r="D16" i="15"/>
  <c r="F38" i="15" s="1"/>
  <c r="P15" i="15"/>
  <c r="F31" i="15" s="1"/>
  <c r="J15" i="15"/>
  <c r="F29" i="15" s="1"/>
  <c r="D15" i="15"/>
  <c r="F27" i="15" s="1"/>
  <c r="H14" i="15"/>
  <c r="I196" i="15" s="1"/>
  <c r="P10" i="15"/>
  <c r="F85" i="15" s="1"/>
  <c r="J10" i="15"/>
  <c r="F83" i="15" s="1"/>
  <c r="D10" i="15"/>
  <c r="F81" i="15" s="1"/>
  <c r="P9" i="15"/>
  <c r="F74" i="15" s="1"/>
  <c r="J9" i="15"/>
  <c r="F72" i="15" s="1"/>
  <c r="D9" i="15"/>
  <c r="F70" i="15" s="1"/>
  <c r="P8" i="15"/>
  <c r="F63" i="15" s="1"/>
  <c r="J8" i="15"/>
  <c r="F61" i="15" s="1"/>
  <c r="D8" i="15"/>
  <c r="F59" i="15" s="1"/>
  <c r="P7" i="15"/>
  <c r="F52" i="15" s="1"/>
  <c r="J7" i="15"/>
  <c r="F50" i="15" s="1"/>
  <c r="D7" i="15"/>
  <c r="F48" i="15" s="1"/>
  <c r="P6" i="15"/>
  <c r="F41" i="15" s="1"/>
  <c r="J6" i="15"/>
  <c r="F39" i="15" s="1"/>
  <c r="D6" i="15"/>
  <c r="F37" i="15" s="1"/>
  <c r="P5" i="15"/>
  <c r="F30" i="15" s="1"/>
  <c r="J5" i="15"/>
  <c r="F28" i="15" s="1"/>
  <c r="D5" i="15"/>
  <c r="F26" i="15" s="1"/>
  <c r="O28" i="8" l="1"/>
  <c r="N26" i="8" s="1"/>
  <c r="B93" i="15"/>
  <c r="A93" i="15"/>
  <c r="M194" i="15"/>
  <c r="M206" i="15" s="1"/>
  <c r="B95" i="15" l="1"/>
  <c r="C95" i="15"/>
  <c r="E101" i="15"/>
  <c r="D98" i="15"/>
  <c r="C96" i="15"/>
  <c r="E99" i="15"/>
  <c r="D97" i="15"/>
  <c r="E98" i="15"/>
  <c r="D96" i="15"/>
  <c r="B101" i="15"/>
  <c r="A100" i="15"/>
  <c r="E97" i="15"/>
  <c r="C101" i="15"/>
  <c r="B100" i="15"/>
  <c r="A99" i="15"/>
  <c r="A101" i="15"/>
  <c r="E96" i="15"/>
  <c r="C100" i="15"/>
  <c r="B99" i="15"/>
  <c r="A98" i="15"/>
  <c r="D101" i="15"/>
  <c r="C99" i="15"/>
  <c r="B98" i="15"/>
  <c r="A97" i="15"/>
  <c r="D100" i="15"/>
  <c r="C98" i="15"/>
  <c r="B97" i="15"/>
  <c r="A96" i="15"/>
  <c r="E100" i="15"/>
  <c r="D99" i="15"/>
  <c r="C97" i="15"/>
  <c r="B96" i="15"/>
  <c r="B51" i="12"/>
  <c r="B128" i="15" l="1"/>
  <c r="B135" i="15"/>
  <c r="D124" i="15"/>
  <c r="B130" i="15"/>
  <c r="D130" i="15"/>
  <c r="D126" i="15"/>
  <c r="B126" i="15"/>
  <c r="D133" i="15"/>
  <c r="D128" i="15"/>
  <c r="B124" i="15"/>
  <c r="D135" i="15"/>
  <c r="B133" i="15"/>
  <c r="D110" i="15"/>
  <c r="D104" i="15"/>
  <c r="B106" i="15"/>
  <c r="D118" i="15"/>
  <c r="D116" i="15"/>
  <c r="D108" i="15"/>
  <c r="B118" i="15"/>
  <c r="B108" i="15"/>
  <c r="D122" i="15"/>
  <c r="D120" i="15"/>
  <c r="B122" i="15"/>
  <c r="B120" i="15"/>
  <c r="D114" i="15"/>
  <c r="D112" i="15"/>
  <c r="B114" i="15"/>
  <c r="B112" i="15"/>
  <c r="B110" i="15"/>
  <c r="B104" i="15"/>
  <c r="D106" i="15"/>
  <c r="B116" i="15"/>
  <c r="C125" i="15" l="1"/>
  <c r="C156" i="15" s="1"/>
  <c r="C129" i="15"/>
  <c r="C157" i="15" s="1"/>
  <c r="C134" i="15"/>
  <c r="C147" i="15" s="1"/>
  <c r="D34" i="8" s="1"/>
  <c r="O34" i="8" s="1"/>
  <c r="B2" i="18" s="1"/>
  <c r="C2" i="18" s="1"/>
  <c r="C117" i="15"/>
  <c r="C105" i="15"/>
  <c r="C151" i="15" s="1"/>
  <c r="C113" i="15"/>
  <c r="C121" i="15"/>
  <c r="C155" i="15" s="1"/>
  <c r="G155" i="15" s="1"/>
  <c r="H155" i="15" s="1"/>
  <c r="C109" i="15"/>
  <c r="C152" i="15" s="1"/>
  <c r="G152" i="15" s="1"/>
  <c r="H152" i="15" s="1"/>
  <c r="G157" i="15" l="1"/>
  <c r="H157" i="15" s="1"/>
  <c r="G156" i="15"/>
  <c r="H156" i="15" s="1"/>
  <c r="G151" i="15"/>
  <c r="H151" i="15" s="1"/>
  <c r="E2" i="18"/>
  <c r="D2" i="18"/>
  <c r="E39" i="8"/>
  <c r="F39" i="7" s="1"/>
  <c r="C4" i="14"/>
  <c r="E40" i="8"/>
  <c r="F40" i="7" s="1"/>
  <c r="C18" i="14"/>
  <c r="E43" i="8"/>
  <c r="F43" i="7" s="1"/>
  <c r="C60" i="14"/>
  <c r="E45" i="8"/>
  <c r="F45" i="7" s="1"/>
  <c r="E44" i="8"/>
  <c r="F44" i="7" s="1"/>
  <c r="C74" i="14"/>
  <c r="F125" i="15"/>
  <c r="G126" i="15" s="1"/>
  <c r="K125" i="15"/>
  <c r="L124" i="15" s="1"/>
  <c r="E156" i="15"/>
  <c r="F156" i="15" s="1"/>
  <c r="K45" i="12"/>
  <c r="C153" i="15"/>
  <c r="K46" i="12"/>
  <c r="F129" i="15"/>
  <c r="E157" i="15"/>
  <c r="F157" i="15" s="1"/>
  <c r="K129" i="15"/>
  <c r="K44" i="12"/>
  <c r="K121" i="15"/>
  <c r="L120" i="15" s="1"/>
  <c r="F121" i="15"/>
  <c r="C154" i="15"/>
  <c r="K41" i="12"/>
  <c r="F109" i="15"/>
  <c r="K109" i="15"/>
  <c r="L110" i="15" s="1"/>
  <c r="K40" i="12"/>
  <c r="F105" i="15"/>
  <c r="K105" i="15"/>
  <c r="N104" i="15" s="1"/>
  <c r="K134" i="15"/>
  <c r="F134" i="15"/>
  <c r="E151" i="15"/>
  <c r="F151" i="15" s="1"/>
  <c r="E152" i="15"/>
  <c r="F152" i="15" s="1"/>
  <c r="E155" i="15"/>
  <c r="F155" i="15" s="1"/>
  <c r="G154" i="15" l="1"/>
  <c r="H154" i="15" s="1"/>
  <c r="G153" i="15"/>
  <c r="H153" i="15" s="1"/>
  <c r="L126" i="15"/>
  <c r="I126" i="15"/>
  <c r="I124" i="15"/>
  <c r="N124" i="15"/>
  <c r="N126" i="15"/>
  <c r="E42" i="8"/>
  <c r="F42" i="7" s="1"/>
  <c r="C46" i="14"/>
  <c r="G39" i="8"/>
  <c r="G39" i="7" s="1"/>
  <c r="N39" i="8"/>
  <c r="O39" i="8" s="1"/>
  <c r="G45" i="8"/>
  <c r="G45" i="7" s="1"/>
  <c r="O45" i="8"/>
  <c r="E41" i="8"/>
  <c r="F41" i="7" s="1"/>
  <c r="C32" i="14"/>
  <c r="G40" i="8"/>
  <c r="G40" i="7" s="1"/>
  <c r="O40" i="8"/>
  <c r="G43" i="8"/>
  <c r="G43" i="7" s="1"/>
  <c r="O43" i="8"/>
  <c r="G44" i="8"/>
  <c r="G44" i="7" s="1"/>
  <c r="G124" i="15"/>
  <c r="N108" i="15"/>
  <c r="N120" i="15"/>
  <c r="L122" i="15"/>
  <c r="N122" i="15"/>
  <c r="N106" i="15"/>
  <c r="K42" i="12"/>
  <c r="F113" i="15"/>
  <c r="K113" i="15"/>
  <c r="N112" i="15" s="1"/>
  <c r="E153" i="15"/>
  <c r="F153" i="15" s="1"/>
  <c r="L128" i="15"/>
  <c r="N130" i="15"/>
  <c r="N128" i="15"/>
  <c r="L130" i="15"/>
  <c r="I128" i="15"/>
  <c r="G128" i="15"/>
  <c r="G130" i="15"/>
  <c r="I130" i="15"/>
  <c r="I120" i="15"/>
  <c r="G122" i="15"/>
  <c r="G120" i="15"/>
  <c r="I122" i="15"/>
  <c r="K43" i="12"/>
  <c r="K117" i="15"/>
  <c r="F117" i="15"/>
  <c r="E154" i="15"/>
  <c r="F154" i="15" s="1"/>
  <c r="N110" i="15"/>
  <c r="L108" i="15"/>
  <c r="G108" i="15"/>
  <c r="I110" i="15"/>
  <c r="G110" i="15"/>
  <c r="I108" i="15"/>
  <c r="L106" i="15"/>
  <c r="L104" i="15"/>
  <c r="G104" i="15"/>
  <c r="I106" i="15"/>
  <c r="G106" i="15"/>
  <c r="I104" i="15"/>
  <c r="G133" i="15"/>
  <c r="I133" i="15"/>
  <c r="G135" i="15"/>
  <c r="I135" i="15"/>
  <c r="N133" i="15"/>
  <c r="L133" i="15"/>
  <c r="N135" i="15"/>
  <c r="L135" i="15"/>
  <c r="M125" i="15" l="1"/>
  <c r="H125" i="15"/>
  <c r="K156" i="15" s="1"/>
  <c r="D79" i="14" s="1"/>
  <c r="O44" i="8"/>
  <c r="G42" i="8"/>
  <c r="G42" i="7" s="1"/>
  <c r="G41" i="8"/>
  <c r="G41" i="7" s="1"/>
  <c r="M121" i="15"/>
  <c r="N114" i="15"/>
  <c r="H121" i="15"/>
  <c r="K155" i="15" s="1"/>
  <c r="D65" i="14" s="1"/>
  <c r="M105" i="15"/>
  <c r="M109" i="15"/>
  <c r="H105" i="15"/>
  <c r="K151" i="15" s="1"/>
  <c r="D9" i="14" s="1"/>
  <c r="H129" i="15"/>
  <c r="K157" i="15" s="1"/>
  <c r="D93" i="14" s="1"/>
  <c r="G93" i="14" s="1"/>
  <c r="I93" i="14" s="1"/>
  <c r="H109" i="15"/>
  <c r="K152" i="15" s="1"/>
  <c r="D23" i="14" s="1"/>
  <c r="L114" i="15"/>
  <c r="L112" i="15"/>
  <c r="G114" i="15"/>
  <c r="G112" i="15"/>
  <c r="I112" i="15"/>
  <c r="I114" i="15"/>
  <c r="M129" i="15"/>
  <c r="G116" i="15"/>
  <c r="I118" i="15"/>
  <c r="G118" i="15"/>
  <c r="I116" i="15"/>
  <c r="N116" i="15"/>
  <c r="L118" i="15"/>
  <c r="L116" i="15"/>
  <c r="N118" i="15"/>
  <c r="H134" i="15"/>
  <c r="M134" i="15"/>
  <c r="L152" i="15" l="1"/>
  <c r="D24" i="14" s="1"/>
  <c r="L155" i="15"/>
  <c r="D66" i="14" s="1"/>
  <c r="L157" i="15"/>
  <c r="D94" i="14" s="1"/>
  <c r="G94" i="14" s="1"/>
  <c r="I94" i="14" s="1"/>
  <c r="L151" i="15"/>
  <c r="D10" i="14" s="1"/>
  <c r="L156" i="15"/>
  <c r="D80" i="14" s="1"/>
  <c r="J93" i="14"/>
  <c r="K93" i="14"/>
  <c r="O42" i="8"/>
  <c r="O41" i="8"/>
  <c r="M113" i="15"/>
  <c r="H113" i="15"/>
  <c r="K153" i="15" s="1"/>
  <c r="D37" i="14" s="1"/>
  <c r="M117" i="15"/>
  <c r="H117" i="15"/>
  <c r="K154" i="15" s="1"/>
  <c r="D51" i="14" s="1"/>
  <c r="B3" i="18" l="1"/>
  <c r="C3" i="18" s="1"/>
  <c r="D3" i="18" s="1"/>
  <c r="A7" i="18" s="1"/>
  <c r="K94" i="14"/>
  <c r="K96" i="14" s="1"/>
  <c r="J94" i="14"/>
  <c r="J96" i="14" s="1"/>
  <c r="J97" i="14" s="1"/>
  <c r="L154" i="15"/>
  <c r="D52" i="14" s="1"/>
  <c r="L153" i="15"/>
  <c r="D38" i="14" s="1"/>
  <c r="B7" i="18" l="1"/>
  <c r="R40" i="8" s="1"/>
  <c r="E3" i="18"/>
  <c r="C7" i="18"/>
  <c r="S40" i="8" s="1"/>
  <c r="J98" i="14"/>
  <c r="J99" i="14" s="1"/>
  <c r="J100" i="14" s="1"/>
  <c r="J101" i="14" s="1"/>
  <c r="I157" i="15" s="1"/>
  <c r="L45" i="8" l="1"/>
  <c r="H27" i="7" l="1"/>
  <c r="H26" i="7"/>
  <c r="H28" i="7" l="1"/>
  <c r="B39" i="8"/>
  <c r="D32" i="8"/>
  <c r="D32" i="7" s="1"/>
  <c r="B56" i="8" l="1"/>
  <c r="B56" i="7" s="1"/>
  <c r="D18" i="7" l="1"/>
  <c r="D8" i="7"/>
  <c r="H67" i="8"/>
  <c r="B50" i="8" l="1"/>
  <c r="B50" i="7" s="1"/>
  <c r="B18" i="8"/>
  <c r="B18" i="7" s="1"/>
  <c r="E8" i="8"/>
  <c r="E8" i="7" s="1"/>
  <c r="A8" i="8"/>
  <c r="A8" i="7" s="1"/>
  <c r="F80" i="14"/>
  <c r="F79" i="14"/>
  <c r="F77" i="14"/>
  <c r="F66" i="14"/>
  <c r="F65" i="14"/>
  <c r="F63" i="14"/>
  <c r="F52" i="14"/>
  <c r="F51" i="14"/>
  <c r="F49" i="14"/>
  <c r="F38" i="14"/>
  <c r="F37" i="14"/>
  <c r="F35" i="14"/>
  <c r="F24" i="14"/>
  <c r="F23" i="14"/>
  <c r="F21" i="14"/>
  <c r="F10" i="14"/>
  <c r="F9" i="14"/>
  <c r="F7" i="14"/>
  <c r="E6" i="14"/>
  <c r="K16" i="14"/>
  <c r="B10" i="14"/>
  <c r="E9" i="14"/>
  <c r="B9" i="14"/>
  <c r="E7" i="14"/>
  <c r="B7" i="14"/>
  <c r="B6" i="14"/>
  <c r="G7" i="14" l="1"/>
  <c r="I7" i="14" s="1"/>
  <c r="J7" i="14" s="1"/>
  <c r="G6" i="14"/>
  <c r="I6" i="14" s="1"/>
  <c r="J6" i="14" s="1"/>
  <c r="K7" i="14" l="1"/>
  <c r="K6" i="14"/>
  <c r="B49" i="8" l="1"/>
  <c r="B49" i="7" s="1"/>
  <c r="G9" i="14" l="1"/>
  <c r="I9" i="14" s="1"/>
  <c r="K9" i="14" s="1"/>
  <c r="J9" i="14" l="1"/>
  <c r="G10" i="14" l="1"/>
  <c r="I10" i="14" s="1"/>
  <c r="K10" i="14" s="1"/>
  <c r="K12" i="14" s="1"/>
  <c r="J10" i="14" l="1"/>
  <c r="J12" i="14" s="1"/>
  <c r="J13" i="14" s="1"/>
  <c r="J14" i="14" s="1"/>
  <c r="J15" i="14" s="1"/>
  <c r="J16" i="14" s="1"/>
  <c r="J17" i="14" s="1"/>
  <c r="I151" i="15" s="1"/>
  <c r="J151" i="15" s="1"/>
  <c r="L39" i="8" l="1"/>
  <c r="J39" i="7" s="1"/>
  <c r="F34" i="7" l="1"/>
  <c r="F32" i="7"/>
  <c r="B34" i="8"/>
  <c r="E76" i="14" l="1"/>
  <c r="E62" i="14"/>
  <c r="E48" i="14"/>
  <c r="E34" i="14"/>
  <c r="E20" i="14"/>
  <c r="B34" i="7" l="1"/>
  <c r="I37" i="7"/>
  <c r="H37" i="7"/>
  <c r="G37" i="7"/>
  <c r="F37" i="7"/>
  <c r="B39" i="7"/>
  <c r="C26" i="7"/>
  <c r="C27" i="7"/>
  <c r="C28" i="7"/>
  <c r="A13" i="7"/>
  <c r="C25" i="7"/>
  <c r="B25" i="7"/>
  <c r="B63" i="8"/>
  <c r="B63" i="7" s="1"/>
  <c r="B62" i="8"/>
  <c r="B62" i="7" s="1"/>
  <c r="A62" i="8"/>
  <c r="A62" i="7" s="1"/>
  <c r="B58" i="8"/>
  <c r="B58" i="7" s="1"/>
  <c r="A58" i="8"/>
  <c r="A58" i="7" s="1"/>
  <c r="B54" i="8"/>
  <c r="B54" i="7" s="1"/>
  <c r="B55" i="8"/>
  <c r="B55" i="7" s="1"/>
  <c r="B53" i="8"/>
  <c r="B53" i="7" s="1"/>
  <c r="A53" i="8"/>
  <c r="A53" i="7" s="1"/>
  <c r="B48" i="8"/>
  <c r="B48" i="7" s="1"/>
  <c r="B47" i="8"/>
  <c r="B47" i="7" s="1"/>
  <c r="A47" i="8"/>
  <c r="A47" i="7" s="1"/>
  <c r="C34" i="8"/>
  <c r="A2" i="18" s="1"/>
  <c r="C32" i="8"/>
  <c r="C32" i="7" s="1"/>
  <c r="B32" i="8"/>
  <c r="B32" i="7" s="1"/>
  <c r="D37" i="8"/>
  <c r="D37" i="7" s="1"/>
  <c r="C37" i="8"/>
  <c r="C37" i="7" s="1"/>
  <c r="B37" i="8"/>
  <c r="B37" i="7" s="1"/>
  <c r="B31" i="8"/>
  <c r="B31" i="7" s="1"/>
  <c r="B24" i="8"/>
  <c r="B24" i="7" s="1"/>
  <c r="A24" i="8"/>
  <c r="A24" i="7" s="1"/>
  <c r="B21" i="8"/>
  <c r="B21" i="7" s="1"/>
  <c r="B22" i="8"/>
  <c r="B22" i="7" s="1"/>
  <c r="B20" i="8"/>
  <c r="B20" i="7" s="1"/>
  <c r="A20" i="8"/>
  <c r="A20" i="7" s="1"/>
  <c r="B16" i="8"/>
  <c r="B16" i="7" s="1"/>
  <c r="B17" i="8"/>
  <c r="B17" i="7" s="1"/>
  <c r="B15" i="8"/>
  <c r="B15" i="7" s="1"/>
  <c r="A15" i="8"/>
  <c r="A15" i="7" s="1"/>
  <c r="A6" i="8"/>
  <c r="A6" i="7" s="1"/>
  <c r="A7" i="8"/>
  <c r="A7" i="7" s="1"/>
  <c r="A10" i="8"/>
  <c r="A10" i="7" s="1"/>
  <c r="A11" i="8"/>
  <c r="A11" i="7" s="1"/>
  <c r="A12" i="8"/>
  <c r="A12" i="7" s="1"/>
  <c r="A5" i="8"/>
  <c r="A5" i="7" s="1"/>
  <c r="E79" i="14" l="1"/>
  <c r="E77" i="14"/>
  <c r="G77" i="14" l="1"/>
  <c r="I77" i="14" s="1"/>
  <c r="K77" i="14" s="1"/>
  <c r="G76" i="14"/>
  <c r="I76" i="14" s="1"/>
  <c r="K76" i="14" s="1"/>
  <c r="E65" i="14"/>
  <c r="E63" i="14"/>
  <c r="D60" i="14"/>
  <c r="E51" i="14"/>
  <c r="E49" i="14"/>
  <c r="D46" i="14"/>
  <c r="B50" i="14" s="1"/>
  <c r="A46" i="14"/>
  <c r="A74" i="14" s="1"/>
  <c r="E37" i="14"/>
  <c r="E35" i="14"/>
  <c r="D32" i="14"/>
  <c r="A32" i="14"/>
  <c r="K30" i="14"/>
  <c r="B24" i="14"/>
  <c r="E23" i="14"/>
  <c r="B23" i="14"/>
  <c r="E21" i="14"/>
  <c r="B21" i="14"/>
  <c r="B20" i="14"/>
  <c r="B35" i="14" l="1"/>
  <c r="B36" i="14"/>
  <c r="B64" i="14"/>
  <c r="D88" i="14"/>
  <c r="B66" i="14"/>
  <c r="J77" i="14"/>
  <c r="G21" i="14"/>
  <c r="I21" i="14" s="1"/>
  <c r="J21" i="14" s="1"/>
  <c r="G63" i="14"/>
  <c r="I63" i="14" s="1"/>
  <c r="K63" i="14" s="1"/>
  <c r="J76" i="14"/>
  <c r="G48" i="14"/>
  <c r="I48" i="14" s="1"/>
  <c r="J48" i="14" s="1"/>
  <c r="B38" i="14"/>
  <c r="B49" i="14"/>
  <c r="D74" i="14"/>
  <c r="B78" i="14" s="1"/>
  <c r="K58" i="14"/>
  <c r="B63" i="14"/>
  <c r="G35" i="14"/>
  <c r="I35" i="14" s="1"/>
  <c r="J35" i="14" s="1"/>
  <c r="K44" i="14"/>
  <c r="B62" i="14"/>
  <c r="B48" i="14"/>
  <c r="K72" i="14"/>
  <c r="B34" i="14"/>
  <c r="B37" i="14"/>
  <c r="G49" i="14"/>
  <c r="I49" i="14" s="1"/>
  <c r="B52" i="14"/>
  <c r="G34" i="14"/>
  <c r="I34" i="14" s="1"/>
  <c r="K34" i="14" s="1"/>
  <c r="G62" i="14"/>
  <c r="I62" i="14" s="1"/>
  <c r="K62" i="14" s="1"/>
  <c r="G20" i="14"/>
  <c r="I20" i="14" s="1"/>
  <c r="J20" i="14" s="1"/>
  <c r="B51" i="14"/>
  <c r="B65" i="14"/>
  <c r="K100" i="14" l="1"/>
  <c r="B92" i="14"/>
  <c r="B91" i="14"/>
  <c r="B93" i="14"/>
  <c r="B94" i="14"/>
  <c r="B90" i="14"/>
  <c r="K21" i="14"/>
  <c r="J63" i="14"/>
  <c r="K35" i="14"/>
  <c r="G80" i="14"/>
  <c r="I80" i="14" s="1"/>
  <c r="G23" i="14"/>
  <c r="I23" i="14" s="1"/>
  <c r="K23" i="14" s="1"/>
  <c r="K48" i="14"/>
  <c r="J62" i="14"/>
  <c r="J34" i="14"/>
  <c r="K86" i="14"/>
  <c r="B79" i="14"/>
  <c r="B77" i="14"/>
  <c r="B80" i="14"/>
  <c r="B76" i="14"/>
  <c r="K49" i="14"/>
  <c r="J49" i="14"/>
  <c r="K20" i="14"/>
  <c r="G38" i="14"/>
  <c r="I38" i="14" s="1"/>
  <c r="K38" i="14" s="1"/>
  <c r="G79" i="14" l="1"/>
  <c r="I79" i="14" s="1"/>
  <c r="G51" i="14"/>
  <c r="I51" i="14" s="1"/>
  <c r="J51" i="14" s="1"/>
  <c r="G37" i="14"/>
  <c r="I37" i="14" s="1"/>
  <c r="K37" i="14" s="1"/>
  <c r="K40" i="14" s="1"/>
  <c r="G65" i="14"/>
  <c r="I65" i="14" s="1"/>
  <c r="K65" i="14" s="1"/>
  <c r="J80" i="14"/>
  <c r="K80" i="14"/>
  <c r="G52" i="14"/>
  <c r="I52" i="14" s="1"/>
  <c r="J52" i="14" s="1"/>
  <c r="G66" i="14"/>
  <c r="I66" i="14" s="1"/>
  <c r="J66" i="14" s="1"/>
  <c r="J23" i="14"/>
  <c r="J38" i="14"/>
  <c r="J54" i="14" l="1"/>
  <c r="J55" i="14" s="1"/>
  <c r="K51" i="14"/>
  <c r="J79" i="14"/>
  <c r="J82" i="14" s="1"/>
  <c r="J83" i="14" s="1"/>
  <c r="K79" i="14"/>
  <c r="K82" i="14" s="1"/>
  <c r="K66" i="14"/>
  <c r="K68" i="14" s="1"/>
  <c r="K52" i="14"/>
  <c r="J37" i="14"/>
  <c r="J40" i="14" s="1"/>
  <c r="J41" i="14" s="1"/>
  <c r="J42" i="14" s="1"/>
  <c r="J43" i="14" s="1"/>
  <c r="J44" i="14" s="1"/>
  <c r="J65" i="14"/>
  <c r="J68" i="14" s="1"/>
  <c r="J69" i="14" s="1"/>
  <c r="J45" i="7" l="1"/>
  <c r="J157" i="15"/>
  <c r="L41" i="8"/>
  <c r="J41" i="7" s="1"/>
  <c r="J45" i="14"/>
  <c r="I153" i="15" s="1"/>
  <c r="J153" i="15" s="1"/>
  <c r="K54" i="14"/>
  <c r="J56" i="14" s="1"/>
  <c r="J57" i="14" s="1"/>
  <c r="J58" i="14" s="1"/>
  <c r="J84" i="14"/>
  <c r="J85" i="14" s="1"/>
  <c r="J86" i="14" s="1"/>
  <c r="J70" i="14"/>
  <c r="J71" i="14" s="1"/>
  <c r="J72" i="14" s="1"/>
  <c r="C34" i="7"/>
  <c r="E22" i="8"/>
  <c r="E21" i="8"/>
  <c r="D22" i="8"/>
  <c r="D22" i="7" s="1"/>
  <c r="D21" i="8"/>
  <c r="D21" i="7" s="1"/>
  <c r="L43" i="8" l="1"/>
  <c r="J43" i="7" s="1"/>
  <c r="J73" i="14"/>
  <c r="L44" i="8"/>
  <c r="J44" i="7" s="1"/>
  <c r="J87" i="14"/>
  <c r="I156" i="15" s="1"/>
  <c r="J156" i="15" s="1"/>
  <c r="L42" i="8"/>
  <c r="J42" i="7" s="1"/>
  <c r="J59" i="14"/>
  <c r="I154" i="15" s="1"/>
  <c r="J154" i="15" s="1"/>
  <c r="E22" i="7"/>
  <c r="O22" i="8"/>
  <c r="E21" i="7"/>
  <c r="O21" i="8"/>
  <c r="A1" i="7"/>
  <c r="L67" i="8" l="1"/>
  <c r="I155" i="15"/>
  <c r="J155" i="15" s="1"/>
  <c r="C39" i="8"/>
  <c r="A209" i="15" l="1"/>
  <c r="A211" i="15" s="1"/>
  <c r="A214" i="15" s="1"/>
  <c r="C2" i="12" s="1"/>
  <c r="A2" i="8" s="1"/>
  <c r="H1" i="20"/>
  <c r="C39" i="7"/>
  <c r="A3" i="18"/>
  <c r="D17" i="7"/>
  <c r="D16" i="7"/>
  <c r="E13" i="7"/>
  <c r="D6" i="7"/>
  <c r="D7" i="7"/>
  <c r="D10" i="7"/>
  <c r="D11" i="7"/>
  <c r="D12" i="7"/>
  <c r="D13" i="7"/>
  <c r="D5" i="7"/>
  <c r="A215" i="15" l="1"/>
  <c r="A217" i="15" s="1"/>
  <c r="A220" i="15" s="1"/>
  <c r="B60" i="12" s="1"/>
  <c r="B59" i="8" s="1"/>
  <c r="B59" i="7" s="1"/>
  <c r="D39" i="7"/>
  <c r="E6" i="8"/>
  <c r="E6" i="7" s="1"/>
  <c r="E7" i="8"/>
  <c r="E7" i="7" s="1"/>
  <c r="E10" i="8"/>
  <c r="E10" i="7" s="1"/>
  <c r="E11" i="8"/>
  <c r="E11" i="7" s="1"/>
  <c r="E12" i="8"/>
  <c r="E12" i="7" s="1"/>
  <c r="E5" i="8"/>
  <c r="E5" i="7" s="1"/>
  <c r="A2" i="7"/>
  <c r="D34" i="7"/>
  <c r="G24" i="14" l="1"/>
  <c r="I24" i="14" s="1"/>
  <c r="J24" i="14" l="1"/>
  <c r="J26" i="14" s="1"/>
  <c r="J27" i="14" s="1"/>
  <c r="K24" i="14"/>
  <c r="K26" i="14" s="1"/>
  <c r="J28" i="14" l="1"/>
  <c r="J29" i="14" s="1"/>
  <c r="J30" i="14" s="1"/>
  <c r="L40" i="8" l="1"/>
  <c r="J40" i="7" s="1"/>
  <c r="J31" i="14"/>
  <c r="I152" i="15" s="1"/>
  <c r="J152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VT-305</author>
  </authors>
  <commentList>
    <comment ref="C29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
Dipilih Sesuai Kelas nya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710FC053-1A68-40D9-9CB9-A2024B31D879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<sst xmlns="http://schemas.openxmlformats.org/spreadsheetml/2006/main" count="2154" uniqueCount="438">
  <si>
    <t>Lembar Kerja Kalibrasi Anesthesi Unit</t>
  </si>
  <si>
    <t xml:space="preserve">Sertifikat / Surat Keterangan :  35 / …… …. / ………. - ………. / E - ………. </t>
  </si>
  <si>
    <t>Merek</t>
  </si>
  <si>
    <t xml:space="preserve">: </t>
  </si>
  <si>
    <t>Model/Tipe</t>
  </si>
  <si>
    <t>No. Seri</t>
  </si>
  <si>
    <t>Resolusi</t>
  </si>
  <si>
    <t>LPM</t>
  </si>
  <si>
    <t>Tanggal Kalibrasi</t>
  </si>
  <si>
    <t>: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</si>
  <si>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</si>
  <si>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</si>
  <si>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</si>
  <si>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</si>
  <si>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</si>
  <si>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</si>
  <si>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</si>
  <si>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r>
      <t>o</t>
    </r>
    <r>
      <rPr>
        <sz val="11"/>
        <rFont val="Arial"/>
        <family val="2"/>
      </rPr>
      <t>C</t>
    </r>
  </si>
  <si>
    <t>2. Kelembaban</t>
  </si>
  <si>
    <t>% RH</t>
  </si>
  <si>
    <t>3. Tegangan Jala-jala</t>
  </si>
  <si>
    <t>Volt</t>
  </si>
  <si>
    <t>Score (%)</t>
  </si>
  <si>
    <t xml:space="preserve">II.     </t>
  </si>
  <si>
    <t>Pemeriksaan Kondisi Fisik dan Fungsi Alat.</t>
  </si>
  <si>
    <t>1. Fisik</t>
  </si>
  <si>
    <t>: Baik / Tidak baik</t>
  </si>
  <si>
    <t>2. Fungsi</t>
  </si>
  <si>
    <t>III.</t>
  </si>
  <si>
    <t>Pengujian Keselamatan Listrik</t>
  </si>
  <si>
    <t xml:space="preserve">No </t>
  </si>
  <si>
    <t>Parameter</t>
  </si>
  <si>
    <t>Hasil ukur</t>
  </si>
  <si>
    <t>Ambang batas yang diijinkan</t>
  </si>
  <si>
    <t>Resistansi Isolasi</t>
  </si>
  <si>
    <t>M Ω</t>
  </si>
  <si>
    <t>Resistansi pembumian protektif (Kabel dapat dilepas / tidak dapat dilepas)</t>
  </si>
  <si>
    <t>Ω</t>
  </si>
  <si>
    <t>(≤ 0.2 / ≤  0.3)</t>
  </si>
  <si>
    <t>µA</t>
  </si>
  <si>
    <t>(≤ 500 / ≤ 100)</t>
  </si>
  <si>
    <t>IV.</t>
  </si>
  <si>
    <t>Pengujian Kinerja</t>
  </si>
  <si>
    <t>A. Pengujian Oxygen Flush</t>
  </si>
  <si>
    <t>No</t>
  </si>
  <si>
    <t xml:space="preserve"> Pembacaan standar</t>
  </si>
  <si>
    <t>Toleransi</t>
  </si>
  <si>
    <t>Oxygen Flush</t>
  </si>
  <si>
    <t>35 - 75 LPM</t>
  </si>
  <si>
    <t>*Setting flowmeter pada posisi 2 L/min</t>
  </si>
  <si>
    <t>B. Kalibrasi Akurasi Laju Aliran</t>
  </si>
  <si>
    <t>Setting alat</t>
  </si>
  <si>
    <t xml:space="preserve"> Pembacaan pada standar (mL/min)</t>
  </si>
  <si>
    <t>I</t>
  </si>
  <si>
    <t>II</t>
  </si>
  <si>
    <t>III</t>
  </si>
  <si>
    <t>IV</t>
  </si>
  <si>
    <t>V</t>
  </si>
  <si>
    <t>Flowmeter (L/min)</t>
  </si>
  <si>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10%</t>
    </r>
  </si>
  <si>
    <t>V.</t>
  </si>
  <si>
    <t>Keterangan</t>
  </si>
  <si>
    <t>Ketidakpastian pengukuran dilaporkan pada tingkat kepercayaan 95% dengan faktor cakupan k=2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</si>
  <si>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</si>
  <si>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</si>
  <si>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</si>
  <si>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</si>
  <si>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Gas Flow Analyzer, Merek : IMT Medical, Model : PF-300 SN (BA 120302/ BA 101580)</t>
  </si>
  <si>
    <t>Gas Flow Analyzer, Merek : Rigel, Model : Ventest 800 SN (BA 120986/ BA 120987/ BA200651)</t>
  </si>
  <si>
    <t>Gas Flow Analyzer, Merek : Fluke, Model : VT 305 SN (BF100519/BF102163/BF102142)</t>
  </si>
  <si>
    <t>Gas Flow Analyzer, Merek : Fluke, Model : VT Plus HF, SN (2847038)</t>
  </si>
  <si>
    <t>Gas Flow Analyzer, Merek : Fluke, Model : VT900A, SN (5101752-5102038/5101035-5102036)</t>
  </si>
  <si>
    <t>Electrical Safety Analyzer, Merek : Fluke, Model : ESA 620, SN(1837056) / (1834020)</t>
  </si>
  <si>
    <t>Electrical Safety Analyzer, Merek : Fluke, Model : ESA 615, SN(2853077/2853078/3148907/3148908/3699030/4669058/4670010)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</si>
  <si>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</si>
  <si>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</si>
  <si>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</si>
  <si>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</si>
  <si>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</si>
  <si>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SN(A.100616/A.100617/A.100618)</t>
  </si>
  <si>
    <t>VII.</t>
  </si>
  <si>
    <t>Kesimpulan</t>
  </si>
  <si>
    <t>( LAIK PAKAI / TIDAK LAIK PAKAI )</t>
  </si>
  <si>
    <t>VIII.</t>
  </si>
  <si>
    <t>Petugas Kalibrasi</t>
  </si>
  <si>
    <t>No.</t>
  </si>
  <si>
    <t>Tanggal</t>
  </si>
  <si>
    <t>Revisi</t>
  </si>
  <si>
    <t>Hasil pengukuran keselamatan listrik tertelusur ke Satuan Internasional ( SI ) melalui PT. Kaliman (LK-032-IDN)</t>
  </si>
  <si>
    <t>Hasil pengujian keselamatan listrik tertelusur ke Satuan Internasional ( SI ) melalui PT. Kaliman (LK-032-IDN)</t>
  </si>
  <si>
    <t>Hasil pengujian Flow tertelusur ke Satuan Internasional (SI) melalui IMT Medical</t>
  </si>
  <si>
    <t>Hasil kalibrasi Flow tertelusur ke Satuan Internasional (SI) melalui IMT Medical</t>
  </si>
  <si>
    <t>Input Data Kalibrasi Anesthesi Unit</t>
  </si>
  <si>
    <t>1 / III - 17 / E - 002. 22 DL</t>
  </si>
  <si>
    <t xml:space="preserve"> </t>
  </si>
  <si>
    <t>Datex-Ohmeda</t>
  </si>
  <si>
    <t>Aespire</t>
  </si>
  <si>
    <t>AMXM00250</t>
  </si>
  <si>
    <t xml:space="preserve"> LPM</t>
  </si>
  <si>
    <t>Tanggal Penerimaan Alat</t>
  </si>
  <si>
    <t>IBS</t>
  </si>
  <si>
    <t xml:space="preserve">Nama Ruang </t>
  </si>
  <si>
    <t>OK 6</t>
  </si>
  <si>
    <t>Metode Kerja</t>
  </si>
  <si>
    <t>MK 006 - 18</t>
  </si>
  <si>
    <t>Pembacaan Standar</t>
  </si>
  <si>
    <t xml:space="preserve">2. Kelembaban </t>
  </si>
  <si>
    <t>3. Tegangan Jala - jala</t>
  </si>
  <si>
    <t>Baik</t>
  </si>
  <si>
    <t>-</t>
  </si>
  <si>
    <t>MΩ</t>
  </si>
  <si>
    <t>NG</t>
  </si>
  <si>
    <t>Arus bocor peralatan untuk peralatan elektromedik kelas I</t>
  </si>
  <si>
    <t>Oxygen Flush Valve ( L/min )</t>
  </si>
  <si>
    <t xml:space="preserve"> Pembacaan standar (mL/min)</t>
  </si>
  <si>
    <t>Pembacaan standar</t>
  </si>
  <si>
    <t>Flow (L/min)</t>
  </si>
  <si>
    <t>Ketidakpastian pengukuran dilaporkan pada tingkat kepercayaan 95% dengan faktor cakupan k = 2</t>
  </si>
  <si>
    <t>Gas Flow Analyzer, Merek : Rigel, Model : Ventest 800, SN : BA120986</t>
  </si>
  <si>
    <t>Electrical Safety Analyzer, Merek : Fluke, Model : ESA 615, SN : 3699030</t>
  </si>
  <si>
    <t>Thermohygrolight, Merek : Greisinger, Model : GFTB 200, SN : 34903051</t>
  </si>
  <si>
    <t>Gusti Arya Dinata</t>
  </si>
  <si>
    <t>IX.</t>
  </si>
  <si>
    <t>Tanggal pembuatan laporan</t>
  </si>
  <si>
    <t>7 September 2020</t>
  </si>
  <si>
    <t>Tidak Baik</t>
  </si>
  <si>
    <t xml:space="preserve">Alat yang di kalibrasi dalam batas toleransi dan dinyatakan LAIK PAKAI </t>
  </si>
  <si>
    <t xml:space="preserve">Alat yang di kalibrasi melebihi batas toleransi dan dinyatakan TIDAK LAIK PAKAI </t>
  </si>
  <si>
    <t>4. Pada  pengukuran flowmeter pembacaan skala diatas bola</t>
  </si>
  <si>
    <t>4. Pada  pengukuran flowmeter pembacaan skala ditengah bola</t>
  </si>
  <si>
    <t>4. Pada  pengukuran flowmeter pembacaan skala dibawah bola</t>
  </si>
  <si>
    <t>1. Hygro-Thermograph, Merek : Sekonic, Model : ST-50A (HE21.000669)(tertelusur ke Direktorat Metrologi Bandung)</t>
  </si>
  <si>
    <t>1. Thermohygrolight, Merek : KIMO, Model : KH-210-AO (14082463)(tertelusur ke PT. Kaliman)</t>
  </si>
  <si>
    <t>2. Electical Safety Analyzer, Merek : Fluke, Model : ESA 615, SN: 2853077 (tertelusur ke PT. Kaliman)</t>
  </si>
  <si>
    <t>2. Electical Safety Analyzer, Merek : Fluke, Model : ESA 615, SN: 2853078 (tertelusur ke PT. Kaliman)</t>
  </si>
  <si>
    <t>2. Electical Safety Analyzer, Merek : Fluke, Model : ESA 620, SN: 1834020 (tertelusur ke Caltek PTE LTD)</t>
  </si>
  <si>
    <t>2. Electical Safety Analyzer, Merek : Fluke, Model : ESA 620, SN: 1837056 (tertelusur ke BPFK Jakarta)</t>
  </si>
  <si>
    <t>2. Electical Safety Analyzer, Merek : Fluke, Model : ESA 615, SN: 3148907 (tertelusur ke PT. Kaliman)</t>
  </si>
  <si>
    <t>2. Electical Safety Analyzer, Merek : Fluke, Model : ESA 615, SN: 3148908 (tertelusur ke PT. Kaliman)</t>
  </si>
  <si>
    <t>UNCERTAINTY BUDGET</t>
  </si>
  <si>
    <t>Flow</t>
  </si>
  <si>
    <t>l/min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</si>
  <si>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</si>
  <si>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</si>
  <si>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</si>
  <si>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</si>
  <si>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</si>
  <si>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</si>
  <si>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</si>
  <si>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</si>
  <si>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</si>
  <si>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</si>
  <si>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</si>
  <si>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</si>
  <si>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</si>
  <si>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Resolusi</t>
  </si>
  <si>
    <t>rect.</t>
  </si>
  <si>
    <t>3. Daya Baca Standar</t>
  </si>
  <si>
    <t xml:space="preserve">4. Drift standar </t>
  </si>
  <si>
    <t>5. Sertifikat Standar</t>
  </si>
  <si>
    <t>Jumlah</t>
  </si>
  <si>
    <t>Ketidakpastian baku gabungan, uc</t>
  </si>
  <si>
    <r>
      <t>Uc</t>
    </r>
    <r>
      <rPr>
        <sz val="11"/>
        <rFont val="Calibri"/>
        <family val="2"/>
        <scheme val="minor"/>
      </rPr>
      <t xml:space="preserve"> = Ö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)²]</t>
    </r>
  </si>
  <si>
    <t>Derajat kebebasan efektif, veff</t>
  </si>
  <si>
    <r>
      <t>n</t>
    </r>
    <r>
      <rPr>
        <vertAlign val="subscript"/>
        <sz val="11"/>
        <rFont val="Calibri"/>
        <family val="2"/>
        <scheme val="minor"/>
      </rPr>
      <t>eff</t>
    </r>
    <r>
      <rPr>
        <sz val="11"/>
        <rFont val="Calibri"/>
        <family val="2"/>
        <scheme val="minor"/>
      </rPr>
      <t xml:space="preserve"> = u</t>
    </r>
    <r>
      <rPr>
        <vertAlign val="subscript"/>
        <sz val="11"/>
        <rFont val="Calibri"/>
        <family val="2"/>
        <scheme val="minor"/>
      </rPr>
      <t>c</t>
    </r>
    <r>
      <rPr>
        <vertAlign val="super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/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 xml:space="preserve"> 4</t>
    </r>
    <r>
      <rPr>
        <sz val="11"/>
        <rFont val="Calibri"/>
        <family val="2"/>
        <scheme val="minor"/>
      </rPr>
      <t>/n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</si>
  <si>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</si>
  <si>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</si>
  <si>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</si>
  <si>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</si>
  <si>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</si>
  <si>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Hasil Kalibrasi Anesthesi Unit</t>
  </si>
  <si>
    <t>Score</t>
  </si>
  <si>
    <t>35 - 75 L/min</t>
  </si>
  <si>
    <t>Koreksi</t>
  </si>
  <si>
    <t>Ketidakpastian pengukuran</t>
  </si>
  <si>
    <t>(| C |) (%)</t>
  </si>
  <si>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10 %</t>
    </r>
  </si>
  <si>
    <t>Score Akhir</t>
  </si>
  <si>
    <t>Status Akhir</t>
  </si>
  <si>
    <t>Nama</t>
  </si>
  <si>
    <t>Paraf</t>
  </si>
  <si>
    <t>Score Total</t>
  </si>
  <si>
    <t>Penyelia :</t>
  </si>
  <si>
    <r>
      <t>+</t>
    </r>
    <r>
      <rPr>
        <sz val="10"/>
        <rFont val="Arial"/>
        <family val="2"/>
      </rPr>
      <t xml:space="preserve"> 10 %</t>
    </r>
  </si>
  <si>
    <t>Menyetujui,</t>
  </si>
  <si>
    <t>Choirul Huda, S.Tr. Kes</t>
  </si>
  <si>
    <t>Halaman 2 dari 2 halaman</t>
  </si>
  <si>
    <t>Donny Martha</t>
  </si>
  <si>
    <t>NIP 198008062010121001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</si>
  <si>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</si>
  <si>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</si>
  <si>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</si>
  <si>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</si>
  <si>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</si>
  <si>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</si>
  <si>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</si>
  <si>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</si>
  <si>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</si>
  <si>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</si>
  <si>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</si>
  <si>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</si>
  <si>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</si>
  <si>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</si>
  <si>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</si>
  <si>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</si>
  <si>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</si>
  <si>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</si>
  <si>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</si>
  <si>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</si>
  <si>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</si>
  <si>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</si>
  <si>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</si>
  <si>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</si>
  <si>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</si>
  <si>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</si>
  <si>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</si>
  <si>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</si>
  <si>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</si>
  <si>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</si>
  <si>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</si>
  <si>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</si>
  <si>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</si>
  <si>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</si>
  <si>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</si>
  <si>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</si>
  <si>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</si>
  <si>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</si>
  <si>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</si>
  <si>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INTERPOLASI KOREKSI SUHU</t>
  </si>
  <si>
    <t>INTERPOLASI KOREKSI KELEMBABAN</t>
  </si>
  <si>
    <t>INTERPOLASI KOREKSI TEKANAN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</si>
  <si>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</si>
  <si>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</si>
  <si>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</si>
  <si>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</si>
  <si>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</si>
  <si>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</si>
  <si>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 hPa</t>
  </si>
  <si>
    <t xml:space="preserve">Thermohygrolight, Merek : KIMO, Model : KH-210-AO, SN : 15062872 </t>
  </si>
  <si>
    <t xml:space="preserve">( </t>
  </si>
  <si>
    <t xml:space="preserve"> ± </t>
  </si>
  <si>
    <t xml:space="preserve"> )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</si>
  <si>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</si>
  <si>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</si>
  <si>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</si>
  <si>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</si>
  <si>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</si>
  <si>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</si>
  <si>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</si>
  <si>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</si>
  <si>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</si>
  <si>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</si>
  <si>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</si>
  <si>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</si>
  <si>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</si>
  <si>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</si>
  <si>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</si>
  <si>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</si>
  <si>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</si>
  <si>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</si>
  <si>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</si>
  <si>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</si>
  <si>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</si>
  <si>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</si>
  <si>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</si>
  <si>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</si>
  <si>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</si>
  <si>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</si>
  <si>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</si>
  <si>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</si>
  <si>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D</t>
  </si>
  <si>
    <t>ESA 615 (2853078)</t>
  </si>
  <si>
    <t>E</t>
  </si>
  <si>
    <t>ESA 615 (3148907)</t>
  </si>
  <si>
    <t>F</t>
  </si>
  <si>
    <t>ESA 615 (3148908)</t>
  </si>
  <si>
    <t>G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</si>
  <si>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</si>
  <si>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</si>
  <si>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</si>
  <si>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</si>
  <si>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</si>
  <si>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</si>
  <si>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</si>
  <si>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</si>
  <si>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VI</t>
  </si>
  <si>
    <t>Pembacaan terkoreksi</t>
  </si>
  <si>
    <t>Hasil</t>
  </si>
  <si>
    <t>NO</t>
  </si>
  <si>
    <t>NC</t>
  </si>
  <si>
    <t>Resistansi pembumian protektif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</si>
  <si>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</si>
  <si>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</si>
  <si>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4669058</t>
  </si>
  <si>
    <t>Electrical Safety Analyzer, Merek : Fluke, Model : ESA 615, SN : 4670010</t>
  </si>
  <si>
    <t>Electrical Safety Analyzer 11</t>
  </si>
  <si>
    <t>Electrical Safety Analyzer 12</t>
  </si>
  <si>
    <t>Arus bocor peralatan untuk peralatan elektromedik kelas II</t>
  </si>
  <si>
    <t>Tidak terdapat grounding di ruangan</t>
  </si>
  <si>
    <t>Alat tidak boleh digunakan pada instalasi tanpa dilengkapi grounding</t>
  </si>
  <si>
    <t>INPUT SERTIFIKAT FLOW ANALYZER</t>
  </si>
  <si>
    <t>1. KOREKSI VT305 BF100519</t>
  </si>
  <si>
    <t>U95    STD</t>
  </si>
  <si>
    <t>3. KOREKSI PF-300 BA101580</t>
  </si>
  <si>
    <t>5. KOREKSI VT305 BF102163</t>
  </si>
  <si>
    <t>Setting Flow</t>
  </si>
  <si>
    <t>( l/min )</t>
  </si>
  <si>
    <t>2. KOREKSI VT Plus HF 2847038</t>
  </si>
  <si>
    <t>4. KOREKSI PF-300 BA120302</t>
  </si>
  <si>
    <t>6. KOREKSI VT305 BF102142</t>
  </si>
  <si>
    <t>7. KOREKSI RIGEL BA120986</t>
  </si>
  <si>
    <t>8. KOREKSI RIGEL BA120987</t>
  </si>
  <si>
    <t>9. KOREKSI RIGEL BA200651</t>
  </si>
  <si>
    <t>10. KOREKSI VT900A 5101035-5102036</t>
  </si>
  <si>
    <t>U95 STD</t>
  </si>
  <si>
    <t>INTERPOLASI KOREKSI FLOW</t>
  </si>
  <si>
    <t>INTERPOLASI DRIFT FLOW</t>
  </si>
  <si>
    <r>
      <t>INTERPOLASI U</t>
    </r>
    <r>
      <rPr>
        <b/>
        <sz val="8"/>
        <rFont val="Times New Roman"/>
        <family val="1"/>
      </rPr>
      <t xml:space="preserve">95 </t>
    </r>
  </si>
  <si>
    <t>INTERPOLASI KOREKSI FLOW FLUSH</t>
  </si>
  <si>
    <t>INTERPOLASI DRIFT FLOW FLUSH</t>
  </si>
  <si>
    <r>
      <t>INTERPOLASI U</t>
    </r>
    <r>
      <rPr>
        <b/>
        <sz val="8"/>
        <rFont val="Times New Roman"/>
        <family val="1"/>
      </rPr>
      <t xml:space="preserve">95 FLUSH </t>
    </r>
  </si>
  <si>
    <t>Konversi mL/min ke L/min</t>
  </si>
  <si>
    <t>Setting Alat</t>
  </si>
  <si>
    <t>Kesalahan</t>
  </si>
  <si>
    <t>Kesalahan Relatif (%)</t>
  </si>
  <si>
    <t>(| U |) (%)</t>
  </si>
  <si>
    <t>(| C |+ | U |) (%)</t>
  </si>
  <si>
    <t>Drift</t>
  </si>
  <si>
    <t>|U|standar</t>
  </si>
  <si>
    <t>Daya Baca Standar</t>
  </si>
  <si>
    <t>Choirul Huda</t>
  </si>
  <si>
    <t>Dany Firmanto</t>
  </si>
  <si>
    <t>Rangga Setya Hantoko</t>
  </si>
  <si>
    <t>Hamdan Syarif</t>
  </si>
  <si>
    <t>Isra Mahensa</t>
  </si>
  <si>
    <t>Muhammad Zaenuri Sugiasmoro</t>
  </si>
  <si>
    <t>Muhammad Arrizal Septiawan</t>
  </si>
  <si>
    <t>Hary Ernanto</t>
  </si>
  <si>
    <t>Muhammad Irfan Husnuzhzhan</t>
  </si>
  <si>
    <t>Fatimah Novrianisa</t>
  </si>
  <si>
    <t>Taufik Priawan</t>
  </si>
  <si>
    <t>Septia Khairunnisa</t>
  </si>
  <si>
    <t>Muhammad Iqbal Saiful Rahman</t>
  </si>
  <si>
    <t>Wardimanul Abrar</t>
  </si>
  <si>
    <t>Venna Filosofia</t>
  </si>
  <si>
    <t>Muhammad Alpian Hadi</t>
  </si>
  <si>
    <t>Achmad Fauzan Adzim</t>
  </si>
  <si>
    <t>Ahmad Ghazali</t>
  </si>
  <si>
    <t>Ryan Rama Chaesar R</t>
  </si>
  <si>
    <t>Siti Fathul Jannah</t>
  </si>
  <si>
    <t xml:space="preserve">Dibuat : </t>
  </si>
  <si>
    <t>Gas Flow Analyzer, Merek : IMT Medical, Model : PF-300, SN : BA101580</t>
  </si>
  <si>
    <t>Gas Flow Analyzer, Merek : IMT Medical, Model : PF-300, SN : BA120302</t>
  </si>
  <si>
    <t>Hasil kalibrasi Flow tertelusur ke Satuan Internasional (SI) melalui PT. CALTEK PTE LTD</t>
  </si>
  <si>
    <t>Gas Flow Analyzer, Merek : Fluke, Model : VT Plus HF, SN : 2847038</t>
  </si>
  <si>
    <t>Gas Flow Analyzer, Merek : Fluke, Model : VT305, SN : BF102163</t>
  </si>
  <si>
    <t>Hasil kalibrasi Flow tertelusur ke Satuan Internasional (SI) melalui Fluke Biomedical</t>
  </si>
  <si>
    <t>Gas Flow Analyzer, Merek : Fluke, Model : VT305, SN : BF102142</t>
  </si>
  <si>
    <t>Gas Flow Analyzer, Merek : Rigel, Model : Ventest 800, SN : BA120987</t>
  </si>
  <si>
    <t>Hasil kalibrasi Flow tertelusur ke Satuan Internasional (SI) melalui RIGEL Medical</t>
  </si>
  <si>
    <t>Gas Flow Analyzer, Merek : Rigel, Model : Ventest 800, SN : BA200651</t>
  </si>
  <si>
    <t>Nomor Sertifikat : 35 /</t>
  </si>
  <si>
    <t>Nomor Surat Keterangan : 35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</si>
  <si>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</si>
  <si>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</si>
  <si>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Nilai</t>
  </si>
  <si>
    <t>Status</t>
  </si>
  <si>
    <t>KESIMPULAN PENGUJIAN KINERJA</t>
  </si>
  <si>
    <t xml:space="preserve">Score Total </t>
  </si>
  <si>
    <t>11. KOREKSI VT900A 5101752-5102038</t>
  </si>
  <si>
    <t>OL</t>
  </si>
  <si>
    <t>Kelas I</t>
  </si>
  <si>
    <t>Input NC</t>
  </si>
  <si>
    <t>Terkoreksi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</si>
  <si>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</si>
  <si>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</si>
  <si>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</si>
  <si>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</si>
  <si>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</si>
  <si>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</si>
  <si>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>Arus bocor peralatan untuk peralatan elektromedik kelas (I / II)</t>
  </si>
  <si>
    <t>Gas Flow Analyzer, Merek : Fluke, Model : VT900A, SN : 5101035-5102036</t>
  </si>
  <si>
    <t>Gas Flow Analyzer, Merek : Fluke, Model : VT900A, SN : 5101752-5102038</t>
  </si>
  <si>
    <r>
      <t>( M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</si>
  <si>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r>
      <t xml:space="preserve">( 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</si>
  <si>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Koreksi Tegangan Jala jala</t>
  </si>
  <si>
    <t>Koreksi Resistansi Isolasi</t>
  </si>
  <si>
    <t>Koreksi Resistansi Pembumian</t>
  </si>
  <si>
    <t>Koreksi Arus Bocor (NO)</t>
  </si>
  <si>
    <t>Koreksi Arus bocor (NC)</t>
  </si>
  <si>
    <t>U95 Jala-jala</t>
  </si>
  <si>
    <t xml:space="preserve"> Volt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</si>
  <si>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</si>
  <si>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</si>
  <si>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</si>
  <si>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</si>
  <si>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--</t>
  </si>
  <si>
    <t>23 Agustus 2023</t>
  </si>
  <si>
    <t>Update Sertifikat VT900 SN 752 &amp; 035</t>
  </si>
  <si>
    <t>Sudah Ter Update</t>
  </si>
  <si>
    <t>Donny</t>
  </si>
  <si>
    <t>Oleh</t>
  </si>
  <si>
    <t>Rev 2 : 30.8.2023</t>
  </si>
  <si>
    <t>Farid Wajidi, SKM</t>
  </si>
  <si>
    <t>NIP 196712101990031012</t>
  </si>
  <si>
    <t xml:space="preserve">                                                                 </t>
  </si>
  <si>
    <t>FV. 068-18</t>
  </si>
  <si>
    <t xml:space="preserve">Nama Alat            : </t>
  </si>
  <si>
    <t>Vaporizer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</si>
  <si>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</si>
  <si>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</si>
  <si>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</si>
  <si>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</si>
  <si>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</si>
  <si>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</si>
  <si>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</si>
  <si>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</si>
  <si>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</si>
  <si>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</si>
  <si>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</si>
  <si>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</si>
  <si>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</si>
  <si>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</si>
  <si>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</si>
  <si>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</si>
  <si>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</si>
  <si>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</si>
  <si>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</si>
  <si>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</si>
  <si>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</si>
  <si>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</si>
  <si>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</si>
  <si>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</si>
  <si>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</si>
  <si>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</si>
  <si>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±</t>
  </si>
  <si>
    <t>12 November 2023</t>
  </si>
  <si>
    <t>Gas Flow Analyzer, Merek : Fluke, Model : VT305, SN : BF100519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</si>
</sst>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0.000"/>
    <numFmt numFmtId="165" formatCode="0.0"/>
    <numFmt numFmtId="166" formatCode="0.00000"/>
    <numFmt numFmtId="167" formatCode="0.0000"/>
    <numFmt numFmtId="168" formatCode="0.0\ &quot;LPM&quot;"/>
    <numFmt numFmtId="169" formatCode="0.0\ \ \±"/>
    <numFmt numFmtId="170" formatCode="0.0\ \ &quot;°C&quot;"/>
    <numFmt numFmtId="171" formatCode="0.0\ \ &quot;%RH&quot;"/>
    <numFmt numFmtId="172" formatCode="0.0\ &quot;Volt&quot;"/>
    <numFmt numFmtId="173" formatCode="0.000\ &quot;Ω&quot;"/>
    <numFmt numFmtId="174" formatCode="0.0\ &quot;µA&quot;"/>
    <numFmt numFmtId="175" formatCode="[$-421]dd\ mmmm\ yyyy;@"/>
    <numFmt numFmtId="176" formatCode="\≤\ 0.0\ &quot;Ω&quot;"/>
    <numFmt numFmtId="177" formatCode="0\ &quot;MΩ&quot;"/>
    <numFmt numFmtId="179" formatCode="\≤\ 0\ &quot;µA&quot;"/>
    <numFmt numFmtId="180" formatCode="0\ &quot;%&quot;"/>
    <numFmt numFmtId="181" formatCode="\&gt;\ 0"/>
    <numFmt numFmtId="182" formatCode="\&gt;\ 0\ &quot;MΩ&quot;"/>
    <numFmt numFmtId="183" formatCode="\≤\ 0"/>
    <numFmt numFmtId="184" formatCode="\≤\ 0\ \µ\A"/>
    <numFmt numFmtId="185" formatCode="\≤\ 0.0\ \Ω"/>
  </numFmts>
  <fonts count="8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9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u/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sz val="11"/>
      <color theme="0" tint="-0.249977111117893"/>
      <name val="Arial"/>
      <family val="2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10"/>
      <color theme="0"/>
      <name val="Times New Roman"/>
      <family val="1"/>
    </font>
    <font>
      <b/>
      <sz val="9"/>
      <color theme="0"/>
      <name val="Times New Roman"/>
      <family val="1"/>
    </font>
    <font>
      <sz val="9"/>
      <color theme="0"/>
      <name val="Times New Roman"/>
      <family val="1"/>
    </font>
    <font>
      <b/>
      <i/>
      <sz val="14"/>
      <name val="Calibri"/>
      <family val="2"/>
      <scheme val="minor"/>
    </font>
    <font>
      <u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u/>
      <sz val="14"/>
      <name val="Arial"/>
      <family val="2"/>
    </font>
    <font>
      <sz val="28"/>
      <name val="Arial"/>
      <family val="2"/>
    </font>
    <font>
      <i/>
      <sz val="11"/>
      <name val="Times New Roman"/>
      <family val="1"/>
    </font>
    <font>
      <sz val="11"/>
      <name val="Calibri"/>
      <family val="2"/>
    </font>
    <font>
      <sz val="8"/>
      <color theme="1"/>
      <name val="Calibri"/>
      <family val="2"/>
      <scheme val="minor"/>
    </font>
    <font>
      <sz val="14"/>
      <name val="Times New Roman"/>
      <family val="1"/>
    </font>
    <font>
      <sz val="8"/>
      <color theme="0"/>
      <name val="Times New Roman"/>
      <family val="1"/>
    </font>
    <font>
      <sz val="10"/>
      <color theme="1" tint="0.249977111117893"/>
      <name val="Arial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335">
    <xf numFmtId="0" fontId="0" fillId="0" borderId="0" xfId="0"/>
    <xf numFmtId="2" fontId="4" fillId="2" borderId="0" xfId="0" applyNumberFormat="1" applyFont="1" applyFill="1" applyAlignment="1">
      <alignment horizontal="center" vertical="center"/>
    </xf>
    <xf numFmtId="0" fontId="13" fillId="2" borderId="52" xfId="0" applyFont="1" applyFill="1" applyBorder="1" applyAlignment="1">
      <alignment horizontal="center" vertical="center"/>
    </xf>
    <xf numFmtId="2" fontId="13" fillId="2" borderId="39" xfId="0" applyNumberFormat="1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5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4" fontId="13" fillId="2" borderId="16" xfId="0" applyNumberFormat="1" applyFont="1" applyFill="1" applyBorder="1" applyAlignment="1">
      <alignment horizontal="center" vertical="center"/>
    </xf>
    <xf numFmtId="0" fontId="13" fillId="2" borderId="54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3" fillId="0" borderId="0" xfId="0" applyFont="1"/>
    <xf numFmtId="0" fontId="0" fillId="0" borderId="50" xfId="0" applyBorder="1"/>
    <xf numFmtId="0" fontId="0" fillId="0" borderId="33" xfId="0" applyBorder="1"/>
    <xf numFmtId="0" fontId="0" fillId="0" borderId="35" xfId="0" applyBorder="1"/>
    <xf numFmtId="0" fontId="13" fillId="2" borderId="50" xfId="2" applyFont="1" applyFill="1" applyBorder="1" applyAlignment="1">
      <alignment horizontal="center" vertical="center"/>
    </xf>
    <xf numFmtId="0" fontId="4" fillId="0" borderId="0" xfId="0" applyFont="1"/>
    <xf numFmtId="0" fontId="4" fillId="0" borderId="36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8" fillId="2" borderId="0" xfId="2" applyFont="1" applyFill="1"/>
    <xf numFmtId="2" fontId="7" fillId="7" borderId="16" xfId="2" applyNumberFormat="1" applyFont="1" applyFill="1" applyBorder="1" applyAlignment="1">
      <alignment horizontal="center" vertical="center"/>
    </xf>
    <xf numFmtId="2" fontId="4" fillId="7" borderId="16" xfId="2" applyNumberFormat="1" applyFont="1" applyFill="1" applyBorder="1" applyAlignment="1">
      <alignment horizontal="center" vertical="center"/>
    </xf>
    <xf numFmtId="2" fontId="4" fillId="7" borderId="16" xfId="0" applyNumberFormat="1" applyFont="1" applyFill="1" applyBorder="1" applyAlignment="1">
      <alignment horizontal="center" vertical="center"/>
    </xf>
    <xf numFmtId="2" fontId="2" fillId="7" borderId="16" xfId="0" applyNumberFormat="1" applyFont="1" applyFill="1" applyBorder="1" applyAlignment="1">
      <alignment horizontal="center" vertical="center"/>
    </xf>
    <xf numFmtId="2" fontId="2" fillId="7" borderId="16" xfId="2" applyNumberFormat="1" applyFill="1" applyBorder="1" applyAlignment="1">
      <alignment horizontal="center" vertical="center"/>
    </xf>
    <xf numFmtId="0" fontId="11" fillId="8" borderId="68" xfId="0" applyFont="1" applyFill="1" applyBorder="1" applyAlignment="1">
      <alignment horizontal="center" vertical="center"/>
    </xf>
    <xf numFmtId="0" fontId="4" fillId="2" borderId="0" xfId="0" applyFont="1" applyFill="1"/>
    <xf numFmtId="0" fontId="11" fillId="8" borderId="39" xfId="0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/>
    </xf>
    <xf numFmtId="2" fontId="2" fillId="8" borderId="16" xfId="0" applyNumberFormat="1" applyFont="1" applyFill="1" applyBorder="1" applyAlignment="1">
      <alignment horizontal="center"/>
    </xf>
    <xf numFmtId="2" fontId="2" fillId="8" borderId="40" xfId="0" applyNumberFormat="1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/>
    </xf>
    <xf numFmtId="164" fontId="2" fillId="8" borderId="40" xfId="0" applyNumberFormat="1" applyFont="1" applyFill="1" applyBorder="1" applyAlignment="1">
      <alignment horizontal="center" vertical="center"/>
    </xf>
    <xf numFmtId="2" fontId="2" fillId="8" borderId="54" xfId="0" applyNumberFormat="1" applyFont="1" applyFill="1" applyBorder="1" applyAlignment="1">
      <alignment horizontal="center"/>
    </xf>
    <xf numFmtId="2" fontId="2" fillId="8" borderId="55" xfId="0" applyNumberFormat="1" applyFont="1" applyFill="1" applyBorder="1" applyAlignment="1">
      <alignment horizontal="center" vertical="center"/>
    </xf>
    <xf numFmtId="164" fontId="2" fillId="8" borderId="54" xfId="0" applyNumberFormat="1" applyFont="1" applyFill="1" applyBorder="1" applyAlignment="1">
      <alignment horizontal="center"/>
    </xf>
    <xf numFmtId="0" fontId="4" fillId="0" borderId="44" xfId="0" applyFont="1" applyBorder="1"/>
    <xf numFmtId="0" fontId="4" fillId="2" borderId="35" xfId="0" applyFont="1" applyFill="1" applyBorder="1"/>
    <xf numFmtId="2" fontId="0" fillId="4" borderId="32" xfId="0" applyNumberFormat="1" applyFill="1" applyBorder="1" applyAlignment="1">
      <alignment vertical="center"/>
    </xf>
    <xf numFmtId="2" fontId="0" fillId="4" borderId="33" xfId="0" applyNumberFormat="1" applyFill="1" applyBorder="1" applyAlignment="1">
      <alignment vertical="center"/>
    </xf>
    <xf numFmtId="2" fontId="0" fillId="4" borderId="34" xfId="0" applyNumberFormat="1" applyFill="1" applyBorder="1" applyAlignment="1">
      <alignment vertical="center"/>
    </xf>
    <xf numFmtId="0" fontId="4" fillId="0" borderId="35" xfId="0" applyFont="1" applyBorder="1"/>
    <xf numFmtId="0" fontId="25" fillId="8" borderId="46" xfId="0" applyFont="1" applyFill="1" applyBorder="1" applyAlignment="1">
      <alignment horizontal="center" vertical="center"/>
    </xf>
    <xf numFmtId="0" fontId="25" fillId="8" borderId="23" xfId="0" applyFont="1" applyFill="1" applyBorder="1" applyAlignment="1">
      <alignment horizontal="center" vertical="center"/>
    </xf>
    <xf numFmtId="164" fontId="4" fillId="8" borderId="16" xfId="0" applyNumberFormat="1" applyFont="1" applyFill="1" applyBorder="1" applyAlignment="1">
      <alignment horizontal="center" vertical="center"/>
    </xf>
    <xf numFmtId="0" fontId="13" fillId="2" borderId="66" xfId="2" applyFont="1" applyFill="1" applyBorder="1" applyAlignment="1">
      <alignment horizontal="center" vertical="center" wrapText="1"/>
    </xf>
    <xf numFmtId="0" fontId="13" fillId="2" borderId="50" xfId="2" applyFont="1" applyFill="1" applyBorder="1" applyAlignment="1">
      <alignment vertical="center" wrapText="1"/>
    </xf>
    <xf numFmtId="0" fontId="4" fillId="2" borderId="50" xfId="0" applyFont="1" applyFill="1" applyBorder="1"/>
    <xf numFmtId="0" fontId="4" fillId="2" borderId="60" xfId="0" applyFont="1" applyFill="1" applyBorder="1"/>
    <xf numFmtId="0" fontId="4" fillId="2" borderId="36" xfId="0" applyFont="1" applyFill="1" applyBorder="1"/>
    <xf numFmtId="2" fontId="4" fillId="2" borderId="35" xfId="0" applyNumberFormat="1" applyFont="1" applyFill="1" applyBorder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63" xfId="0" applyFont="1" applyFill="1" applyBorder="1"/>
    <xf numFmtId="2" fontId="13" fillId="2" borderId="68" xfId="0" applyNumberFormat="1" applyFont="1" applyFill="1" applyBorder="1" applyAlignment="1">
      <alignment horizontal="center" vertical="center"/>
    </xf>
    <xf numFmtId="2" fontId="13" fillId="2" borderId="69" xfId="0" applyNumberFormat="1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2" fontId="13" fillId="2" borderId="64" xfId="0" applyNumberFormat="1" applyFont="1" applyFill="1" applyBorder="1" applyAlignment="1">
      <alignment horizontal="center" vertical="center"/>
    </xf>
    <xf numFmtId="2" fontId="13" fillId="2" borderId="65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0" fontId="4" fillId="2" borderId="33" xfId="0" applyFont="1" applyFill="1" applyBorder="1"/>
    <xf numFmtId="0" fontId="16" fillId="0" borderId="48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24" xfId="0" applyFont="1" applyBorder="1"/>
    <xf numFmtId="0" fontId="3" fillId="0" borderId="24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2" xfId="0" quotePrefix="1" applyFont="1" applyFill="1" applyBorder="1" applyAlignment="1">
      <alignment vertical="center"/>
    </xf>
    <xf numFmtId="0" fontId="3" fillId="0" borderId="43" xfId="0" applyFont="1" applyBorder="1"/>
    <xf numFmtId="0" fontId="3" fillId="0" borderId="79" xfId="0" applyFont="1" applyBorder="1" applyAlignment="1">
      <alignment horizontal="center" vertical="center"/>
    </xf>
    <xf numFmtId="0" fontId="3" fillId="2" borderId="31" xfId="0" quotePrefix="1" applyFont="1" applyFill="1" applyBorder="1" applyAlignment="1">
      <alignment vertical="center"/>
    </xf>
    <xf numFmtId="0" fontId="3" fillId="0" borderId="83" xfId="0" applyFont="1" applyBorder="1"/>
    <xf numFmtId="0" fontId="16" fillId="0" borderId="44" xfId="0" applyFont="1" applyBorder="1"/>
    <xf numFmtId="0" fontId="16" fillId="0" borderId="49" xfId="0" applyFont="1" applyBorder="1"/>
    <xf numFmtId="0" fontId="7" fillId="8" borderId="17" xfId="0" applyFont="1" applyFill="1" applyBorder="1" applyAlignment="1">
      <alignment vertical="center"/>
    </xf>
    <xf numFmtId="1" fontId="4" fillId="8" borderId="40" xfId="0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7" xfId="0" applyFont="1" applyBorder="1"/>
    <xf numFmtId="0" fontId="3" fillId="0" borderId="38" xfId="0" applyFont="1" applyBorder="1"/>
    <xf numFmtId="0" fontId="7" fillId="8" borderId="24" xfId="0" applyFont="1" applyFill="1" applyBorder="1" applyAlignment="1">
      <alignment vertical="center"/>
    </xf>
    <xf numFmtId="1" fontId="4" fillId="8" borderId="78" xfId="0" applyNumberFormat="1" applyFont="1" applyFill="1" applyBorder="1" applyAlignment="1">
      <alignment horizontal="center" vertical="center"/>
    </xf>
    <xf numFmtId="0" fontId="3" fillId="0" borderId="56" xfId="0" applyFont="1" applyBorder="1"/>
    <xf numFmtId="0" fontId="3" fillId="0" borderId="81" xfId="0" applyFont="1" applyBorder="1"/>
    <xf numFmtId="0" fontId="3" fillId="0" borderId="84" xfId="0" applyFont="1" applyBorder="1"/>
    <xf numFmtId="0" fontId="3" fillId="0" borderId="80" xfId="0" applyFont="1" applyBorder="1"/>
    <xf numFmtId="2" fontId="4" fillId="2" borderId="16" xfId="0" applyNumberFormat="1" applyFont="1" applyFill="1" applyBorder="1" applyAlignment="1">
      <alignment horizontal="center" vertical="center"/>
    </xf>
    <xf numFmtId="0" fontId="12" fillId="2" borderId="39" xfId="2" applyFont="1" applyFill="1" applyBorder="1" applyAlignment="1">
      <alignment horizontal="center" vertical="center"/>
    </xf>
    <xf numFmtId="2" fontId="4" fillId="2" borderId="54" xfId="0" applyNumberFormat="1" applyFont="1" applyFill="1" applyBorder="1" applyAlignment="1">
      <alignment horizontal="center" vertical="center"/>
    </xf>
    <xf numFmtId="2" fontId="13" fillId="2" borderId="36" xfId="0" applyNumberFormat="1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vertical="center"/>
    </xf>
    <xf numFmtId="0" fontId="19" fillId="2" borderId="37" xfId="2" applyFont="1" applyFill="1" applyBorder="1" applyAlignment="1">
      <alignment vertical="center"/>
    </xf>
    <xf numFmtId="0" fontId="18" fillId="2" borderId="17" xfId="2" applyFont="1" applyFill="1" applyBorder="1" applyAlignment="1">
      <alignment vertical="center"/>
    </xf>
    <xf numFmtId="1" fontId="18" fillId="2" borderId="16" xfId="2" applyNumberFormat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center" vertical="center"/>
    </xf>
    <xf numFmtId="0" fontId="18" fillId="2" borderId="36" xfId="2" applyFont="1" applyFill="1" applyBorder="1" applyAlignment="1">
      <alignment vertical="center"/>
    </xf>
    <xf numFmtId="0" fontId="29" fillId="2" borderId="37" xfId="2" applyFont="1" applyFill="1" applyBorder="1" applyAlignment="1">
      <alignment horizontal="center" vertical="center"/>
    </xf>
    <xf numFmtId="0" fontId="29" fillId="2" borderId="16" xfId="2" applyFont="1" applyFill="1" applyBorder="1" applyAlignment="1">
      <alignment horizontal="center" vertical="center"/>
    </xf>
    <xf numFmtId="0" fontId="29" fillId="2" borderId="17" xfId="2" applyFont="1" applyFill="1" applyBorder="1" applyAlignment="1">
      <alignment horizontal="center" vertical="center"/>
    </xf>
    <xf numFmtId="2" fontId="29" fillId="2" borderId="17" xfId="2" applyNumberFormat="1" applyFont="1" applyFill="1" applyBorder="1" applyAlignment="1">
      <alignment horizontal="center" vertical="center"/>
    </xf>
    <xf numFmtId="0" fontId="29" fillId="2" borderId="38" xfId="2" applyFont="1" applyFill="1" applyBorder="1" applyAlignment="1">
      <alignment horizontal="center" vertical="center"/>
    </xf>
    <xf numFmtId="0" fontId="18" fillId="2" borderId="39" xfId="2" applyFont="1" applyFill="1" applyBorder="1" applyAlignment="1">
      <alignment horizontal="left" vertical="center"/>
    </xf>
    <xf numFmtId="0" fontId="18" fillId="2" borderId="16" xfId="2" applyFont="1" applyFill="1" applyBorder="1" applyAlignment="1">
      <alignment horizontal="center" vertical="center"/>
    </xf>
    <xf numFmtId="0" fontId="18" fillId="2" borderId="23" xfId="2" applyFont="1" applyFill="1" applyBorder="1" applyAlignment="1">
      <alignment horizontal="center" vertical="center"/>
    </xf>
    <xf numFmtId="11" fontId="18" fillId="2" borderId="23" xfId="2" applyNumberFormat="1" applyFont="1" applyFill="1" applyBorder="1" applyAlignment="1">
      <alignment horizontal="center" vertical="center"/>
    </xf>
    <xf numFmtId="11" fontId="18" fillId="2" borderId="36" xfId="2" applyNumberFormat="1" applyFont="1" applyFill="1" applyBorder="1" applyAlignment="1">
      <alignment horizontal="center" vertical="center"/>
    </xf>
    <xf numFmtId="0" fontId="18" fillId="2" borderId="37" xfId="2" applyFont="1" applyFill="1" applyBorder="1" applyAlignment="1">
      <alignment horizontal="left" vertical="center"/>
    </xf>
    <xf numFmtId="0" fontId="18" fillId="2" borderId="17" xfId="2" applyFont="1" applyFill="1" applyBorder="1" applyAlignment="1">
      <alignment horizontal="center" vertical="center"/>
    </xf>
    <xf numFmtId="2" fontId="18" fillId="2" borderId="24" xfId="2" applyNumberFormat="1" applyFont="1" applyFill="1" applyBorder="1" applyAlignment="1">
      <alignment horizontal="center" vertical="center"/>
    </xf>
    <xf numFmtId="167" fontId="18" fillId="2" borderId="17" xfId="2" applyNumberFormat="1" applyFont="1" applyFill="1" applyBorder="1" applyAlignment="1">
      <alignment horizontal="center" vertical="center"/>
    </xf>
    <xf numFmtId="11" fontId="18" fillId="2" borderId="16" xfId="2" applyNumberFormat="1" applyFont="1" applyFill="1" applyBorder="1" applyAlignment="1">
      <alignment horizontal="center" vertical="center"/>
    </xf>
    <xf numFmtId="11" fontId="18" fillId="2" borderId="38" xfId="2" applyNumberFormat="1" applyFont="1" applyFill="1" applyBorder="1" applyAlignment="1">
      <alignment horizontal="center" vertical="center"/>
    </xf>
    <xf numFmtId="2" fontId="18" fillId="2" borderId="16" xfId="2" applyNumberFormat="1" applyFont="1" applyFill="1" applyBorder="1" applyAlignment="1">
      <alignment horizontal="center" vertical="center"/>
    </xf>
    <xf numFmtId="167" fontId="18" fillId="2" borderId="16" xfId="2" applyNumberFormat="1" applyFont="1" applyFill="1" applyBorder="1" applyAlignment="1">
      <alignment horizontal="center" vertical="center"/>
    </xf>
    <xf numFmtId="11" fontId="18" fillId="2" borderId="40" xfId="2" applyNumberFormat="1" applyFont="1" applyFill="1" applyBorder="1" applyAlignment="1">
      <alignment horizontal="center" vertical="center"/>
    </xf>
    <xf numFmtId="0" fontId="18" fillId="2" borderId="39" xfId="2" applyFont="1" applyFill="1" applyBorder="1" applyAlignment="1">
      <alignment vertical="center"/>
    </xf>
    <xf numFmtId="2" fontId="18" fillId="2" borderId="2" xfId="2" applyNumberFormat="1" applyFont="1" applyFill="1" applyBorder="1" applyAlignment="1">
      <alignment horizontal="center" vertical="center"/>
    </xf>
    <xf numFmtId="0" fontId="29" fillId="2" borderId="35" xfId="2" applyFont="1" applyFill="1" applyBorder="1" applyAlignment="1">
      <alignment vertical="center"/>
    </xf>
    <xf numFmtId="11" fontId="18" fillId="2" borderId="1" xfId="2" applyNumberFormat="1" applyFont="1" applyFill="1" applyBorder="1" applyAlignment="1">
      <alignment horizontal="center" vertical="center"/>
    </xf>
    <xf numFmtId="11" fontId="18" fillId="2" borderId="41" xfId="2" applyNumberFormat="1" applyFont="1" applyFill="1" applyBorder="1" applyAlignment="1">
      <alignment horizontal="center" vertical="center"/>
    </xf>
    <xf numFmtId="0" fontId="29" fillId="2" borderId="37" xfId="2" applyFont="1" applyFill="1" applyBorder="1" applyAlignment="1">
      <alignment vertical="center"/>
    </xf>
    <xf numFmtId="0" fontId="21" fillId="2" borderId="17" xfId="2" applyFont="1" applyFill="1" applyBorder="1" applyAlignment="1">
      <alignment vertical="center"/>
    </xf>
    <xf numFmtId="2" fontId="21" fillId="2" borderId="17" xfId="2" applyNumberFormat="1" applyFont="1" applyFill="1" applyBorder="1" applyAlignment="1">
      <alignment vertical="center"/>
    </xf>
    <xf numFmtId="0" fontId="30" fillId="2" borderId="17" xfId="2" applyFont="1" applyFill="1" applyBorder="1" applyAlignment="1">
      <alignment vertical="center"/>
    </xf>
    <xf numFmtId="166" fontId="22" fillId="2" borderId="15" xfId="2" applyNumberFormat="1" applyFont="1" applyFill="1" applyBorder="1" applyAlignment="1">
      <alignment horizontal="center" vertical="center"/>
    </xf>
    <xf numFmtId="0" fontId="22" fillId="2" borderId="38" xfId="2" applyFont="1" applyFill="1" applyBorder="1" applyAlignment="1">
      <alignment vertical="center"/>
    </xf>
    <xf numFmtId="0" fontId="22" fillId="2" borderId="36" xfId="2" applyFont="1" applyFill="1" applyBorder="1" applyAlignment="1">
      <alignment vertical="center"/>
    </xf>
    <xf numFmtId="0" fontId="22" fillId="2" borderId="17" xfId="2" applyFont="1" applyFill="1" applyBorder="1" applyAlignment="1">
      <alignment vertical="center"/>
    </xf>
    <xf numFmtId="164" fontId="20" fillId="2" borderId="15" xfId="2" applyNumberFormat="1" applyFont="1" applyFill="1" applyBorder="1" applyAlignment="1">
      <alignment horizontal="center" vertical="center"/>
    </xf>
    <xf numFmtId="0" fontId="29" fillId="2" borderId="42" xfId="2" applyFont="1" applyFill="1" applyBorder="1" applyAlignment="1">
      <alignment vertical="center"/>
    </xf>
    <xf numFmtId="0" fontId="21" fillId="2" borderId="2" xfId="2" applyFont="1" applyFill="1" applyBorder="1" applyAlignment="1">
      <alignment vertical="center"/>
    </xf>
    <xf numFmtId="2" fontId="21" fillId="2" borderId="2" xfId="2" applyNumberFormat="1" applyFont="1" applyFill="1" applyBorder="1" applyAlignment="1">
      <alignment vertical="center"/>
    </xf>
    <xf numFmtId="0" fontId="22" fillId="2" borderId="2" xfId="2" applyFont="1" applyFill="1" applyBorder="1" applyAlignment="1">
      <alignment vertical="center"/>
    </xf>
    <xf numFmtId="0" fontId="29" fillId="2" borderId="31" xfId="2" applyFont="1" applyFill="1" applyBorder="1" applyAlignment="1">
      <alignment vertical="center"/>
    </xf>
    <xf numFmtId="164" fontId="21" fillId="2" borderId="36" xfId="2" applyNumberFormat="1" applyFont="1" applyFill="1" applyBorder="1" applyAlignment="1">
      <alignment horizontal="center" vertical="center"/>
    </xf>
    <xf numFmtId="0" fontId="18" fillId="2" borderId="33" xfId="0" applyFont="1" applyFill="1" applyBorder="1" applyAlignment="1">
      <alignment vertical="center"/>
    </xf>
    <xf numFmtId="1" fontId="19" fillId="2" borderId="37" xfId="2" applyNumberFormat="1" applyFont="1" applyFill="1" applyBorder="1" applyAlignment="1">
      <alignment vertical="center"/>
    </xf>
    <xf numFmtId="2" fontId="18" fillId="2" borderId="19" xfId="2" applyNumberFormat="1" applyFont="1" applyFill="1" applyBorder="1" applyAlignment="1">
      <alignment horizontal="center" vertical="center"/>
    </xf>
    <xf numFmtId="2" fontId="18" fillId="2" borderId="13" xfId="2" applyNumberFormat="1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vertical="center"/>
    </xf>
    <xf numFmtId="0" fontId="22" fillId="0" borderId="0" xfId="0" applyFont="1"/>
    <xf numFmtId="2" fontId="7" fillId="2" borderId="16" xfId="2" applyNumberFormat="1" applyFont="1" applyFill="1" applyBorder="1" applyAlignment="1">
      <alignment horizontal="center" vertical="center"/>
    </xf>
    <xf numFmtId="2" fontId="2" fillId="2" borderId="16" xfId="2" applyNumberForma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13" fillId="2" borderId="16" xfId="0" applyNumberFormat="1" applyFont="1" applyFill="1" applyBorder="1" applyAlignment="1">
      <alignment horizontal="center" vertical="center"/>
    </xf>
    <xf numFmtId="0" fontId="7" fillId="2" borderId="39" xfId="2" applyFont="1" applyFill="1" applyBorder="1" applyAlignment="1">
      <alignment horizontal="center" vertical="center"/>
    </xf>
    <xf numFmtId="164" fontId="7" fillId="2" borderId="16" xfId="2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50" xfId="0" applyBorder="1" applyProtection="1">
      <protection locked="0"/>
    </xf>
    <xf numFmtId="2" fontId="2" fillId="5" borderId="53" xfId="0" applyNumberFormat="1" applyFont="1" applyFill="1" applyBorder="1" applyAlignment="1" applyProtection="1">
      <alignment horizontal="center"/>
      <protection locked="0"/>
    </xf>
    <xf numFmtId="0" fontId="0" fillId="0" borderId="35" xfId="0" applyBorder="1" applyProtection="1">
      <protection locked="0"/>
    </xf>
    <xf numFmtId="2" fontId="2" fillId="5" borderId="40" xfId="0" applyNumberFormat="1" applyFont="1" applyFill="1" applyBorder="1" applyAlignment="1" applyProtection="1">
      <alignment horizontal="center"/>
      <protection locked="0"/>
    </xf>
    <xf numFmtId="0" fontId="0" fillId="0" borderId="33" xfId="0" applyBorder="1" applyProtection="1">
      <protection locked="0"/>
    </xf>
    <xf numFmtId="2" fontId="2" fillId="5" borderId="55" xfId="0" applyNumberFormat="1" applyFont="1" applyFill="1" applyBorder="1" applyAlignment="1" applyProtection="1">
      <alignment horizontal="center"/>
      <protection locked="0"/>
    </xf>
    <xf numFmtId="0" fontId="11" fillId="5" borderId="62" xfId="0" applyFont="1" applyFill="1" applyBorder="1" applyAlignment="1" applyProtection="1">
      <alignment horizontal="center" vertic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horizontal="center"/>
      <protection locked="0"/>
    </xf>
    <xf numFmtId="0" fontId="2" fillId="2" borderId="0" xfId="0" quotePrefix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2" fontId="2" fillId="2" borderId="0" xfId="0" applyNumberFormat="1" applyFont="1" applyFill="1" applyAlignment="1" applyProtection="1">
      <alignment horizontal="center"/>
      <protection locked="0"/>
    </xf>
    <xf numFmtId="0" fontId="4" fillId="4" borderId="32" xfId="0" applyFont="1" applyFill="1" applyBorder="1" applyProtection="1">
      <protection locked="0"/>
    </xf>
    <xf numFmtId="0" fontId="13" fillId="2" borderId="50" xfId="2" applyFont="1" applyFill="1" applyBorder="1" applyAlignment="1">
      <alignment vertical="center"/>
    </xf>
    <xf numFmtId="0" fontId="12" fillId="5" borderId="16" xfId="2" applyFont="1" applyFill="1" applyBorder="1" applyAlignment="1">
      <alignment horizontal="center" vertical="center"/>
    </xf>
    <xf numFmtId="2" fontId="4" fillId="5" borderId="16" xfId="0" applyNumberFormat="1" applyFont="1" applyFill="1" applyBorder="1" applyAlignment="1">
      <alignment horizontal="center" vertical="center"/>
    </xf>
    <xf numFmtId="2" fontId="4" fillId="5" borderId="16" xfId="0" applyNumberFormat="1" applyFont="1" applyFill="1" applyBorder="1" applyAlignment="1">
      <alignment horizontal="center"/>
    </xf>
    <xf numFmtId="0" fontId="4" fillId="2" borderId="7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2" fontId="4" fillId="2" borderId="85" xfId="0" applyNumberFormat="1" applyFont="1" applyFill="1" applyBorder="1" applyAlignment="1">
      <alignment horizontal="center"/>
    </xf>
    <xf numFmtId="2" fontId="4" fillId="2" borderId="36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41" xfId="0" applyNumberFormat="1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2" borderId="66" xfId="2" applyFont="1" applyFill="1" applyBorder="1" applyAlignment="1">
      <alignment horizontal="center" vertical="center"/>
    </xf>
    <xf numFmtId="0" fontId="13" fillId="2" borderId="50" xfId="2" applyFont="1" applyFill="1" applyBorder="1" applyAlignment="1">
      <alignment horizontal="left" vertical="center" wrapText="1"/>
    </xf>
    <xf numFmtId="0" fontId="25" fillId="2" borderId="39" xfId="0" applyFont="1" applyFill="1" applyBorder="1" applyAlignment="1">
      <alignment horizontal="center" vertical="center"/>
    </xf>
    <xf numFmtId="0" fontId="8" fillId="2" borderId="39" xfId="2" applyFont="1" applyFill="1" applyBorder="1" applyAlignment="1">
      <alignment horizontal="center" vertical="center"/>
    </xf>
    <xf numFmtId="165" fontId="4" fillId="2" borderId="39" xfId="0" applyNumberFormat="1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 vertical="center"/>
    </xf>
    <xf numFmtId="165" fontId="4" fillId="2" borderId="40" xfId="0" applyNumberFormat="1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/>
    </xf>
    <xf numFmtId="0" fontId="7" fillId="2" borderId="16" xfId="2" applyFont="1" applyFill="1" applyBorder="1" applyAlignment="1">
      <alignment horizontal="center" vertical="center"/>
    </xf>
    <xf numFmtId="165" fontId="4" fillId="2" borderId="56" xfId="0" applyNumberFormat="1" applyFont="1" applyFill="1" applyBorder="1" applyAlignment="1">
      <alignment horizontal="center" vertical="center"/>
    </xf>
    <xf numFmtId="165" fontId="4" fillId="2" borderId="54" xfId="0" applyNumberFormat="1" applyFont="1" applyFill="1" applyBorder="1" applyAlignment="1">
      <alignment horizontal="center" vertical="center"/>
    </xf>
    <xf numFmtId="165" fontId="4" fillId="2" borderId="55" xfId="0" applyNumberFormat="1" applyFont="1" applyFill="1" applyBorder="1" applyAlignment="1">
      <alignment horizontal="center" vertical="center"/>
    </xf>
    <xf numFmtId="0" fontId="4" fillId="2" borderId="16" xfId="0" applyFont="1" applyFill="1" applyBorder="1"/>
    <xf numFmtId="0" fontId="13" fillId="2" borderId="0" xfId="2" applyFont="1" applyFill="1" applyAlignment="1">
      <alignment vertical="center"/>
    </xf>
    <xf numFmtId="165" fontId="13" fillId="2" borderId="68" xfId="0" applyNumberFormat="1" applyFont="1" applyFill="1" applyBorder="1" applyAlignment="1">
      <alignment horizontal="center"/>
    </xf>
    <xf numFmtId="165" fontId="13" fillId="2" borderId="69" xfId="0" applyNumberFormat="1" applyFont="1" applyFill="1" applyBorder="1" applyAlignment="1">
      <alignment horizontal="center"/>
    </xf>
    <xf numFmtId="0" fontId="25" fillId="2" borderId="0" xfId="0" applyFont="1" applyFill="1" applyAlignment="1">
      <alignment vertical="center"/>
    </xf>
    <xf numFmtId="165" fontId="13" fillId="2" borderId="39" xfId="0" applyNumberFormat="1" applyFont="1" applyFill="1" applyBorder="1" applyAlignment="1">
      <alignment horizontal="center" vertical="center"/>
    </xf>
    <xf numFmtId="165" fontId="13" fillId="2" borderId="16" xfId="0" applyNumberFormat="1" applyFont="1" applyFill="1" applyBorder="1" applyAlignment="1">
      <alignment horizontal="center"/>
    </xf>
    <xf numFmtId="165" fontId="13" fillId="2" borderId="40" xfId="0" applyNumberFormat="1" applyFont="1" applyFill="1" applyBorder="1" applyAlignment="1">
      <alignment horizontal="center"/>
    </xf>
    <xf numFmtId="165" fontId="13" fillId="2" borderId="64" xfId="0" applyNumberFormat="1" applyFont="1" applyFill="1" applyBorder="1" applyAlignment="1">
      <alignment horizontal="center"/>
    </xf>
    <xf numFmtId="165" fontId="13" fillId="2" borderId="54" xfId="0" applyNumberFormat="1" applyFont="1" applyFill="1" applyBorder="1" applyAlignment="1">
      <alignment horizontal="center"/>
    </xf>
    <xf numFmtId="165" fontId="13" fillId="2" borderId="65" xfId="0" applyNumberFormat="1" applyFont="1" applyFill="1" applyBorder="1" applyAlignment="1">
      <alignment horizontal="center"/>
    </xf>
    <xf numFmtId="164" fontId="4" fillId="2" borderId="33" xfId="0" applyNumberFormat="1" applyFont="1" applyFill="1" applyBorder="1" applyAlignment="1">
      <alignment horizontal="center"/>
    </xf>
    <xf numFmtId="0" fontId="4" fillId="5" borderId="37" xfId="0" applyFont="1" applyFill="1" applyBorder="1" applyAlignment="1" applyProtection="1">
      <alignment vertical="center"/>
      <protection locked="0"/>
    </xf>
    <xf numFmtId="0" fontId="4" fillId="5" borderId="17" xfId="0" applyFont="1" applyFill="1" applyBorder="1" applyAlignment="1" applyProtection="1">
      <alignment horizontal="center" vertical="center"/>
      <protection locked="0"/>
    </xf>
    <xf numFmtId="0" fontId="4" fillId="5" borderId="17" xfId="0" applyFont="1" applyFill="1" applyBorder="1" applyAlignment="1" applyProtection="1">
      <alignment vertical="center"/>
      <protection locked="0"/>
    </xf>
    <xf numFmtId="0" fontId="4" fillId="5" borderId="18" xfId="0" applyFont="1" applyFill="1" applyBorder="1" applyAlignment="1" applyProtection="1">
      <alignment vertical="center"/>
      <protection locked="0"/>
    </xf>
    <xf numFmtId="0" fontId="4" fillId="5" borderId="15" xfId="0" applyFont="1" applyFill="1" applyBorder="1" applyAlignment="1" applyProtection="1">
      <alignment vertical="center"/>
      <protection locked="0"/>
    </xf>
    <xf numFmtId="0" fontId="4" fillId="5" borderId="66" xfId="0" applyFont="1" applyFill="1" applyBorder="1" applyAlignment="1" applyProtection="1">
      <alignment horizontal="center" vertical="center"/>
      <protection locked="0"/>
    </xf>
    <xf numFmtId="0" fontId="4" fillId="5" borderId="69" xfId="0" applyFont="1" applyFill="1" applyBorder="1" applyAlignment="1" applyProtection="1">
      <alignment horizontal="center" vertical="center"/>
      <protection locked="0"/>
    </xf>
    <xf numFmtId="0" fontId="4" fillId="5" borderId="38" xfId="0" applyFont="1" applyFill="1" applyBorder="1" applyAlignment="1" applyProtection="1">
      <alignment horizontal="center" vertical="center"/>
      <protection locked="0"/>
    </xf>
    <xf numFmtId="0" fontId="4" fillId="5" borderId="39" xfId="0" applyFont="1" applyFill="1" applyBorder="1" applyAlignment="1" applyProtection="1">
      <alignment horizontal="center" vertical="center"/>
      <protection locked="0"/>
    </xf>
    <xf numFmtId="0" fontId="4" fillId="5" borderId="40" xfId="0" applyFont="1" applyFill="1" applyBorder="1" applyAlignment="1" applyProtection="1">
      <alignment horizontal="center" vertical="center"/>
      <protection locked="0"/>
    </xf>
    <xf numFmtId="0" fontId="4" fillId="5" borderId="56" xfId="0" applyFont="1" applyFill="1" applyBorder="1" applyAlignment="1" applyProtection="1">
      <alignment horizontal="center" vertical="center"/>
      <protection locked="0"/>
    </xf>
    <xf numFmtId="0" fontId="4" fillId="5" borderId="55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>
      <alignment horizontal="center" vertical="center" wrapText="1"/>
    </xf>
    <xf numFmtId="0" fontId="28" fillId="2" borderId="57" xfId="0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60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13" fillId="2" borderId="68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2" fillId="2" borderId="0" xfId="0" applyFont="1" applyFill="1" applyAlignment="1">
      <alignment horizontal="right" vertical="center"/>
    </xf>
    <xf numFmtId="0" fontId="32" fillId="9" borderId="0" xfId="0" applyFont="1" applyFill="1" applyAlignment="1">
      <alignment vertical="center"/>
    </xf>
    <xf numFmtId="0" fontId="35" fillId="2" borderId="0" xfId="0" applyFont="1" applyFill="1" applyAlignment="1">
      <alignment vertical="center"/>
    </xf>
    <xf numFmtId="0" fontId="2" fillId="2" borderId="16" xfId="0" applyFont="1" applyFill="1" applyBorder="1" applyAlignment="1">
      <alignment horizontal="center" vertical="center" wrapText="1"/>
    </xf>
    <xf numFmtId="0" fontId="36" fillId="2" borderId="0" xfId="0" applyFont="1" applyFill="1" applyAlignment="1">
      <alignment vertical="center"/>
    </xf>
    <xf numFmtId="165" fontId="32" fillId="2" borderId="0" xfId="0" applyNumberFormat="1" applyFont="1" applyFill="1" applyAlignment="1">
      <alignment horizontal="center" vertical="center"/>
    </xf>
    <xf numFmtId="0" fontId="37" fillId="2" borderId="0" xfId="0" applyFont="1" applyFill="1" applyAlignment="1">
      <alignment vertical="center"/>
    </xf>
    <xf numFmtId="0" fontId="32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5" fillId="2" borderId="2" xfId="0" applyFont="1" applyFill="1" applyBorder="1" applyAlignment="1">
      <alignment vertical="center"/>
    </xf>
    <xf numFmtId="0" fontId="32" fillId="2" borderId="2" xfId="0" applyFont="1" applyFill="1" applyBorder="1" applyAlignment="1">
      <alignment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left" vertical="center"/>
    </xf>
    <xf numFmtId="0" fontId="32" fillId="0" borderId="0" xfId="0" applyFont="1"/>
    <xf numFmtId="0" fontId="32" fillId="2" borderId="16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vertical="center"/>
    </xf>
    <xf numFmtId="0" fontId="36" fillId="2" borderId="0" xfId="0" quotePrefix="1" applyFont="1" applyFill="1" applyAlignment="1">
      <alignment horizontal="left" vertical="center"/>
    </xf>
    <xf numFmtId="0" fontId="32" fillId="2" borderId="0" xfId="0" quotePrefix="1" applyFont="1" applyFill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32" fillId="2" borderId="29" xfId="0" applyFont="1" applyFill="1" applyBorder="1" applyAlignment="1">
      <alignment vertical="center"/>
    </xf>
    <xf numFmtId="0" fontId="32" fillId="2" borderId="27" xfId="0" applyFont="1" applyFill="1" applyBorder="1" applyAlignment="1">
      <alignment vertical="center"/>
    </xf>
    <xf numFmtId="0" fontId="36" fillId="2" borderId="27" xfId="0" quotePrefix="1" applyFont="1" applyFill="1" applyBorder="1" applyAlignment="1">
      <alignment horizontal="left" vertical="center"/>
    </xf>
    <xf numFmtId="0" fontId="32" fillId="2" borderId="5" xfId="0" applyFont="1" applyFill="1" applyBorder="1" applyAlignment="1">
      <alignment horizontal="right" vertical="center" wrapText="1"/>
    </xf>
    <xf numFmtId="0" fontId="32" fillId="2" borderId="28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vertical="center" wrapText="1"/>
    </xf>
    <xf numFmtId="0" fontId="32" fillId="2" borderId="11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32" fillId="2" borderId="14" xfId="0" applyFont="1" applyFill="1" applyBorder="1" applyAlignment="1">
      <alignment horizontal="center" vertical="center"/>
    </xf>
    <xf numFmtId="0" fontId="32" fillId="2" borderId="26" xfId="0" applyFont="1" applyFill="1" applyBorder="1" applyAlignment="1">
      <alignment vertical="center"/>
    </xf>
    <xf numFmtId="0" fontId="36" fillId="2" borderId="26" xfId="0" quotePrefix="1" applyFont="1" applyFill="1" applyBorder="1" applyAlignment="1">
      <alignment horizontal="left" vertical="center"/>
    </xf>
    <xf numFmtId="0" fontId="32" fillId="2" borderId="7" xfId="0" applyFont="1" applyFill="1" applyBorder="1" applyAlignment="1">
      <alignment horizontal="right" vertical="center" wrapText="1"/>
    </xf>
    <xf numFmtId="0" fontId="32" fillId="2" borderId="8" xfId="0" applyFont="1" applyFill="1" applyBorder="1" applyAlignment="1">
      <alignment horizontal="center" vertical="center"/>
    </xf>
    <xf numFmtId="0" fontId="32" fillId="2" borderId="8" xfId="0" applyFont="1" applyFill="1" applyBorder="1" applyAlignment="1">
      <alignment vertical="center"/>
    </xf>
    <xf numFmtId="0" fontId="32" fillId="2" borderId="16" xfId="0" applyFont="1" applyFill="1" applyBorder="1" applyAlignment="1">
      <alignment horizontal="center" vertical="center" wrapText="1"/>
    </xf>
    <xf numFmtId="2" fontId="32" fillId="2" borderId="0" xfId="0" applyNumberFormat="1" applyFont="1" applyFill="1" applyAlignment="1">
      <alignment horizontal="center" vertical="center" wrapText="1"/>
    </xf>
    <xf numFmtId="0" fontId="32" fillId="2" borderId="0" xfId="0" quotePrefix="1" applyFont="1" applyFill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2" fontId="32" fillId="2" borderId="11" xfId="0" applyNumberFormat="1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center" vertical="center" wrapText="1"/>
    </xf>
    <xf numFmtId="2" fontId="32" fillId="2" borderId="14" xfId="0" applyNumberFormat="1" applyFont="1" applyFill="1" applyBorder="1" applyAlignment="1">
      <alignment horizontal="center" vertical="center" wrapText="1"/>
    </xf>
    <xf numFmtId="0" fontId="41" fillId="2" borderId="0" xfId="0" applyFont="1" applyFill="1" applyAlignment="1">
      <alignment vertical="center"/>
    </xf>
    <xf numFmtId="165" fontId="32" fillId="2" borderId="0" xfId="0" applyNumberFormat="1" applyFont="1" applyFill="1" applyAlignment="1">
      <alignment vertical="center"/>
    </xf>
    <xf numFmtId="2" fontId="32" fillId="2" borderId="0" xfId="0" applyNumberFormat="1" applyFont="1" applyFill="1" applyAlignment="1">
      <alignment vertical="center"/>
    </xf>
    <xf numFmtId="165" fontId="35" fillId="2" borderId="0" xfId="0" applyNumberFormat="1" applyFont="1" applyFill="1" applyAlignment="1">
      <alignment vertical="center"/>
    </xf>
    <xf numFmtId="2" fontId="35" fillId="2" borderId="0" xfId="0" applyNumberFormat="1" applyFont="1" applyFill="1" applyAlignment="1">
      <alignment vertical="center"/>
    </xf>
    <xf numFmtId="0" fontId="36" fillId="2" borderId="16" xfId="0" applyFont="1" applyFill="1" applyBorder="1" applyAlignment="1">
      <alignment vertical="center"/>
    </xf>
    <xf numFmtId="0" fontId="32" fillId="2" borderId="17" xfId="0" applyFont="1" applyFill="1" applyBorder="1" applyAlignment="1">
      <alignment vertical="center"/>
    </xf>
    <xf numFmtId="0" fontId="35" fillId="2" borderId="16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0" xfId="0" applyFont="1" applyFill="1" applyAlignment="1">
      <alignment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 wrapText="1"/>
    </xf>
    <xf numFmtId="2" fontId="32" fillId="2" borderId="0" xfId="1" applyNumberFormat="1" applyFont="1" applyFill="1" applyAlignment="1">
      <alignment horizontal="center" vertical="center" wrapText="1"/>
    </xf>
    <xf numFmtId="0" fontId="40" fillId="2" borderId="0" xfId="0" quotePrefix="1" applyFont="1" applyFill="1" applyAlignment="1">
      <alignment horizontal="right" vertical="center"/>
    </xf>
    <xf numFmtId="2" fontId="32" fillId="2" borderId="0" xfId="0" applyNumberFormat="1" applyFont="1" applyFill="1" applyAlignment="1">
      <alignment horizontal="left" vertical="center"/>
    </xf>
    <xf numFmtId="0" fontId="40" fillId="2" borderId="0" xfId="0" applyFont="1" applyFill="1" applyAlignment="1">
      <alignment vertical="center" wrapText="1"/>
    </xf>
    <xf numFmtId="0" fontId="40" fillId="2" borderId="0" xfId="0" applyFont="1" applyFill="1" applyAlignment="1">
      <alignment horizontal="center" vertical="center" wrapText="1"/>
    </xf>
    <xf numFmtId="0" fontId="32" fillId="2" borderId="30" xfId="0" applyFont="1" applyFill="1" applyBorder="1" applyAlignment="1">
      <alignment horizontal="left" vertical="center"/>
    </xf>
    <xf numFmtId="2" fontId="32" fillId="2" borderId="0" xfId="0" applyNumberFormat="1" applyFont="1" applyFill="1" applyAlignment="1">
      <alignment horizontal="center" vertical="center"/>
    </xf>
    <xf numFmtId="0" fontId="35" fillId="0" borderId="16" xfId="0" applyFont="1" applyBorder="1" applyAlignment="1">
      <alignment horizontal="left" vertical="center"/>
    </xf>
    <xf numFmtId="0" fontId="32" fillId="0" borderId="0" xfId="0" applyFont="1" applyAlignment="1" applyProtection="1">
      <alignment vertical="center"/>
      <protection locked="0"/>
    </xf>
    <xf numFmtId="0" fontId="39" fillId="2" borderId="0" xfId="0" applyFont="1" applyFill="1" applyAlignment="1">
      <alignment horizontal="center" vertical="center" wrapText="1"/>
    </xf>
    <xf numFmtId="2" fontId="32" fillId="2" borderId="19" xfId="0" applyNumberFormat="1" applyFont="1" applyFill="1" applyBorder="1" applyAlignment="1">
      <alignment vertical="center"/>
    </xf>
    <xf numFmtId="0" fontId="32" fillId="2" borderId="30" xfId="0" applyFont="1" applyFill="1" applyBorder="1" applyAlignment="1">
      <alignment vertical="center"/>
    </xf>
    <xf numFmtId="2" fontId="32" fillId="2" borderId="13" xfId="0" applyNumberFormat="1" applyFont="1" applyFill="1" applyBorder="1" applyAlignment="1">
      <alignment vertical="center"/>
    </xf>
    <xf numFmtId="0" fontId="32" fillId="2" borderId="86" xfId="0" applyFont="1" applyFill="1" applyBorder="1" applyAlignment="1">
      <alignment vertical="center"/>
    </xf>
    <xf numFmtId="1" fontId="32" fillId="9" borderId="16" xfId="0" applyNumberFormat="1" applyFont="1" applyFill="1" applyBorder="1" applyAlignment="1">
      <alignment horizontal="center"/>
    </xf>
    <xf numFmtId="1" fontId="32" fillId="9" borderId="16" xfId="0" applyNumberFormat="1" applyFont="1" applyFill="1" applyBorder="1" applyAlignment="1">
      <alignment horizontal="center" vertical="center"/>
    </xf>
    <xf numFmtId="175" fontId="32" fillId="9" borderId="0" xfId="0" quotePrefix="1" applyNumberFormat="1" applyFont="1" applyFill="1" applyAlignment="1">
      <alignment vertical="center"/>
    </xf>
    <xf numFmtId="165" fontId="32" fillId="2" borderId="0" xfId="0" applyNumberFormat="1" applyFont="1" applyFill="1" applyAlignment="1">
      <alignment horizontal="left" vertical="center"/>
    </xf>
    <xf numFmtId="0" fontId="37" fillId="9" borderId="0" xfId="0" applyFont="1" applyFill="1" applyAlignment="1">
      <alignment vertical="center"/>
    </xf>
    <xf numFmtId="0" fontId="11" fillId="10" borderId="16" xfId="0" applyFont="1" applyFill="1" applyBorder="1" applyAlignment="1" applyProtection="1">
      <alignment horizontal="center" vertical="center"/>
      <protection locked="0"/>
    </xf>
    <xf numFmtId="165" fontId="0" fillId="10" borderId="16" xfId="0" applyNumberFormat="1" applyFill="1" applyBorder="1" applyAlignment="1" applyProtection="1">
      <alignment horizontal="center" vertical="center"/>
      <protection locked="0"/>
    </xf>
    <xf numFmtId="165" fontId="2" fillId="10" borderId="16" xfId="0" applyNumberFormat="1" applyFont="1" applyFill="1" applyBorder="1" applyAlignment="1" applyProtection="1">
      <alignment horizontal="center" vertical="center"/>
      <protection locked="0"/>
    </xf>
    <xf numFmtId="165" fontId="0" fillId="10" borderId="16" xfId="0" applyNumberFormat="1" applyFill="1" applyBorder="1" applyAlignment="1" applyProtection="1">
      <alignment horizontal="center"/>
      <protection locked="0"/>
    </xf>
    <xf numFmtId="0" fontId="2" fillId="10" borderId="16" xfId="0" quotePrefix="1" applyFont="1" applyFill="1" applyBorder="1" applyAlignment="1" applyProtection="1">
      <alignment horizontal="center"/>
      <protection locked="0"/>
    </xf>
    <xf numFmtId="165" fontId="2" fillId="10" borderId="16" xfId="0" quotePrefix="1" applyNumberFormat="1" applyFont="1" applyFill="1" applyBorder="1" applyAlignment="1" applyProtection="1">
      <alignment horizontal="center"/>
      <protection locked="0"/>
    </xf>
    <xf numFmtId="0" fontId="11" fillId="10" borderId="62" xfId="0" applyFont="1" applyFill="1" applyBorder="1" applyAlignment="1" applyProtection="1">
      <alignment horizontal="center" vertical="center"/>
      <protection locked="0"/>
    </xf>
    <xf numFmtId="165" fontId="0" fillId="10" borderId="52" xfId="0" applyNumberFormat="1" applyFill="1" applyBorder="1" applyAlignment="1" applyProtection="1">
      <alignment horizontal="center" vertical="center"/>
      <protection locked="0"/>
    </xf>
    <xf numFmtId="165" fontId="2" fillId="10" borderId="13" xfId="0" applyNumberFormat="1" applyFont="1" applyFill="1" applyBorder="1" applyAlignment="1" applyProtection="1">
      <alignment horizontal="center" vertical="center"/>
      <protection locked="0"/>
    </xf>
    <xf numFmtId="165" fontId="0" fillId="10" borderId="13" xfId="0" applyNumberFormat="1" applyFill="1" applyBorder="1" applyAlignment="1" applyProtection="1">
      <alignment horizontal="center" vertical="center"/>
      <protection locked="0"/>
    </xf>
    <xf numFmtId="165" fontId="0" fillId="10" borderId="39" xfId="0" applyNumberFormat="1" applyFill="1" applyBorder="1" applyAlignment="1" applyProtection="1">
      <alignment horizontal="center" vertical="center"/>
      <protection locked="0"/>
    </xf>
    <xf numFmtId="165" fontId="0" fillId="10" borderId="37" xfId="0" applyNumberFormat="1" applyFill="1" applyBorder="1" applyAlignment="1" applyProtection="1">
      <alignment horizontal="center"/>
      <protection locked="0"/>
    </xf>
    <xf numFmtId="165" fontId="0" fillId="10" borderId="61" xfId="0" applyNumberFormat="1" applyFill="1" applyBorder="1" applyAlignment="1" applyProtection="1">
      <alignment horizontal="center"/>
      <protection locked="0"/>
    </xf>
    <xf numFmtId="165" fontId="0" fillId="10" borderId="54" xfId="0" applyNumberFormat="1" applyFill="1" applyBorder="1" applyAlignment="1" applyProtection="1">
      <alignment horizontal="center"/>
      <protection locked="0"/>
    </xf>
    <xf numFmtId="0" fontId="2" fillId="10" borderId="54" xfId="0" quotePrefix="1" applyFont="1" applyFill="1" applyBorder="1" applyAlignment="1" applyProtection="1">
      <alignment horizontal="center"/>
      <protection locked="0"/>
    </xf>
    <xf numFmtId="1" fontId="0" fillId="10" borderId="52" xfId="0" applyNumberFormat="1" applyFill="1" applyBorder="1" applyAlignment="1" applyProtection="1">
      <alignment horizontal="center" vertical="center"/>
      <protection locked="0"/>
    </xf>
    <xf numFmtId="1" fontId="0" fillId="10" borderId="39" xfId="0" applyNumberFormat="1" applyFill="1" applyBorder="1" applyAlignment="1" applyProtection="1">
      <alignment horizontal="center" vertical="center"/>
      <protection locked="0"/>
    </xf>
    <xf numFmtId="1" fontId="0" fillId="10" borderId="37" xfId="0" applyNumberFormat="1" applyFill="1" applyBorder="1" applyAlignment="1" applyProtection="1">
      <alignment horizontal="center"/>
      <protection locked="0"/>
    </xf>
    <xf numFmtId="1" fontId="0" fillId="10" borderId="61" xfId="0" applyNumberFormat="1" applyFill="1" applyBorder="1" applyAlignment="1" applyProtection="1">
      <alignment horizontal="center"/>
      <protection locked="0"/>
    </xf>
    <xf numFmtId="0" fontId="11" fillId="10" borderId="62" xfId="0" quotePrefix="1" applyFont="1" applyFill="1" applyBorder="1" applyAlignment="1" applyProtection="1">
      <alignment horizontal="center" vertical="center"/>
      <protection locked="0"/>
    </xf>
    <xf numFmtId="164" fontId="2" fillId="10" borderId="13" xfId="0" applyNumberFormat="1" applyFont="1" applyFill="1" applyBorder="1" applyAlignment="1" applyProtection="1">
      <alignment horizontal="center" vertical="center"/>
      <protection locked="0"/>
    </xf>
    <xf numFmtId="164" fontId="2" fillId="10" borderId="16" xfId="0" applyNumberFormat="1" applyFont="1" applyFill="1" applyBorder="1" applyAlignment="1" applyProtection="1">
      <alignment horizontal="center" vertical="center"/>
      <protection locked="0"/>
    </xf>
    <xf numFmtId="165" fontId="2" fillId="10" borderId="64" xfId="0" applyNumberFormat="1" applyFont="1" applyFill="1" applyBorder="1" applyAlignment="1" applyProtection="1">
      <alignment horizontal="center" vertical="center"/>
      <protection locked="0"/>
    </xf>
    <xf numFmtId="1" fontId="2" fillId="10" borderId="52" xfId="0" applyNumberFormat="1" applyFont="1" applyFill="1" applyBorder="1" applyAlignment="1" applyProtection="1">
      <alignment horizontal="center" vertical="center"/>
      <protection locked="0"/>
    </xf>
    <xf numFmtId="1" fontId="2" fillId="10" borderId="39" xfId="0" applyNumberFormat="1" applyFont="1" applyFill="1" applyBorder="1" applyAlignment="1" applyProtection="1">
      <alignment horizontal="center" vertical="center"/>
      <protection locked="0"/>
    </xf>
    <xf numFmtId="1" fontId="2" fillId="10" borderId="37" xfId="0" applyNumberFormat="1" applyFont="1" applyFill="1" applyBorder="1" applyAlignment="1" applyProtection="1">
      <alignment horizontal="center"/>
      <protection locked="0"/>
    </xf>
    <xf numFmtId="1" fontId="2" fillId="10" borderId="61" xfId="0" applyNumberFormat="1" applyFont="1" applyFill="1" applyBorder="1" applyAlignment="1" applyProtection="1">
      <alignment horizontal="center"/>
      <protection locked="0"/>
    </xf>
    <xf numFmtId="165" fontId="2" fillId="10" borderId="61" xfId="0" applyNumberFormat="1" applyFont="1" applyFill="1" applyBorder="1" applyAlignment="1" applyProtection="1">
      <alignment horizontal="center" vertical="center"/>
      <protection locked="0"/>
    </xf>
    <xf numFmtId="165" fontId="2" fillId="10" borderId="61" xfId="0" applyNumberFormat="1" applyFont="1" applyFill="1" applyBorder="1" applyAlignment="1" applyProtection="1">
      <alignment horizontal="center"/>
      <protection locked="0"/>
    </xf>
    <xf numFmtId="165" fontId="2" fillId="10" borderId="54" xfId="0" applyNumberFormat="1" applyFont="1" applyFill="1" applyBorder="1" applyAlignment="1" applyProtection="1">
      <alignment horizontal="center"/>
      <protection locked="0"/>
    </xf>
    <xf numFmtId="1" fontId="4" fillId="2" borderId="39" xfId="0" applyNumberFormat="1" applyFont="1" applyFill="1" applyBorder="1" applyAlignment="1">
      <alignment horizontal="center"/>
    </xf>
    <xf numFmtId="165" fontId="4" fillId="10" borderId="16" xfId="0" applyNumberFormat="1" applyFont="1" applyFill="1" applyBorder="1" applyAlignment="1">
      <alignment horizont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40" xfId="2" applyNumberFormat="1" applyFont="1" applyFill="1" applyBorder="1" applyAlignment="1">
      <alignment horizontal="center"/>
    </xf>
    <xf numFmtId="165" fontId="4" fillId="2" borderId="55" xfId="2" applyNumberFormat="1" applyFont="1" applyFill="1" applyBorder="1" applyAlignment="1">
      <alignment horizontal="center"/>
    </xf>
    <xf numFmtId="0" fontId="0" fillId="0" borderId="34" xfId="0" applyBorder="1"/>
    <xf numFmtId="167" fontId="8" fillId="2" borderId="0" xfId="2" applyNumberFormat="1" applyFont="1" applyFill="1" applyAlignment="1">
      <alignment horizontal="center"/>
    </xf>
    <xf numFmtId="0" fontId="4" fillId="2" borderId="0" xfId="2" applyFont="1" applyFill="1"/>
    <xf numFmtId="2" fontId="4" fillId="2" borderId="0" xfId="2" applyNumberFormat="1" applyFont="1" applyFill="1" applyAlignment="1">
      <alignment horizontal="center"/>
    </xf>
    <xf numFmtId="0" fontId="13" fillId="2" borderId="66" xfId="0" applyFont="1" applyFill="1" applyBorder="1" applyAlignment="1">
      <alignment horizontal="center" vertical="center"/>
    </xf>
    <xf numFmtId="2" fontId="2" fillId="10" borderId="66" xfId="0" applyNumberFormat="1" applyFont="1" applyFill="1" applyBorder="1" applyAlignment="1">
      <alignment horizontal="center" vertical="center" wrapText="1"/>
    </xf>
    <xf numFmtId="2" fontId="4" fillId="2" borderId="51" xfId="0" applyNumberFormat="1" applyFont="1" applyFill="1" applyBorder="1" applyAlignment="1">
      <alignment horizontal="center" vertical="center"/>
    </xf>
    <xf numFmtId="164" fontId="4" fillId="2" borderId="69" xfId="0" applyNumberFormat="1" applyFont="1" applyFill="1" applyBorder="1" applyAlignment="1">
      <alignment horizontal="center" vertical="center"/>
    </xf>
    <xf numFmtId="2" fontId="2" fillId="10" borderId="39" xfId="0" applyNumberFormat="1" applyFont="1" applyFill="1" applyBorder="1" applyAlignment="1">
      <alignment horizontal="center" vertical="center" wrapText="1"/>
    </xf>
    <xf numFmtId="164" fontId="4" fillId="2" borderId="53" xfId="0" applyNumberFormat="1" applyFont="1" applyFill="1" applyBorder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 wrapText="1"/>
    </xf>
    <xf numFmtId="2" fontId="44" fillId="2" borderId="0" xfId="0" applyNumberFormat="1" applyFont="1" applyFill="1" applyAlignment="1">
      <alignment horizontal="center" vertical="center"/>
    </xf>
    <xf numFmtId="2" fontId="45" fillId="2" borderId="36" xfId="0" applyNumberFormat="1" applyFont="1" applyFill="1" applyBorder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/>
    </xf>
    <xf numFmtId="0" fontId="4" fillId="0" borderId="50" xfId="0" applyFont="1" applyBorder="1"/>
    <xf numFmtId="0" fontId="11" fillId="11" borderId="16" xfId="0" applyFont="1" applyFill="1" applyBorder="1" applyAlignment="1">
      <alignment horizontal="center" vertical="center"/>
    </xf>
    <xf numFmtId="0" fontId="11" fillId="11" borderId="16" xfId="0" quotePrefix="1" applyFont="1" applyFill="1" applyBorder="1" applyAlignment="1">
      <alignment horizontal="center" vertical="center"/>
    </xf>
    <xf numFmtId="1" fontId="0" fillId="11" borderId="39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 vertical="center"/>
    </xf>
    <xf numFmtId="2" fontId="2" fillId="11" borderId="16" xfId="0" quotePrefix="1" applyNumberFormat="1" applyFont="1" applyFill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 vertical="center"/>
    </xf>
    <xf numFmtId="164" fontId="2" fillId="11" borderId="16" xfId="0" quotePrefix="1" applyNumberFormat="1" applyFont="1" applyFill="1" applyBorder="1" applyAlignment="1">
      <alignment horizontal="center" vertical="center"/>
    </xf>
    <xf numFmtId="164" fontId="0" fillId="8" borderId="40" xfId="0" applyNumberFormat="1" applyFill="1" applyBorder="1" applyAlignment="1">
      <alignment horizontal="center" vertical="center"/>
    </xf>
    <xf numFmtId="2" fontId="2" fillId="11" borderId="16" xfId="0" applyNumberFormat="1" applyFont="1" applyFill="1" applyBorder="1" applyAlignment="1">
      <alignment horizontal="center" vertical="center"/>
    </xf>
    <xf numFmtId="164" fontId="2" fillId="11" borderId="16" xfId="0" applyNumberFormat="1" applyFont="1" applyFill="1" applyBorder="1" applyAlignment="1">
      <alignment horizontal="center" vertical="center"/>
    </xf>
    <xf numFmtId="1" fontId="0" fillId="11" borderId="56" xfId="0" applyNumberFormat="1" applyFill="1" applyBorder="1" applyAlignment="1">
      <alignment horizontal="center" vertical="center"/>
    </xf>
    <xf numFmtId="2" fontId="0" fillId="11" borderId="54" xfId="0" applyNumberFormat="1" applyFill="1" applyBorder="1" applyAlignment="1">
      <alignment horizontal="center" vertical="center"/>
    </xf>
    <xf numFmtId="2" fontId="2" fillId="11" borderId="54" xfId="0" quotePrefix="1" applyNumberFormat="1" applyFont="1" applyFill="1" applyBorder="1" applyAlignment="1">
      <alignment horizontal="center" vertical="center"/>
    </xf>
    <xf numFmtId="164" fontId="0" fillId="11" borderId="54" xfId="0" applyNumberFormat="1" applyFill="1" applyBorder="1" applyAlignment="1">
      <alignment horizontal="center" vertical="center"/>
    </xf>
    <xf numFmtId="164" fontId="2" fillId="11" borderId="54" xfId="0" quotePrefix="1" applyNumberFormat="1" applyFont="1" applyFill="1" applyBorder="1" applyAlignment="1">
      <alignment horizontal="center" vertical="center"/>
    </xf>
    <xf numFmtId="164" fontId="0" fillId="8" borderId="55" xfId="0" applyNumberFormat="1" applyFill="1" applyBorder="1" applyAlignment="1">
      <alignment horizontal="center" vertical="center"/>
    </xf>
    <xf numFmtId="164" fontId="0" fillId="8" borderId="44" xfId="0" applyNumberFormat="1" applyFill="1" applyBorder="1" applyAlignment="1">
      <alignment horizontal="center" vertical="center"/>
    </xf>
    <xf numFmtId="2" fontId="8" fillId="2" borderId="0" xfId="2" applyNumberFormat="1" applyFont="1" applyFill="1"/>
    <xf numFmtId="0" fontId="25" fillId="2" borderId="37" xfId="0" applyFont="1" applyFill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/>
    </xf>
    <xf numFmtId="0" fontId="12" fillId="2" borderId="37" xfId="2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1" fontId="4" fillId="2" borderId="39" xfId="0" applyNumberFormat="1" applyFont="1" applyFill="1" applyBorder="1" applyAlignment="1">
      <alignment horizontal="center" vertical="center"/>
    </xf>
    <xf numFmtId="0" fontId="47" fillId="2" borderId="0" xfId="3" applyFont="1" applyFill="1" applyAlignment="1">
      <alignment horizontal="center" vertical="center" wrapText="1"/>
    </xf>
    <xf numFmtId="2" fontId="48" fillId="2" borderId="0" xfId="3" applyNumberFormat="1" applyFont="1" applyFill="1" applyAlignment="1">
      <alignment horizontal="center" vertical="center"/>
    </xf>
    <xf numFmtId="1" fontId="4" fillId="2" borderId="56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/>
    </xf>
    <xf numFmtId="0" fontId="4" fillId="0" borderId="60" xfId="0" applyFont="1" applyBorder="1"/>
    <xf numFmtId="165" fontId="4" fillId="2" borderId="0" xfId="0" applyNumberFormat="1" applyFont="1" applyFill="1" applyAlignment="1">
      <alignment horizontal="center"/>
    </xf>
    <xf numFmtId="0" fontId="4" fillId="2" borderId="0" xfId="0" quotePrefix="1" applyFont="1" applyFill="1" applyAlignment="1">
      <alignment horizontal="center"/>
    </xf>
    <xf numFmtId="2" fontId="5" fillId="2" borderId="0" xfId="2" applyNumberFormat="1" applyFont="1" applyFill="1"/>
    <xf numFmtId="0" fontId="12" fillId="2" borderId="0" xfId="2" applyFont="1" applyFill="1"/>
    <xf numFmtId="0" fontId="5" fillId="2" borderId="0" xfId="2" applyFont="1" applyFill="1"/>
    <xf numFmtId="0" fontId="12" fillId="8" borderId="16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6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8" fillId="2" borderId="0" xfId="2" applyFont="1" applyFill="1" applyAlignment="1">
      <alignment vertical="center"/>
    </xf>
    <xf numFmtId="0" fontId="18" fillId="2" borderId="0" xfId="2" applyFont="1" applyFill="1" applyAlignment="1">
      <alignment horizontal="center" vertical="center"/>
    </xf>
    <xf numFmtId="2" fontId="18" fillId="2" borderId="0" xfId="2" applyNumberFormat="1" applyFont="1" applyFill="1" applyAlignment="1">
      <alignment horizontal="center" vertical="center"/>
    </xf>
    <xf numFmtId="167" fontId="18" fillId="2" borderId="0" xfId="2" applyNumberFormat="1" applyFont="1" applyFill="1" applyAlignment="1">
      <alignment horizontal="center" vertical="center"/>
    </xf>
    <xf numFmtId="0" fontId="19" fillId="2" borderId="0" xfId="2" applyFont="1" applyFill="1" applyAlignment="1">
      <alignment vertical="center"/>
    </xf>
    <xf numFmtId="2" fontId="19" fillId="2" borderId="0" xfId="2" applyNumberFormat="1" applyFont="1" applyFill="1" applyAlignment="1">
      <alignment vertical="center"/>
    </xf>
    <xf numFmtId="0" fontId="21" fillId="2" borderId="0" xfId="2" applyFont="1" applyFill="1" applyAlignment="1">
      <alignment vertical="center"/>
    </xf>
    <xf numFmtId="2" fontId="21" fillId="2" borderId="0" xfId="2" applyNumberFormat="1" applyFont="1" applyFill="1" applyAlignment="1">
      <alignment vertical="center"/>
    </xf>
    <xf numFmtId="0" fontId="22" fillId="2" borderId="0" xfId="2" applyFont="1" applyFill="1" applyAlignment="1">
      <alignment vertical="center"/>
    </xf>
    <xf numFmtId="0" fontId="18" fillId="2" borderId="32" xfId="0" applyFont="1" applyFill="1" applyBorder="1" applyAlignment="1">
      <alignment vertical="center"/>
    </xf>
    <xf numFmtId="0" fontId="3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2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2" fontId="2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4" fontId="51" fillId="2" borderId="1" xfId="0" applyNumberFormat="1" applyFont="1" applyFill="1" applyBorder="1" applyAlignment="1">
      <alignment horizontal="left" vertical="center"/>
    </xf>
    <xf numFmtId="166" fontId="5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 applyProtection="1">
      <alignment vertical="center"/>
      <protection locked="0"/>
    </xf>
    <xf numFmtId="0" fontId="32" fillId="2" borderId="0" xfId="0" applyFont="1" applyFill="1" applyAlignment="1" applyProtection="1">
      <alignment vertical="center"/>
      <protection locked="0"/>
    </xf>
    <xf numFmtId="165" fontId="32" fillId="2" borderId="0" xfId="0" applyNumberFormat="1" applyFont="1" applyFill="1" applyAlignment="1" applyProtection="1">
      <alignment horizontal="center" vertical="center"/>
      <protection locked="0"/>
    </xf>
    <xf numFmtId="165" fontId="32" fillId="2" borderId="0" xfId="0" applyNumberFormat="1" applyFont="1" applyFill="1" applyAlignment="1" applyProtection="1">
      <alignment vertical="center"/>
      <protection locked="0"/>
    </xf>
    <xf numFmtId="2" fontId="32" fillId="2" borderId="0" xfId="0" applyNumberFormat="1" applyFont="1" applyFill="1" applyAlignment="1" applyProtection="1">
      <alignment vertical="center"/>
      <protection locked="0"/>
    </xf>
    <xf numFmtId="0" fontId="35" fillId="2" borderId="0" xfId="0" applyFont="1" applyFill="1" applyAlignment="1" applyProtection="1">
      <alignment vertical="center"/>
      <protection locked="0"/>
    </xf>
    <xf numFmtId="0" fontId="2" fillId="2" borderId="3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38" fillId="2" borderId="25" xfId="0" quotePrefix="1" applyFont="1" applyFill="1" applyBorder="1" applyAlignment="1">
      <alignment horizontal="left" vertical="center"/>
    </xf>
    <xf numFmtId="164" fontId="51" fillId="2" borderId="0" xfId="0" applyNumberFormat="1" applyFont="1" applyFill="1" applyAlignment="1">
      <alignment horizontal="left" vertical="center"/>
    </xf>
    <xf numFmtId="0" fontId="13" fillId="2" borderId="35" xfId="0" applyFont="1" applyFill="1" applyBorder="1" applyAlignment="1">
      <alignment horizontal="center" vertical="center"/>
    </xf>
    <xf numFmtId="0" fontId="4" fillId="6" borderId="0" xfId="0" applyFont="1" applyFill="1"/>
    <xf numFmtId="0" fontId="13" fillId="6" borderId="52" xfId="0" applyFont="1" applyFill="1" applyBorder="1" applyAlignment="1">
      <alignment horizontal="center" vertical="center"/>
    </xf>
    <xf numFmtId="2" fontId="13" fillId="6" borderId="68" xfId="0" applyNumberFormat="1" applyFont="1" applyFill="1" applyBorder="1" applyAlignment="1">
      <alignment horizontal="center" vertical="center"/>
    </xf>
    <xf numFmtId="0" fontId="13" fillId="6" borderId="68" xfId="0" applyFont="1" applyFill="1" applyBorder="1" applyAlignment="1">
      <alignment horizontal="center" vertical="center"/>
    </xf>
    <xf numFmtId="2" fontId="13" fillId="6" borderId="69" xfId="0" applyNumberFormat="1" applyFont="1" applyFill="1" applyBorder="1" applyAlignment="1">
      <alignment horizontal="center" vertical="center"/>
    </xf>
    <xf numFmtId="2" fontId="13" fillId="6" borderId="39" xfId="0" applyNumberFormat="1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164" fontId="13" fillId="6" borderId="16" xfId="0" applyNumberFormat="1" applyFont="1" applyFill="1" applyBorder="1" applyAlignment="1">
      <alignment horizontal="center" vertical="center"/>
    </xf>
    <xf numFmtId="0" fontId="13" fillId="6" borderId="40" xfId="0" applyFont="1" applyFill="1" applyBorder="1" applyAlignment="1">
      <alignment horizontal="center" vertical="center"/>
    </xf>
    <xf numFmtId="0" fontId="13" fillId="6" borderId="56" xfId="0" applyFont="1" applyFill="1" applyBorder="1" applyAlignment="1">
      <alignment horizontal="center" vertical="center"/>
    </xf>
    <xf numFmtId="2" fontId="13" fillId="6" borderId="64" xfId="0" applyNumberFormat="1" applyFont="1" applyFill="1" applyBorder="1" applyAlignment="1">
      <alignment horizontal="center" vertical="center"/>
    </xf>
    <xf numFmtId="0" fontId="13" fillId="6" borderId="54" xfId="0" applyFont="1" applyFill="1" applyBorder="1" applyAlignment="1">
      <alignment horizontal="center" vertical="center"/>
    </xf>
    <xf numFmtId="2" fontId="13" fillId="6" borderId="65" xfId="0" applyNumberFormat="1" applyFont="1" applyFill="1" applyBorder="1" applyAlignment="1">
      <alignment horizontal="center" vertical="center"/>
    </xf>
    <xf numFmtId="0" fontId="4" fillId="6" borderId="50" xfId="0" applyFont="1" applyFill="1" applyBorder="1"/>
    <xf numFmtId="0" fontId="4" fillId="6" borderId="33" xfId="0" applyFont="1" applyFill="1" applyBorder="1"/>
    <xf numFmtId="0" fontId="31" fillId="2" borderId="16" xfId="0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 wrapText="1"/>
    </xf>
    <xf numFmtId="0" fontId="32" fillId="2" borderId="0" xfId="2" applyFont="1" applyFill="1" applyAlignment="1" applyProtection="1">
      <alignment vertical="center"/>
      <protection locked="0"/>
    </xf>
    <xf numFmtId="0" fontId="32" fillId="0" borderId="0" xfId="2" applyFont="1" applyAlignment="1" applyProtection="1">
      <alignment vertical="center"/>
      <protection locked="0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right" vertical="center"/>
    </xf>
    <xf numFmtId="0" fontId="35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right" vertical="center"/>
      <protection locked="0"/>
    </xf>
    <xf numFmtId="164" fontId="32" fillId="0" borderId="0" xfId="0" applyNumberFormat="1" applyFont="1" applyAlignment="1" applyProtection="1">
      <alignment vertical="center"/>
      <protection locked="0"/>
    </xf>
    <xf numFmtId="0" fontId="52" fillId="0" borderId="0" xfId="0" applyFont="1" applyAlignment="1" applyProtection="1">
      <alignment horizontal="right" vertical="center"/>
      <protection locked="0"/>
    </xf>
    <xf numFmtId="0" fontId="41" fillId="0" borderId="0" xfId="0" applyFont="1" applyAlignment="1">
      <alignment vertical="center"/>
    </xf>
    <xf numFmtId="0" fontId="32" fillId="2" borderId="0" xfId="3" applyFont="1" applyFill="1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0" fontId="32" fillId="2" borderId="0" xfId="0" applyFont="1" applyFill="1" applyAlignment="1" applyProtection="1">
      <alignment horizontal="center" vertical="center"/>
      <protection locked="0"/>
    </xf>
    <xf numFmtId="0" fontId="35" fillId="2" borderId="0" xfId="3" applyFont="1" applyFill="1" applyAlignment="1" applyProtection="1">
      <alignment vertical="center"/>
      <protection locked="0"/>
    </xf>
    <xf numFmtId="0" fontId="9" fillId="9" borderId="16" xfId="0" applyFont="1" applyFill="1" applyBorder="1" applyAlignment="1" applyProtection="1">
      <alignment horizontal="center" vertical="center" wrapText="1"/>
      <protection locked="0"/>
    </xf>
    <xf numFmtId="167" fontId="21" fillId="2" borderId="1" xfId="2" applyNumberFormat="1" applyFont="1" applyFill="1" applyBorder="1" applyAlignment="1">
      <alignment horizontal="center" vertical="center"/>
    </xf>
    <xf numFmtId="0" fontId="18" fillId="6" borderId="49" xfId="0" applyFont="1" applyFill="1" applyBorder="1" applyAlignment="1">
      <alignment vertical="center"/>
    </xf>
    <xf numFmtId="164" fontId="22" fillId="6" borderId="49" xfId="2" applyNumberFormat="1" applyFont="1" applyFill="1" applyBorder="1" applyAlignment="1">
      <alignment horizontal="left" vertical="center"/>
    </xf>
    <xf numFmtId="1" fontId="32" fillId="2" borderId="0" xfId="0" applyNumberFormat="1" applyFont="1" applyFill="1" applyAlignment="1">
      <alignment horizontal="center" vertical="center"/>
    </xf>
    <xf numFmtId="0" fontId="9" fillId="2" borderId="16" xfId="0" applyFont="1" applyFill="1" applyBorder="1" applyAlignment="1">
      <alignment horizontal="left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horizontal="center" vertical="center"/>
    </xf>
    <xf numFmtId="165" fontId="9" fillId="2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left"/>
      <protection hidden="1"/>
    </xf>
    <xf numFmtId="164" fontId="4" fillId="3" borderId="16" xfId="0" applyNumberFormat="1" applyFont="1" applyFill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top" wrapText="1"/>
    </xf>
    <xf numFmtId="167" fontId="0" fillId="8" borderId="40" xfId="0" applyNumberFormat="1" applyFill="1" applyBorder="1" applyAlignment="1">
      <alignment horizontal="center" vertical="center"/>
    </xf>
    <xf numFmtId="167" fontId="0" fillId="8" borderId="55" xfId="0" applyNumberForma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164" fontId="2" fillId="8" borderId="54" xfId="0" applyNumberFormat="1" applyFont="1" applyFill="1" applyBorder="1" applyAlignment="1">
      <alignment horizontal="center" vertical="center"/>
    </xf>
    <xf numFmtId="0" fontId="4" fillId="0" borderId="19" xfId="0" applyFont="1" applyBorder="1"/>
    <xf numFmtId="167" fontId="4" fillId="2" borderId="40" xfId="0" applyNumberFormat="1" applyFont="1" applyFill="1" applyBorder="1" applyAlignment="1">
      <alignment horizontal="center" vertical="center"/>
    </xf>
    <xf numFmtId="167" fontId="4" fillId="2" borderId="55" xfId="0" applyNumberFormat="1" applyFont="1" applyFill="1" applyBorder="1" applyAlignment="1">
      <alignment horizontal="center" vertical="center"/>
    </xf>
    <xf numFmtId="167" fontId="13" fillId="2" borderId="69" xfId="0" applyNumberFormat="1" applyFont="1" applyFill="1" applyBorder="1" applyAlignment="1">
      <alignment horizontal="center" vertical="center"/>
    </xf>
    <xf numFmtId="167" fontId="13" fillId="2" borderId="40" xfId="0" applyNumberFormat="1" applyFont="1" applyFill="1" applyBorder="1" applyAlignment="1">
      <alignment horizontal="center" vertical="center"/>
    </xf>
    <xf numFmtId="167" fontId="13" fillId="2" borderId="65" xfId="0" applyNumberFormat="1" applyFont="1" applyFill="1" applyBorder="1" applyAlignment="1">
      <alignment horizontal="center" vertical="center"/>
    </xf>
    <xf numFmtId="167" fontId="13" fillId="6" borderId="69" xfId="0" applyNumberFormat="1" applyFont="1" applyFill="1" applyBorder="1" applyAlignment="1">
      <alignment horizontal="center" vertical="center"/>
    </xf>
    <xf numFmtId="167" fontId="13" fillId="6" borderId="40" xfId="0" applyNumberFormat="1" applyFont="1" applyFill="1" applyBorder="1" applyAlignment="1">
      <alignment horizontal="center" vertical="center"/>
    </xf>
    <xf numFmtId="167" fontId="13" fillId="6" borderId="65" xfId="0" applyNumberFormat="1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 wrapText="1"/>
    </xf>
    <xf numFmtId="165" fontId="2" fillId="0" borderId="0" xfId="0" quotePrefix="1" applyNumberFormat="1" applyFont="1" applyAlignment="1">
      <alignment horizontal="center" vertical="center" wrapText="1"/>
    </xf>
    <xf numFmtId="165" fontId="18" fillId="6" borderId="48" xfId="0" applyNumberFormat="1" applyFont="1" applyFill="1" applyBorder="1" applyAlignment="1">
      <alignment horizontal="center" vertical="center"/>
    </xf>
    <xf numFmtId="165" fontId="22" fillId="6" borderId="48" xfId="2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Alignment="1">
      <alignment vertical="center"/>
    </xf>
    <xf numFmtId="0" fontId="13" fillId="2" borderId="16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/>
    </xf>
    <xf numFmtId="0" fontId="4" fillId="8" borderId="66" xfId="0" applyFont="1" applyFill="1" applyBorder="1" applyAlignment="1">
      <alignment horizontal="center" vertical="center"/>
    </xf>
    <xf numFmtId="0" fontId="4" fillId="8" borderId="50" xfId="0" applyFont="1" applyFill="1" applyBorder="1" applyAlignment="1">
      <alignment horizontal="center" vertical="center"/>
    </xf>
    <xf numFmtId="0" fontId="4" fillId="8" borderId="6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/>
    <xf numFmtId="0" fontId="3" fillId="0" borderId="40" xfId="0" applyFont="1" applyBorder="1" applyAlignment="1">
      <alignment horizontal="center"/>
    </xf>
    <xf numFmtId="0" fontId="16" fillId="0" borderId="0" xfId="0" applyFont="1"/>
    <xf numFmtId="0" fontId="49" fillId="2" borderId="35" xfId="0" applyFont="1" applyFill="1" applyBorder="1" applyAlignment="1">
      <alignment vertical="center"/>
    </xf>
    <xf numFmtId="0" fontId="49" fillId="2" borderId="0" xfId="0" applyFont="1" applyFill="1" applyAlignment="1">
      <alignment vertical="center"/>
    </xf>
    <xf numFmtId="0" fontId="55" fillId="0" borderId="66" xfId="0" applyFont="1" applyBorder="1" applyAlignment="1" applyProtection="1">
      <alignment horizontal="center" vertical="center" wrapText="1"/>
      <protection locked="0"/>
    </xf>
    <xf numFmtId="0" fontId="55" fillId="2" borderId="69" xfId="0" applyFont="1" applyFill="1" applyBorder="1" applyAlignment="1" applyProtection="1">
      <alignment horizontal="center" vertical="center" wrapText="1"/>
      <protection locked="0"/>
    </xf>
    <xf numFmtId="165" fontId="56" fillId="0" borderId="56" xfId="0" applyNumberFormat="1" applyFont="1" applyBorder="1" applyAlignment="1" applyProtection="1">
      <alignment horizontal="center" vertical="center"/>
      <protection locked="0"/>
    </xf>
    <xf numFmtId="165" fontId="55" fillId="2" borderId="55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0" xfId="0" applyNumberFormat="1" applyFont="1" applyFill="1" applyAlignment="1">
      <alignment horizontal="center" vertical="center"/>
    </xf>
    <xf numFmtId="0" fontId="26" fillId="12" borderId="16" xfId="0" applyFont="1" applyFill="1" applyBorder="1" applyAlignment="1" applyProtection="1">
      <alignment horizontal="center" vertical="center" wrapText="1"/>
      <protection locked="0"/>
    </xf>
    <xf numFmtId="166" fontId="26" fillId="12" borderId="16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16" xfId="0" applyFont="1" applyBorder="1" applyAlignment="1" applyProtection="1">
      <alignment horizontal="center" vertical="center" wrapText="1"/>
      <protection locked="0"/>
    </xf>
    <xf numFmtId="1" fontId="53" fillId="2" borderId="16" xfId="0" applyNumberFormat="1" applyFont="1" applyFill="1" applyBorder="1" applyAlignment="1" applyProtection="1">
      <alignment horizontal="center" vertical="center"/>
      <protection locked="0"/>
    </xf>
    <xf numFmtId="165" fontId="53" fillId="2" borderId="16" xfId="0" applyNumberFormat="1" applyFont="1" applyFill="1" applyBorder="1" applyAlignment="1" applyProtection="1">
      <alignment horizontal="center" vertical="center"/>
      <protection locked="0"/>
    </xf>
    <xf numFmtId="165" fontId="26" fillId="6" borderId="16" xfId="0" applyNumberFormat="1" applyFont="1" applyFill="1" applyBorder="1" applyAlignment="1">
      <alignment horizontal="center" vertical="center"/>
    </xf>
    <xf numFmtId="165" fontId="57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56" fillId="2" borderId="40" xfId="0" applyFont="1" applyFill="1" applyBorder="1" applyAlignment="1" applyProtection="1">
      <alignment horizontal="center" vertical="center" wrapText="1"/>
      <protection locked="0"/>
    </xf>
    <xf numFmtId="165" fontId="58" fillId="0" borderId="56" xfId="0" applyNumberFormat="1" applyFont="1" applyBorder="1" applyAlignment="1" applyProtection="1">
      <alignment horizontal="center" vertical="center"/>
      <protection locked="0"/>
    </xf>
    <xf numFmtId="165" fontId="26" fillId="6" borderId="54" xfId="0" applyNumberFormat="1" applyFont="1" applyFill="1" applyBorder="1" applyAlignment="1">
      <alignment horizontal="center" vertical="center"/>
    </xf>
    <xf numFmtId="165" fontId="57" fillId="2" borderId="55" xfId="0" applyNumberFormat="1" applyFont="1" applyFill="1" applyBorder="1" applyAlignment="1" applyProtection="1">
      <alignment horizontal="center" vertical="center" wrapText="1"/>
      <protection locked="0"/>
    </xf>
    <xf numFmtId="2" fontId="32" fillId="9" borderId="16" xfId="0" applyNumberFormat="1" applyFont="1" applyFill="1" applyBorder="1" applyAlignment="1">
      <alignment horizontal="center" vertical="center"/>
    </xf>
    <xf numFmtId="164" fontId="2" fillId="8" borderId="55" xfId="0" applyNumberFormat="1" applyFont="1" applyFill="1" applyBorder="1" applyAlignment="1">
      <alignment horizontal="center" vertical="center"/>
    </xf>
    <xf numFmtId="0" fontId="2" fillId="0" borderId="16" xfId="0" applyFont="1" applyBorder="1"/>
    <xf numFmtId="0" fontId="7" fillId="8" borderId="15" xfId="0" applyFont="1" applyFill="1" applyBorder="1" applyAlignment="1">
      <alignment vertical="center"/>
    </xf>
    <xf numFmtId="0" fontId="7" fillId="8" borderId="15" xfId="2" applyFont="1" applyFill="1" applyBorder="1" applyAlignment="1">
      <alignment vertical="center"/>
    </xf>
    <xf numFmtId="0" fontId="53" fillId="2" borderId="27" xfId="0" applyFont="1" applyFill="1" applyBorder="1" applyAlignment="1">
      <alignment vertical="center"/>
    </xf>
    <xf numFmtId="0" fontId="53" fillId="2" borderId="26" xfId="0" applyFont="1" applyFill="1" applyBorder="1" applyAlignment="1">
      <alignment vertical="center"/>
    </xf>
    <xf numFmtId="0" fontId="53" fillId="2" borderId="10" xfId="0" applyFont="1" applyFill="1" applyBorder="1" applyAlignment="1">
      <alignment vertical="center"/>
    </xf>
    <xf numFmtId="181" fontId="53" fillId="0" borderId="5" xfId="0" applyNumberFormat="1" applyFont="1" applyBorder="1" applyAlignment="1">
      <alignment horizontal="right" vertical="center" wrapText="1"/>
    </xf>
    <xf numFmtId="0" fontId="53" fillId="2" borderId="5" xfId="0" applyFont="1" applyFill="1" applyBorder="1" applyAlignment="1">
      <alignment horizontal="right" vertical="center" wrapText="1"/>
    </xf>
    <xf numFmtId="0" fontId="53" fillId="2" borderId="7" xfId="0" applyFont="1" applyFill="1" applyBorder="1" applyAlignment="1">
      <alignment horizontal="right" vertical="center" wrapText="1"/>
    </xf>
    <xf numFmtId="0" fontId="39" fillId="2" borderId="0" xfId="0" applyFont="1" applyFill="1" applyAlignment="1">
      <alignment horizontal="center" vertical="center"/>
    </xf>
    <xf numFmtId="0" fontId="32" fillId="2" borderId="0" xfId="0" applyFont="1" applyFill="1"/>
    <xf numFmtId="0" fontId="32" fillId="2" borderId="0" xfId="0" applyFont="1" applyFill="1" applyAlignment="1">
      <alignment horizontal="left"/>
    </xf>
    <xf numFmtId="0" fontId="32" fillId="2" borderId="4" xfId="0" applyFont="1" applyFill="1" applyBorder="1" applyAlignment="1">
      <alignment vertical="center"/>
    </xf>
    <xf numFmtId="0" fontId="32" fillId="2" borderId="6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2" fontId="2" fillId="10" borderId="79" xfId="0" applyNumberFormat="1" applyFont="1" applyFill="1" applyBorder="1" applyAlignment="1">
      <alignment horizontal="center" vertical="center" wrapText="1"/>
    </xf>
    <xf numFmtId="2" fontId="4" fillId="2" borderId="20" xfId="0" applyNumberFormat="1" applyFont="1" applyFill="1" applyBorder="1" applyAlignment="1">
      <alignment horizontal="center" vertical="center"/>
    </xf>
    <xf numFmtId="164" fontId="4" fillId="2" borderId="41" xfId="0" applyNumberFormat="1" applyFont="1" applyFill="1" applyBorder="1" applyAlignment="1">
      <alignment horizontal="center" vertical="center"/>
    </xf>
    <xf numFmtId="2" fontId="59" fillId="10" borderId="56" xfId="0" applyNumberFormat="1" applyFont="1" applyFill="1" applyBorder="1" applyAlignment="1">
      <alignment horizontal="center" vertical="center" wrapText="1"/>
    </xf>
    <xf numFmtId="2" fontId="60" fillId="2" borderId="54" xfId="0" applyNumberFormat="1" applyFont="1" applyFill="1" applyBorder="1" applyAlignment="1">
      <alignment horizontal="center" vertical="center"/>
    </xf>
    <xf numFmtId="0" fontId="0" fillId="10" borderId="16" xfId="0" applyFill="1" applyBorder="1"/>
    <xf numFmtId="0" fontId="0" fillId="0" borderId="2" xfId="0" applyBorder="1"/>
    <xf numFmtId="0" fontId="0" fillId="0" borderId="22" xfId="0" applyBorder="1"/>
    <xf numFmtId="0" fontId="11" fillId="5" borderId="16" xfId="0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" fontId="63" fillId="9" borderId="9" xfId="0" applyNumberFormat="1" applyFont="1" applyFill="1" applyBorder="1" applyAlignment="1">
      <alignment horizontal="center" vertical="center" wrapText="1"/>
    </xf>
    <xf numFmtId="1" fontId="63" fillId="9" borderId="11" xfId="0" applyNumberFormat="1" applyFont="1" applyFill="1" applyBorder="1" applyAlignment="1">
      <alignment horizontal="center" vertical="center" wrapText="1"/>
    </xf>
    <xf numFmtId="1" fontId="63" fillId="9" borderId="14" xfId="0" applyNumberFormat="1" applyFont="1" applyFill="1" applyBorder="1" applyAlignment="1">
      <alignment horizontal="center" vertical="center" wrapText="1"/>
    </xf>
    <xf numFmtId="164" fontId="63" fillId="9" borderId="5" xfId="0" applyNumberFormat="1" applyFont="1" applyFill="1" applyBorder="1" applyAlignment="1">
      <alignment horizontal="right" vertical="center" wrapText="1"/>
    </xf>
    <xf numFmtId="165" fontId="63" fillId="9" borderId="5" xfId="0" applyNumberFormat="1" applyFont="1" applyFill="1" applyBorder="1" applyAlignment="1">
      <alignment horizontal="right" vertical="center" wrapText="1"/>
    </xf>
    <xf numFmtId="0" fontId="62" fillId="9" borderId="0" xfId="0" applyFont="1" applyFill="1" applyAlignment="1">
      <alignment horizontal="left" vertical="center"/>
    </xf>
    <xf numFmtId="165" fontId="62" fillId="9" borderId="0" xfId="0" applyNumberFormat="1" applyFont="1" applyFill="1" applyAlignment="1">
      <alignment horizontal="center" vertical="center" wrapText="1"/>
    </xf>
    <xf numFmtId="165" fontId="62" fillId="9" borderId="16" xfId="0" applyNumberFormat="1" applyFont="1" applyFill="1" applyBorder="1" applyAlignment="1">
      <alignment horizontal="center" vertical="center"/>
    </xf>
    <xf numFmtId="0" fontId="64" fillId="9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/>
    </xf>
    <xf numFmtId="0" fontId="9" fillId="0" borderId="16" xfId="0" applyFont="1" applyBorder="1" applyAlignment="1">
      <alignment horizontal="left" vertical="center"/>
    </xf>
    <xf numFmtId="0" fontId="9" fillId="5" borderId="39" xfId="0" applyFont="1" applyFill="1" applyBorder="1" applyAlignment="1" applyProtection="1">
      <alignment horizontal="center" vertical="center"/>
      <protection locked="0"/>
    </xf>
    <xf numFmtId="165" fontId="9" fillId="10" borderId="40" xfId="0" applyNumberFormat="1" applyFont="1" applyFill="1" applyBorder="1" applyAlignment="1" applyProtection="1">
      <alignment horizontal="center" vertical="center"/>
      <protection locked="0"/>
    </xf>
    <xf numFmtId="0" fontId="9" fillId="0" borderId="39" xfId="0" applyFont="1" applyBorder="1" applyAlignment="1" applyProtection="1">
      <alignment horizontal="center" vertical="center"/>
      <protection locked="0"/>
    </xf>
    <xf numFmtId="165" fontId="2" fillId="10" borderId="13" xfId="0" quotePrefix="1" applyNumberFormat="1" applyFont="1" applyFill="1" applyBorder="1" applyAlignment="1" applyProtection="1">
      <alignment horizontal="center" vertical="center"/>
      <protection locked="0"/>
    </xf>
    <xf numFmtId="0" fontId="9" fillId="5" borderId="56" xfId="0" applyFont="1" applyFill="1" applyBorder="1" applyAlignment="1">
      <alignment horizontal="center" vertical="center"/>
    </xf>
    <xf numFmtId="165" fontId="9" fillId="10" borderId="55" xfId="0" applyNumberFormat="1" applyFont="1" applyFill="1" applyBorder="1" applyAlignment="1">
      <alignment horizontal="center" vertical="center"/>
    </xf>
    <xf numFmtId="165" fontId="2" fillId="10" borderId="16" xfId="0" quotePrefix="1" applyNumberFormat="1" applyFont="1" applyFill="1" applyBorder="1" applyAlignment="1" applyProtection="1">
      <alignment horizontal="center" vertical="center"/>
      <protection locked="0"/>
    </xf>
    <xf numFmtId="0" fontId="9" fillId="0" borderId="56" xfId="0" applyFont="1" applyBorder="1" applyAlignment="1" applyProtection="1">
      <alignment horizontal="center" vertical="center"/>
      <protection locked="0"/>
    </xf>
    <xf numFmtId="165" fontId="2" fillId="10" borderId="54" xfId="0" quotePrefix="1" applyNumberFormat="1" applyFont="1" applyFill="1" applyBorder="1" applyAlignment="1" applyProtection="1">
      <alignment horizontal="center"/>
      <protection locked="0"/>
    </xf>
    <xf numFmtId="0" fontId="0" fillId="0" borderId="44" xfId="0" applyBorder="1" applyProtection="1">
      <protection locked="0"/>
    </xf>
    <xf numFmtId="0" fontId="9" fillId="10" borderId="4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9" fillId="10" borderId="55" xfId="0" applyFont="1" applyFill="1" applyBorder="1" applyAlignment="1">
      <alignment horizontal="center" vertical="center"/>
    </xf>
    <xf numFmtId="165" fontId="2" fillId="10" borderId="61" xfId="0" quotePrefix="1" applyNumberFormat="1" applyFont="1" applyFill="1" applyBorder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5" fontId="2" fillId="0" borderId="0" xfId="0" quotePrefix="1" applyNumberFormat="1" applyFont="1" applyAlignment="1" applyProtection="1">
      <alignment horizontal="center"/>
      <protection locked="0"/>
    </xf>
    <xf numFmtId="0" fontId="5" fillId="6" borderId="39" xfId="0" applyFont="1" applyFill="1" applyBorder="1" applyAlignment="1">
      <alignment horizontal="center" vertical="center"/>
    </xf>
    <xf numFmtId="165" fontId="5" fillId="6" borderId="40" xfId="0" applyNumberFormat="1" applyFont="1" applyFill="1" applyBorder="1" applyAlignment="1">
      <alignment horizontal="center" vertical="center"/>
    </xf>
    <xf numFmtId="2" fontId="4" fillId="5" borderId="40" xfId="0" applyNumberFormat="1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/>
    </xf>
    <xf numFmtId="0" fontId="5" fillId="6" borderId="40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/>
    </xf>
    <xf numFmtId="2" fontId="4" fillId="5" borderId="40" xfId="0" applyNumberFormat="1" applyFont="1" applyFill="1" applyBorder="1" applyAlignment="1">
      <alignment horizontal="center"/>
    </xf>
    <xf numFmtId="165" fontId="9" fillId="6" borderId="40" xfId="0" applyNumberFormat="1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 vertical="center"/>
    </xf>
    <xf numFmtId="165" fontId="9" fillId="6" borderId="55" xfId="0" applyNumberFormat="1" applyFont="1" applyFill="1" applyBorder="1" applyAlignment="1">
      <alignment horizontal="center"/>
    </xf>
    <xf numFmtId="0" fontId="4" fillId="5" borderId="54" xfId="0" applyFont="1" applyFill="1" applyBorder="1" applyAlignment="1">
      <alignment horizontal="center" vertical="center"/>
    </xf>
    <xf numFmtId="2" fontId="4" fillId="5" borderId="54" xfId="0" applyNumberFormat="1" applyFont="1" applyFill="1" applyBorder="1" applyAlignment="1">
      <alignment horizontal="center"/>
    </xf>
    <xf numFmtId="0" fontId="4" fillId="0" borderId="33" xfId="0" applyFont="1" applyBorder="1"/>
    <xf numFmtId="2" fontId="4" fillId="5" borderId="55" xfId="0" applyNumberFormat="1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2" fontId="4" fillId="2" borderId="41" xfId="0" applyNumberFormat="1" applyFont="1" applyFill="1" applyBorder="1" applyAlignment="1">
      <alignment horizontal="center"/>
    </xf>
    <xf numFmtId="0" fontId="4" fillId="5" borderId="68" xfId="0" applyFont="1" applyFill="1" applyBorder="1" applyAlignment="1">
      <alignment horizontal="center" vertical="center"/>
    </xf>
    <xf numFmtId="2" fontId="4" fillId="5" borderId="68" xfId="0" applyNumberFormat="1" applyFont="1" applyFill="1" applyBorder="1" applyAlignment="1">
      <alignment horizontal="center"/>
    </xf>
    <xf numFmtId="2" fontId="4" fillId="5" borderId="69" xfId="0" applyNumberFormat="1" applyFont="1" applyFill="1" applyBorder="1" applyAlignment="1">
      <alignment horizontal="center"/>
    </xf>
    <xf numFmtId="165" fontId="31" fillId="6" borderId="40" xfId="0" applyNumberFormat="1" applyFont="1" applyFill="1" applyBorder="1" applyAlignment="1">
      <alignment horizontal="center" vertical="center"/>
    </xf>
    <xf numFmtId="2" fontId="4" fillId="5" borderId="54" xfId="0" applyNumberFormat="1" applyFont="1" applyFill="1" applyBorder="1" applyAlignment="1">
      <alignment horizontal="center" vertical="center"/>
    </xf>
    <xf numFmtId="2" fontId="4" fillId="5" borderId="55" xfId="0" applyNumberFormat="1" applyFont="1" applyFill="1" applyBorder="1" applyAlignment="1">
      <alignment horizontal="center" vertical="center"/>
    </xf>
    <xf numFmtId="2" fontId="4" fillId="5" borderId="68" xfId="0" applyNumberFormat="1" applyFont="1" applyFill="1" applyBorder="1" applyAlignment="1">
      <alignment horizontal="center" vertical="center"/>
    </xf>
    <xf numFmtId="2" fontId="4" fillId="5" borderId="69" xfId="0" applyNumberFormat="1" applyFont="1" applyFill="1" applyBorder="1" applyAlignment="1">
      <alignment horizontal="center" vertical="center"/>
    </xf>
    <xf numFmtId="165" fontId="5" fillId="6" borderId="40" xfId="0" applyNumberFormat="1" applyFont="1" applyFill="1" applyBorder="1" applyAlignment="1">
      <alignment horizontal="center"/>
    </xf>
    <xf numFmtId="167" fontId="4" fillId="2" borderId="35" xfId="2" applyNumberFormat="1" applyFont="1" applyFill="1" applyBorder="1" applyAlignment="1">
      <alignment horizontal="center"/>
    </xf>
    <xf numFmtId="0" fontId="2" fillId="0" borderId="56" xfId="0" applyFont="1" applyBorder="1" applyAlignment="1">
      <alignment horizontal="center" vertical="center"/>
    </xf>
    <xf numFmtId="165" fontId="0" fillId="10" borderId="54" xfId="0" applyNumberFormat="1" applyFill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0" fontId="0" fillId="0" borderId="36" xfId="0" applyBorder="1"/>
    <xf numFmtId="0" fontId="0" fillId="10" borderId="68" xfId="0" applyFill="1" applyBorder="1"/>
    <xf numFmtId="0" fontId="0" fillId="10" borderId="69" xfId="0" applyFill="1" applyBorder="1"/>
    <xf numFmtId="0" fontId="0" fillId="10" borderId="40" xfId="0" applyFill="1" applyBorder="1"/>
    <xf numFmtId="0" fontId="0" fillId="10" borderId="54" xfId="0" applyFill="1" applyBorder="1"/>
    <xf numFmtId="0" fontId="0" fillId="10" borderId="55" xfId="0" applyFill="1" applyBorder="1"/>
    <xf numFmtId="2" fontId="4" fillId="2" borderId="33" xfId="2" applyNumberFormat="1" applyFont="1" applyFill="1" applyBorder="1" applyAlignment="1">
      <alignment horizontal="center"/>
    </xf>
    <xf numFmtId="0" fontId="20" fillId="0" borderId="40" xfId="0" applyFont="1" applyBorder="1" applyAlignment="1">
      <alignment vertical="center"/>
    </xf>
    <xf numFmtId="0" fontId="37" fillId="0" borderId="40" xfId="0" applyFont="1" applyBorder="1" applyAlignment="1" applyProtection="1">
      <alignment horizontal="left" vertical="center"/>
      <protection locked="0"/>
    </xf>
    <xf numFmtId="0" fontId="4" fillId="2" borderId="56" xfId="0" applyFont="1" applyFill="1" applyBorder="1"/>
    <xf numFmtId="2" fontId="20" fillId="0" borderId="54" xfId="0" applyNumberFormat="1" applyFont="1" applyBorder="1" applyAlignment="1">
      <alignment horizontal="center" vertical="center"/>
    </xf>
    <xf numFmtId="2" fontId="20" fillId="0" borderId="55" xfId="0" applyNumberFormat="1" applyFont="1" applyBorder="1" applyAlignment="1">
      <alignment horizontal="center" vertical="center"/>
    </xf>
    <xf numFmtId="0" fontId="4" fillId="5" borderId="24" xfId="0" applyFont="1" applyFill="1" applyBorder="1" applyAlignment="1" applyProtection="1">
      <alignment horizontal="center" vertical="center"/>
      <protection locked="0"/>
    </xf>
    <xf numFmtId="0" fontId="4" fillId="5" borderId="24" xfId="0" applyFont="1" applyFill="1" applyBorder="1" applyAlignment="1" applyProtection="1">
      <alignment vertical="center"/>
      <protection locked="0"/>
    </xf>
    <xf numFmtId="0" fontId="4" fillId="5" borderId="21" xfId="0" applyFont="1" applyFill="1" applyBorder="1" applyAlignment="1" applyProtection="1">
      <alignment vertical="center"/>
      <protection locked="0"/>
    </xf>
    <xf numFmtId="0" fontId="4" fillId="5" borderId="20" xfId="0" applyFont="1" applyFill="1" applyBorder="1" applyAlignment="1" applyProtection="1">
      <alignment vertical="center"/>
      <protection locked="0"/>
    </xf>
    <xf numFmtId="0" fontId="4" fillId="5" borderId="31" xfId="0" applyFont="1" applyFill="1" applyBorder="1" applyAlignment="1" applyProtection="1">
      <alignment horizontal="left" vertical="center"/>
      <protection locked="0"/>
    </xf>
    <xf numFmtId="0" fontId="14" fillId="2" borderId="16" xfId="0" applyFont="1" applyFill="1" applyBorder="1" applyAlignment="1">
      <alignment horizontal="center" vertical="center" wrapText="1"/>
    </xf>
    <xf numFmtId="1" fontId="4" fillId="7" borderId="16" xfId="0" applyNumberFormat="1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vertical="center" wrapText="1"/>
    </xf>
    <xf numFmtId="0" fontId="12" fillId="8" borderId="20" xfId="2" applyFont="1" applyFill="1" applyBorder="1" applyAlignment="1">
      <alignment horizontal="center" vertical="center"/>
    </xf>
    <xf numFmtId="0" fontId="25" fillId="8" borderId="19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 wrapText="1"/>
    </xf>
    <xf numFmtId="167" fontId="4" fillId="8" borderId="16" xfId="0" applyNumberFormat="1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/>
    </xf>
    <xf numFmtId="167" fontId="4" fillId="3" borderId="16" xfId="0" applyNumberFormat="1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 vertical="center" wrapText="1"/>
    </xf>
    <xf numFmtId="167" fontId="4" fillId="3" borderId="16" xfId="0" applyNumberFormat="1" applyFont="1" applyFill="1" applyBorder="1" applyAlignment="1">
      <alignment horizontal="center" vertical="center"/>
    </xf>
    <xf numFmtId="1" fontId="0" fillId="5" borderId="39" xfId="0" applyNumberFormat="1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164" fontId="2" fillId="5" borderId="16" xfId="0" quotePrefix="1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/>
    </xf>
    <xf numFmtId="2" fontId="2" fillId="5" borderId="40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1" fontId="0" fillId="5" borderId="56" xfId="0" applyNumberFormat="1" applyFill="1" applyBorder="1" applyAlignment="1">
      <alignment horizontal="center" vertical="center"/>
    </xf>
    <xf numFmtId="164" fontId="0" fillId="5" borderId="54" xfId="0" applyNumberFormat="1" applyFill="1" applyBorder="1" applyAlignment="1">
      <alignment horizontal="center" vertical="center"/>
    </xf>
    <xf numFmtId="164" fontId="2" fillId="5" borderId="54" xfId="0" quotePrefix="1" applyNumberFormat="1" applyFont="1" applyFill="1" applyBorder="1" applyAlignment="1">
      <alignment horizontal="center" vertical="center"/>
    </xf>
    <xf numFmtId="164" fontId="2" fillId="5" borderId="54" xfId="0" applyNumberFormat="1" applyFont="1" applyFill="1" applyBorder="1" applyAlignment="1">
      <alignment horizontal="center"/>
    </xf>
    <xf numFmtId="2" fontId="2" fillId="5" borderId="55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/>
    </xf>
    <xf numFmtId="1" fontId="4" fillId="8" borderId="16" xfId="0" applyNumberFormat="1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center"/>
    </xf>
    <xf numFmtId="1" fontId="4" fillId="3" borderId="16" xfId="0" applyNumberFormat="1" applyFont="1" applyFill="1" applyBorder="1" applyAlignment="1">
      <alignment horizontal="center" vertical="center"/>
    </xf>
    <xf numFmtId="0" fontId="7" fillId="8" borderId="37" xfId="0" applyFont="1" applyFill="1" applyBorder="1" applyAlignment="1">
      <alignment vertical="center"/>
    </xf>
    <xf numFmtId="175" fontId="2" fillId="0" borderId="16" xfId="0" applyNumberFormat="1" applyFont="1" applyBorder="1" applyAlignment="1">
      <alignment horizontal="center" vertical="center"/>
    </xf>
    <xf numFmtId="175" fontId="0" fillId="0" borderId="16" xfId="0" applyNumberFormat="1" applyBorder="1" applyAlignment="1">
      <alignment horizontal="center" vertical="center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7" fillId="2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169" fontId="32" fillId="2" borderId="0" xfId="0" applyNumberFormat="1" applyFont="1" applyFill="1" applyAlignment="1">
      <alignment horizontal="left" vertical="center"/>
    </xf>
    <xf numFmtId="170" fontId="32" fillId="2" borderId="0" xfId="0" applyNumberFormat="1" applyFont="1" applyFill="1" applyAlignment="1">
      <alignment horizontal="left" vertical="center"/>
    </xf>
    <xf numFmtId="0" fontId="36" fillId="2" borderId="0" xfId="0" applyFont="1" applyFill="1" applyAlignment="1">
      <alignment horizontal="left" vertical="center"/>
    </xf>
    <xf numFmtId="171" fontId="32" fillId="2" borderId="0" xfId="0" applyNumberFormat="1" applyFont="1" applyFill="1" applyAlignment="1">
      <alignment vertical="center"/>
    </xf>
    <xf numFmtId="2" fontId="9" fillId="2" borderId="0" xfId="0" applyNumberFormat="1" applyFont="1" applyFill="1" applyAlignment="1">
      <alignment horizontal="center" vertical="center"/>
    </xf>
    <xf numFmtId="0" fontId="31" fillId="2" borderId="16" xfId="0" applyFont="1" applyFill="1" applyBorder="1" applyAlignment="1">
      <alignment horizontal="center"/>
    </xf>
    <xf numFmtId="1" fontId="53" fillId="6" borderId="16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38" fillId="2" borderId="27" xfId="0" quotePrefix="1" applyFont="1" applyFill="1" applyBorder="1" applyAlignment="1">
      <alignment horizontal="left" vertical="center"/>
    </xf>
    <xf numFmtId="0" fontId="38" fillId="2" borderId="0" xfId="0" quotePrefix="1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9" fillId="2" borderId="0" xfId="0" applyFont="1" applyFill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0" xfId="0" quotePrefix="1" applyFont="1" applyFill="1" applyAlignment="1">
      <alignment vertical="center" wrapText="1"/>
    </xf>
    <xf numFmtId="0" fontId="50" fillId="2" borderId="0" xfId="0" quotePrefix="1" applyFont="1" applyFill="1" applyAlignment="1">
      <alignment horizontal="right" vertical="center"/>
    </xf>
    <xf numFmtId="1" fontId="53" fillId="6" borderId="16" xfId="0" applyNumberFormat="1" applyFont="1" applyFill="1" applyBorder="1" applyAlignment="1">
      <alignment horizontal="center" vertical="center"/>
    </xf>
    <xf numFmtId="165" fontId="2" fillId="2" borderId="0" xfId="0" quotePrefix="1" applyNumberFormat="1" applyFont="1" applyFill="1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1" fontId="53" fillId="2" borderId="0" xfId="0" applyNumberFormat="1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2" fontId="53" fillId="6" borderId="16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2" fontId="2" fillId="2" borderId="0" xfId="1" applyNumberFormat="1" applyFont="1" applyFill="1" applyAlignment="1" applyProtection="1">
      <alignment horizontal="center" vertical="center" wrapText="1"/>
    </xf>
    <xf numFmtId="2" fontId="2" fillId="2" borderId="0" xfId="0" applyNumberFormat="1" applyFont="1" applyFill="1" applyAlignment="1">
      <alignment horizontal="left" vertical="center"/>
    </xf>
    <xf numFmtId="165" fontId="2" fillId="2" borderId="16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165" fontId="2" fillId="2" borderId="16" xfId="0" applyNumberFormat="1" applyFont="1" applyFill="1" applyBorder="1"/>
    <xf numFmtId="167" fontId="2" fillId="2" borderId="15" xfId="0" applyNumberFormat="1" applyFont="1" applyFill="1" applyBorder="1" applyAlignment="1">
      <alignment vertical="center"/>
    </xf>
    <xf numFmtId="0" fontId="32" fillId="2" borderId="0" xfId="0" applyFont="1" applyFill="1" applyAlignment="1" applyProtection="1">
      <alignment horizontal="left" vertical="center"/>
      <protection locked="0"/>
    </xf>
    <xf numFmtId="0" fontId="35" fillId="2" borderId="0" xfId="0" applyFont="1" applyFill="1" applyAlignment="1" applyProtection="1">
      <alignment horizontal="left" vertical="center"/>
      <protection locked="0"/>
    </xf>
    <xf numFmtId="0" fontId="37" fillId="0" borderId="0" xfId="0" applyFont="1" applyAlignment="1">
      <alignment horizontal="center" vertical="center"/>
    </xf>
    <xf numFmtId="168" fontId="32" fillId="0" borderId="0" xfId="0" applyNumberFormat="1" applyFont="1" applyAlignment="1">
      <alignment horizontal="left" vertical="center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horizontal="right" vertical="center" wrapText="1"/>
    </xf>
    <xf numFmtId="2" fontId="32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38" fillId="0" borderId="27" xfId="0" quotePrefix="1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38" fillId="0" borderId="26" xfId="0" quotePrefix="1" applyFont="1" applyBorder="1" applyAlignment="1">
      <alignment horizontal="left" vertical="center"/>
    </xf>
    <xf numFmtId="0" fontId="35" fillId="0" borderId="2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2" fillId="0" borderId="16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/>
    </xf>
    <xf numFmtId="0" fontId="40" fillId="0" borderId="0" xfId="0" quotePrefix="1" applyFont="1" applyAlignment="1">
      <alignment horizontal="right" vertical="center" wrapText="1"/>
    </xf>
    <xf numFmtId="2" fontId="3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32" fillId="0" borderId="0" xfId="0" applyFont="1" applyAlignment="1" applyProtection="1">
      <alignment vertical="center" wrapText="1"/>
      <protection locked="0"/>
    </xf>
    <xf numFmtId="167" fontId="6" fillId="2" borderId="16" xfId="0" applyNumberFormat="1" applyFont="1" applyFill="1" applyBorder="1" applyAlignment="1">
      <alignment horizontal="center"/>
    </xf>
    <xf numFmtId="164" fontId="18" fillId="2" borderId="23" xfId="2" applyNumberFormat="1" applyFont="1" applyFill="1" applyBorder="1" applyAlignment="1">
      <alignment horizontal="center" vertical="center"/>
    </xf>
    <xf numFmtId="168" fontId="32" fillId="2" borderId="0" xfId="0" applyNumberFormat="1" applyFont="1" applyFill="1" applyAlignment="1">
      <alignment horizontal="left" vertical="center"/>
    </xf>
    <xf numFmtId="1" fontId="32" fillId="2" borderId="16" xfId="0" applyNumberFormat="1" applyFont="1" applyFill="1" applyBorder="1" applyAlignment="1">
      <alignment horizontal="center" vertical="center"/>
    </xf>
    <xf numFmtId="164" fontId="32" fillId="10" borderId="16" xfId="0" applyNumberFormat="1" applyFont="1" applyFill="1" applyBorder="1" applyAlignment="1">
      <alignment horizontal="center" vertical="center"/>
    </xf>
    <xf numFmtId="2" fontId="32" fillId="10" borderId="16" xfId="0" applyNumberFormat="1" applyFont="1" applyFill="1" applyBorder="1" applyAlignment="1">
      <alignment horizontal="center" vertical="center"/>
    </xf>
    <xf numFmtId="0" fontId="31" fillId="9" borderId="0" xfId="0" applyFont="1" applyFill="1" applyAlignment="1">
      <alignment horizontal="center" vertical="center" wrapText="1"/>
    </xf>
    <xf numFmtId="0" fontId="31" fillId="2" borderId="0" xfId="0" applyFont="1" applyFill="1" applyAlignment="1">
      <alignment horizontal="center" vertical="center" wrapText="1"/>
    </xf>
    <xf numFmtId="0" fontId="53" fillId="2" borderId="0" xfId="0" applyFont="1" applyFill="1" applyAlignment="1">
      <alignment horizontal="left" vertical="center"/>
    </xf>
    <xf numFmtId="0" fontId="53" fillId="2" borderId="0" xfId="0" applyFont="1" applyFill="1" applyAlignment="1">
      <alignment horizontal="center" vertical="center"/>
    </xf>
    <xf numFmtId="165" fontId="53" fillId="9" borderId="0" xfId="0" quotePrefix="1" applyNumberFormat="1" applyFont="1" applyFill="1" applyAlignment="1">
      <alignment horizontal="right" vertical="center"/>
    </xf>
    <xf numFmtId="183" fontId="53" fillId="2" borderId="0" xfId="0" applyNumberFormat="1" applyFont="1" applyFill="1" applyAlignment="1">
      <alignment horizontal="right" vertical="center" wrapText="1"/>
    </xf>
    <xf numFmtId="0" fontId="26" fillId="2" borderId="0" xfId="0" applyFont="1" applyFill="1" applyAlignment="1">
      <alignment vertical="center" wrapText="1"/>
    </xf>
    <xf numFmtId="0" fontId="31" fillId="2" borderId="0" xfId="0" applyFont="1" applyFill="1" applyAlignment="1">
      <alignment vertical="center" wrapText="1"/>
    </xf>
    <xf numFmtId="0" fontId="32" fillId="0" borderId="16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 wrapText="1"/>
    </xf>
    <xf numFmtId="184" fontId="32" fillId="0" borderId="16" xfId="0" applyNumberFormat="1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2" fontId="32" fillId="0" borderId="16" xfId="0" applyNumberFormat="1" applyFont="1" applyBorder="1" applyAlignment="1">
      <alignment horizontal="center" vertical="center"/>
    </xf>
    <xf numFmtId="0" fontId="2" fillId="0" borderId="15" xfId="3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42" fillId="0" borderId="0" xfId="0" applyFont="1" applyAlignment="1">
      <alignment vertical="center"/>
    </xf>
    <xf numFmtId="0" fontId="2" fillId="0" borderId="12" xfId="3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0" fillId="0" borderId="13" xfId="0" applyBorder="1"/>
    <xf numFmtId="0" fontId="14" fillId="0" borderId="0" xfId="0" applyFont="1" applyAlignment="1">
      <alignment vertical="center"/>
    </xf>
    <xf numFmtId="1" fontId="2" fillId="6" borderId="0" xfId="0" applyNumberFormat="1" applyFont="1" applyFill="1" applyAlignment="1">
      <alignment vertical="center"/>
    </xf>
    <xf numFmtId="1" fontId="2" fillId="6" borderId="16" xfId="0" applyNumberFormat="1" applyFont="1" applyFill="1" applyBorder="1" applyAlignment="1">
      <alignment vertical="center"/>
    </xf>
    <xf numFmtId="0" fontId="14" fillId="0" borderId="16" xfId="0" applyFont="1" applyBorder="1" applyAlignment="1">
      <alignment horizontal="center" vertical="center" wrapText="1"/>
    </xf>
    <xf numFmtId="165" fontId="63" fillId="9" borderId="7" xfId="0" quotePrefix="1" applyNumberFormat="1" applyFont="1" applyFill="1" applyBorder="1" applyAlignment="1">
      <alignment horizontal="right" vertical="center" wrapText="1"/>
    </xf>
    <xf numFmtId="2" fontId="2" fillId="0" borderId="0" xfId="0" applyNumberFormat="1" applyFont="1"/>
    <xf numFmtId="2" fontId="68" fillId="0" borderId="16" xfId="2" applyNumberFormat="1" applyFont="1" applyBorder="1" applyAlignment="1">
      <alignment horizontal="center" vertical="center"/>
    </xf>
    <xf numFmtId="2" fontId="27" fillId="0" borderId="16" xfId="0" applyNumberFormat="1" applyFont="1" applyBorder="1" applyAlignment="1">
      <alignment horizontal="center" vertical="center"/>
    </xf>
    <xf numFmtId="2" fontId="27" fillId="0" borderId="16" xfId="0" quotePrefix="1" applyNumberFormat="1" applyFont="1" applyBorder="1" applyAlignment="1">
      <alignment horizontal="center" vertical="center"/>
    </xf>
    <xf numFmtId="2" fontId="27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/>
    <xf numFmtId="2" fontId="2" fillId="0" borderId="16" xfId="2" applyNumberForma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/>
    </xf>
    <xf numFmtId="2" fontId="2" fillId="0" borderId="16" xfId="0" quotePrefix="1" applyNumberFormat="1" applyFont="1" applyBorder="1" applyAlignment="1">
      <alignment horizontal="center" vertical="center"/>
    </xf>
    <xf numFmtId="2" fontId="2" fillId="2" borderId="0" xfId="0" quotePrefix="1" applyNumberFormat="1" applyFont="1" applyFill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 vertical="center"/>
    </xf>
    <xf numFmtId="2" fontId="2" fillId="2" borderId="35" xfId="0" applyNumberFormat="1" applyFont="1" applyFill="1" applyBorder="1"/>
    <xf numFmtId="2" fontId="2" fillId="0" borderId="36" xfId="0" applyNumberFormat="1" applyFont="1" applyBorder="1"/>
    <xf numFmtId="2" fontId="2" fillId="0" borderId="13" xfId="0" applyNumberFormat="1" applyFont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2" fontId="37" fillId="2" borderId="35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2" fontId="37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2" fontId="3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2" fillId="0" borderId="35" xfId="0" applyNumberFormat="1" applyFont="1" applyBorder="1"/>
    <xf numFmtId="2" fontId="7" fillId="7" borderId="16" xfId="2" applyNumberFormat="1" applyFont="1" applyFill="1" applyBorder="1"/>
    <xf numFmtId="2" fontId="2" fillId="2" borderId="16" xfId="0" applyNumberFormat="1" applyFont="1" applyFill="1" applyBorder="1" applyAlignment="1">
      <alignment horizontal="center" vertical="center" wrapText="1"/>
    </xf>
    <xf numFmtId="2" fontId="2" fillId="0" borderId="16" xfId="0" applyNumberFormat="1" applyFont="1" applyBorder="1"/>
    <xf numFmtId="2" fontId="2" fillId="7" borderId="16" xfId="0" applyNumberFormat="1" applyFont="1" applyFill="1" applyBorder="1" applyAlignment="1">
      <alignment horizontal="center"/>
    </xf>
    <xf numFmtId="2" fontId="2" fillId="2" borderId="16" xfId="0" applyNumberFormat="1" applyFont="1" applyFill="1" applyBorder="1"/>
    <xf numFmtId="2" fontId="2" fillId="2" borderId="16" xfId="0" applyNumberFormat="1" applyFont="1" applyFill="1" applyBorder="1" applyAlignment="1">
      <alignment horizontal="center"/>
    </xf>
    <xf numFmtId="2" fontId="27" fillId="7" borderId="16" xfId="0" applyNumberFormat="1" applyFont="1" applyFill="1" applyBorder="1" applyAlignment="1">
      <alignment horizontal="center" vertical="center"/>
    </xf>
    <xf numFmtId="2" fontId="68" fillId="7" borderId="16" xfId="2" applyNumberFormat="1" applyFont="1" applyFill="1" applyBorder="1" applyAlignment="1">
      <alignment horizontal="center" vertical="center"/>
    </xf>
    <xf numFmtId="2" fontId="70" fillId="2" borderId="16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 wrapText="1"/>
    </xf>
    <xf numFmtId="2" fontId="2" fillId="2" borderId="50" xfId="0" applyNumberFormat="1" applyFont="1" applyFill="1" applyBorder="1"/>
    <xf numFmtId="2" fontId="6" fillId="2" borderId="0" xfId="0" applyNumberFormat="1" applyFont="1" applyFill="1" applyAlignment="1">
      <alignment horizontal="center" vertical="center"/>
    </xf>
    <xf numFmtId="2" fontId="27" fillId="2" borderId="16" xfId="0" applyNumberFormat="1" applyFont="1" applyFill="1" applyBorder="1" applyAlignment="1">
      <alignment horizontal="center" vertical="center"/>
    </xf>
    <xf numFmtId="2" fontId="68" fillId="2" borderId="16" xfId="2" applyNumberFormat="1" applyFont="1" applyFill="1" applyBorder="1" applyAlignment="1">
      <alignment horizontal="center" vertical="center"/>
    </xf>
    <xf numFmtId="1" fontId="27" fillId="2" borderId="16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vertical="center"/>
    </xf>
    <xf numFmtId="164" fontId="2" fillId="2" borderId="16" xfId="2" applyNumberForma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right" vertical="center"/>
    </xf>
    <xf numFmtId="164" fontId="2" fillId="2" borderId="16" xfId="0" applyNumberFormat="1" applyFont="1" applyFill="1" applyBorder="1" applyAlignment="1">
      <alignment horizontal="center" vertical="center"/>
    </xf>
    <xf numFmtId="2" fontId="7" fillId="2" borderId="39" xfId="2" applyNumberFormat="1" applyFont="1" applyFill="1" applyBorder="1" applyAlignment="1">
      <alignment horizontal="center" vertical="center"/>
    </xf>
    <xf numFmtId="2" fontId="20" fillId="0" borderId="40" xfId="0" applyNumberFormat="1" applyFont="1" applyBorder="1" applyAlignment="1">
      <alignment vertical="center"/>
    </xf>
    <xf numFmtId="164" fontId="61" fillId="2" borderId="55" xfId="0" applyNumberFormat="1" applyFont="1" applyFill="1" applyBorder="1" applyAlignment="1">
      <alignment horizontal="center" vertical="center"/>
    </xf>
    <xf numFmtId="2" fontId="4" fillId="2" borderId="56" xfId="0" applyNumberFormat="1" applyFont="1" applyFill="1" applyBorder="1"/>
    <xf numFmtId="2" fontId="43" fillId="2" borderId="0" xfId="0" applyNumberFormat="1" applyFont="1" applyFill="1"/>
    <xf numFmtId="2" fontId="43" fillId="2" borderId="36" xfId="0" applyNumberFormat="1" applyFont="1" applyFill="1" applyBorder="1"/>
    <xf numFmtId="2" fontId="2" fillId="2" borderId="36" xfId="0" applyNumberFormat="1" applyFont="1" applyFill="1" applyBorder="1"/>
    <xf numFmtId="2" fontId="4" fillId="2" borderId="0" xfId="0" applyNumberFormat="1" applyFont="1" applyFill="1"/>
    <xf numFmtId="2" fontId="4" fillId="2" borderId="36" xfId="0" applyNumberFormat="1" applyFont="1" applyFill="1" applyBorder="1"/>
    <xf numFmtId="2" fontId="4" fillId="0" borderId="0" xfId="0" applyNumberFormat="1" applyFont="1"/>
    <xf numFmtId="2" fontId="6" fillId="2" borderId="36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2" fillId="2" borderId="0" xfId="0" applyNumberFormat="1" applyFont="1" applyFill="1" applyAlignment="1">
      <alignment horizontal="center" vertical="center"/>
    </xf>
    <xf numFmtId="2" fontId="7" fillId="7" borderId="37" xfId="0" applyNumberFormat="1" applyFont="1" applyFill="1" applyBorder="1"/>
    <xf numFmtId="2" fontId="7" fillId="7" borderId="17" xfId="0" applyNumberFormat="1" applyFont="1" applyFill="1" applyBorder="1" applyAlignment="1">
      <alignment horizontal="center" vertical="center"/>
    </xf>
    <xf numFmtId="2" fontId="4" fillId="7" borderId="17" xfId="0" applyNumberFormat="1" applyFont="1" applyFill="1" applyBorder="1" applyAlignment="1">
      <alignment horizontal="center" vertical="center"/>
    </xf>
    <xf numFmtId="2" fontId="4" fillId="7" borderId="17" xfId="0" applyNumberFormat="1" applyFont="1" applyFill="1" applyBorder="1" applyAlignment="1">
      <alignment vertical="center"/>
    </xf>
    <xf numFmtId="1" fontId="4" fillId="7" borderId="16" xfId="0" applyNumberFormat="1" applyFont="1" applyFill="1" applyBorder="1" applyAlignment="1">
      <alignment vertical="center"/>
    </xf>
    <xf numFmtId="1" fontId="4" fillId="7" borderId="40" xfId="0" applyNumberFormat="1" applyFont="1" applyFill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2" fontId="3" fillId="0" borderId="15" xfId="0" applyNumberFormat="1" applyFont="1" applyBorder="1"/>
    <xf numFmtId="2" fontId="3" fillId="0" borderId="17" xfId="0" applyNumberFormat="1" applyFont="1" applyBorder="1"/>
    <xf numFmtId="2" fontId="3" fillId="0" borderId="38" xfId="0" applyNumberFormat="1" applyFont="1" applyBorder="1"/>
    <xf numFmtId="1" fontId="4" fillId="7" borderId="16" xfId="0" applyNumberFormat="1" applyFont="1" applyFill="1" applyBorder="1" applyAlignment="1">
      <alignment horizontal="right" vertical="center"/>
    </xf>
    <xf numFmtId="2" fontId="4" fillId="7" borderId="24" xfId="0" applyNumberFormat="1" applyFont="1" applyFill="1" applyBorder="1" applyAlignment="1">
      <alignment horizontal="center" vertical="center"/>
    </xf>
    <xf numFmtId="2" fontId="4" fillId="7" borderId="24" xfId="0" applyNumberFormat="1" applyFont="1" applyFill="1" applyBorder="1" applyAlignment="1">
      <alignment vertical="center"/>
    </xf>
    <xf numFmtId="2" fontId="3" fillId="0" borderId="0" xfId="0" applyNumberFormat="1" applyFont="1"/>
    <xf numFmtId="2" fontId="3" fillId="0" borderId="36" xfId="0" applyNumberFormat="1" applyFont="1" applyBorder="1"/>
    <xf numFmtId="2" fontId="3" fillId="10" borderId="32" xfId="0" applyNumberFormat="1" applyFont="1" applyFill="1" applyBorder="1"/>
    <xf numFmtId="2" fontId="3" fillId="10" borderId="33" xfId="0" applyNumberFormat="1" applyFont="1" applyFill="1" applyBorder="1"/>
    <xf numFmtId="2" fontId="3" fillId="0" borderId="33" xfId="0" applyNumberFormat="1" applyFont="1" applyBorder="1"/>
    <xf numFmtId="2" fontId="3" fillId="0" borderId="34" xfId="0" applyNumberFormat="1" applyFont="1" applyBorder="1"/>
    <xf numFmtId="172" fontId="32" fillId="2" borderId="0" xfId="0" applyNumberFormat="1" applyFont="1" applyFill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16" xfId="0" applyBorder="1"/>
    <xf numFmtId="0" fontId="2" fillId="0" borderId="16" xfId="0" applyFont="1" applyBorder="1" applyAlignment="1">
      <alignment wrapText="1"/>
    </xf>
    <xf numFmtId="0" fontId="73" fillId="0" borderId="0" xfId="0" applyFont="1"/>
    <xf numFmtId="0" fontId="32" fillId="2" borderId="0" xfId="3" quotePrefix="1" applyFont="1" applyFill="1" applyAlignment="1" applyProtection="1">
      <alignment vertical="center"/>
      <protection locked="0"/>
    </xf>
    <xf numFmtId="0" fontId="2" fillId="0" borderId="0" xfId="4"/>
    <xf numFmtId="0" fontId="9" fillId="0" borderId="0" xfId="0" applyFont="1" applyAlignment="1">
      <alignment horizontal="center" vertical="center"/>
    </xf>
    <xf numFmtId="0" fontId="8" fillId="0" borderId="15" xfId="4" applyFont="1" applyBorder="1" applyAlignment="1">
      <alignment horizontal="left" vertical="top" wrapText="1"/>
    </xf>
    <xf numFmtId="0" fontId="8" fillId="0" borderId="18" xfId="4" applyFont="1" applyBorder="1" applyAlignment="1">
      <alignment horizontal="left" vertical="top" wrapText="1"/>
    </xf>
    <xf numFmtId="0" fontId="2" fillId="0" borderId="0" xfId="4" applyAlignment="1">
      <alignment horizontal="left" vertical="top"/>
    </xf>
    <xf numFmtId="0" fontId="8" fillId="0" borderId="18" xfId="4" applyFont="1" applyBorder="1" applyAlignment="1">
      <alignment horizontal="left" vertical="top"/>
    </xf>
    <xf numFmtId="0" fontId="8" fillId="0" borderId="0" xfId="4" applyFont="1" applyAlignment="1">
      <alignment vertical="center" wrapText="1"/>
    </xf>
    <xf numFmtId="0" fontId="8" fillId="0" borderId="0" xfId="4" applyFont="1" applyAlignment="1">
      <alignment horizontal="center" vertical="center" wrapText="1"/>
    </xf>
    <xf numFmtId="0" fontId="2" fillId="0" borderId="0" xfId="4" applyAlignment="1">
      <alignment vertical="top" wrapText="1"/>
    </xf>
    <xf numFmtId="0" fontId="8" fillId="0" borderId="15" xfId="4" applyFont="1" applyBorder="1" applyAlignment="1">
      <alignment vertical="top"/>
    </xf>
    <xf numFmtId="0" fontId="8" fillId="0" borderId="18" xfId="4" applyFont="1" applyBorder="1" applyAlignment="1" applyProtection="1">
      <alignment vertical="top" wrapText="1"/>
      <protection locked="0"/>
    </xf>
    <xf numFmtId="0" fontId="8" fillId="0" borderId="18" xfId="4" applyFont="1" applyBorder="1" applyAlignment="1" applyProtection="1">
      <alignment vertical="top"/>
      <protection locked="0"/>
    </xf>
    <xf numFmtId="0" fontId="21" fillId="0" borderId="0" xfId="4" applyFont="1" applyAlignment="1">
      <alignment vertical="top"/>
    </xf>
    <xf numFmtId="0" fontId="8" fillId="0" borderId="0" xfId="4" applyFont="1" applyAlignment="1" applyProtection="1">
      <alignment horizontal="center" vertical="top" wrapText="1"/>
      <protection locked="0"/>
    </xf>
    <xf numFmtId="0" fontId="8" fillId="0" borderId="0" xfId="4" applyFont="1" applyAlignment="1">
      <alignment horizontal="center" vertical="top" wrapText="1"/>
    </xf>
    <xf numFmtId="0" fontId="8" fillId="0" borderId="0" xfId="4" applyFont="1" applyAlignment="1">
      <alignment vertical="top" wrapText="1"/>
    </xf>
    <xf numFmtId="0" fontId="8" fillId="0" borderId="0" xfId="4" applyFont="1" applyAlignment="1">
      <alignment horizontal="justify" vertical="center" wrapText="1"/>
    </xf>
    <xf numFmtId="0" fontId="76" fillId="0" borderId="0" xfId="4" applyFont="1" applyAlignment="1">
      <alignment vertical="center"/>
    </xf>
    <xf numFmtId="0" fontId="2" fillId="0" borderId="66" xfId="4" applyBorder="1"/>
    <xf numFmtId="0" fontId="77" fillId="0" borderId="69" xfId="4" applyFont="1" applyBorder="1"/>
    <xf numFmtId="0" fontId="2" fillId="0" borderId="35" xfId="4" applyBorder="1"/>
    <xf numFmtId="0" fontId="2" fillId="0" borderId="36" xfId="4" applyBorder="1"/>
    <xf numFmtId="0" fontId="2" fillId="0" borderId="39" xfId="4" applyBorder="1" applyAlignment="1">
      <alignment wrapText="1"/>
    </xf>
    <xf numFmtId="0" fontId="2" fillId="0" borderId="40" xfId="4" applyBorder="1" applyAlignment="1">
      <alignment vertical="center" wrapText="1"/>
    </xf>
    <xf numFmtId="0" fontId="77" fillId="0" borderId="40" xfId="4" applyFont="1" applyBorder="1" applyAlignment="1">
      <alignment vertical="center"/>
    </xf>
    <xf numFmtId="0" fontId="2" fillId="0" borderId="31" xfId="4" applyBorder="1" applyAlignment="1">
      <alignment wrapText="1"/>
    </xf>
    <xf numFmtId="0" fontId="2" fillId="0" borderId="40" xfId="4" applyBorder="1" applyAlignment="1">
      <alignment vertical="center"/>
    </xf>
    <xf numFmtId="0" fontId="2" fillId="0" borderId="42" xfId="4" applyBorder="1"/>
    <xf numFmtId="0" fontId="78" fillId="0" borderId="40" xfId="4" applyFont="1" applyBorder="1" applyAlignment="1">
      <alignment horizontal="left" wrapText="1"/>
    </xf>
    <xf numFmtId="0" fontId="2" fillId="0" borderId="0" xfId="4" applyAlignment="1">
      <alignment wrapText="1"/>
    </xf>
    <xf numFmtId="0" fontId="2" fillId="0" borderId="83" xfId="4" applyBorder="1"/>
    <xf numFmtId="0" fontId="78" fillId="0" borderId="39" xfId="4" applyFont="1" applyBorder="1" applyAlignment="1">
      <alignment wrapText="1"/>
    </xf>
    <xf numFmtId="0" fontId="2" fillId="0" borderId="79" xfId="4" applyBorder="1"/>
    <xf numFmtId="0" fontId="2" fillId="0" borderId="52" xfId="4" applyBorder="1"/>
    <xf numFmtId="0" fontId="0" fillId="0" borderId="43" xfId="0" applyBorder="1"/>
    <xf numFmtId="0" fontId="78" fillId="0" borderId="79" xfId="4" applyFont="1" applyBorder="1"/>
    <xf numFmtId="0" fontId="78" fillId="0" borderId="40" xfId="4" applyFont="1" applyBorder="1" applyAlignment="1">
      <alignment wrapText="1"/>
    </xf>
    <xf numFmtId="0" fontId="78" fillId="0" borderId="70" xfId="4" applyFont="1" applyBorder="1"/>
    <xf numFmtId="0" fontId="78" fillId="0" borderId="55" xfId="4" applyFont="1" applyBorder="1" applyAlignment="1">
      <alignment wrapText="1"/>
    </xf>
    <xf numFmtId="0" fontId="32" fillId="9" borderId="0" xfId="0" quotePrefix="1" applyFont="1" applyFill="1" applyAlignment="1">
      <alignment horizontal="left" vertical="center"/>
    </xf>
    <xf numFmtId="165" fontId="80" fillId="6" borderId="0" xfId="0" quotePrefix="1" applyNumberFormat="1" applyFont="1" applyFill="1" applyAlignment="1">
      <alignment vertical="center" wrapText="1"/>
    </xf>
    <xf numFmtId="165" fontId="37" fillId="0" borderId="15" xfId="0" applyNumberFormat="1" applyFont="1" applyBorder="1" applyAlignment="1" applyProtection="1">
      <alignment horizontal="center" vertical="center"/>
      <protection locked="0"/>
    </xf>
    <xf numFmtId="0" fontId="32" fillId="2" borderId="0" xfId="0" quotePrefix="1" applyFont="1" applyFill="1" applyAlignment="1">
      <alignment vertical="center"/>
    </xf>
    <xf numFmtId="0" fontId="32" fillId="3" borderId="0" xfId="0" quotePrefix="1" applyFont="1" applyFill="1" applyAlignment="1">
      <alignment vertical="center"/>
    </xf>
    <xf numFmtId="0" fontId="32" fillId="3" borderId="0" xfId="0" applyFont="1" applyFill="1" applyAlignment="1">
      <alignment vertical="center"/>
    </xf>
    <xf numFmtId="0" fontId="35" fillId="0" borderId="0" xfId="0" applyFont="1" applyProtection="1">
      <protection locked="0"/>
    </xf>
    <xf numFmtId="170" fontId="69" fillId="0" borderId="0" xfId="0" applyNumberFormat="1" applyFont="1" applyAlignment="1">
      <alignment horizontal="center" vertical="center"/>
    </xf>
    <xf numFmtId="165" fontId="62" fillId="0" borderId="0" xfId="0" applyNumberFormat="1" applyFont="1" applyAlignment="1">
      <alignment horizontal="right" vertical="center"/>
    </xf>
    <xf numFmtId="0" fontId="62" fillId="0" borderId="0" xfId="0" applyFont="1" applyAlignment="1">
      <alignment vertical="center" wrapText="1"/>
    </xf>
    <xf numFmtId="0" fontId="63" fillId="0" borderId="5" xfId="0" applyFont="1" applyBorder="1" applyAlignment="1">
      <alignment vertical="center"/>
    </xf>
    <xf numFmtId="0" fontId="63" fillId="0" borderId="7" xfId="0" applyFont="1" applyBorder="1" applyAlignment="1">
      <alignment vertical="center"/>
    </xf>
    <xf numFmtId="177" fontId="63" fillId="0" borderId="3" xfId="0" applyNumberFormat="1" applyFont="1" applyBorder="1" applyAlignment="1">
      <alignment horizontal="right" vertical="center"/>
    </xf>
    <xf numFmtId="164" fontId="63" fillId="0" borderId="5" xfId="0" applyNumberFormat="1" applyFont="1" applyBorder="1" applyAlignment="1">
      <alignment vertical="center"/>
    </xf>
    <xf numFmtId="165" fontId="63" fillId="0" borderId="7" xfId="0" applyNumberFormat="1" applyFont="1" applyBorder="1" applyAlignment="1">
      <alignment vertical="center"/>
    </xf>
    <xf numFmtId="165" fontId="63" fillId="0" borderId="9" xfId="0" applyNumberFormat="1" applyFont="1" applyBorder="1" applyAlignment="1">
      <alignment horizontal="center" vertical="center" wrapText="1"/>
    </xf>
    <xf numFmtId="2" fontId="63" fillId="0" borderId="9" xfId="0" applyNumberFormat="1" applyFont="1" applyBorder="1" applyAlignment="1">
      <alignment horizontal="center" vertical="center" wrapText="1"/>
    </xf>
    <xf numFmtId="165" fontId="63" fillId="0" borderId="11" xfId="0" applyNumberFormat="1" applyFont="1" applyBorder="1" applyAlignment="1">
      <alignment horizontal="center" vertical="center" wrapText="1"/>
    </xf>
    <xf numFmtId="2" fontId="63" fillId="0" borderId="11" xfId="0" applyNumberFormat="1" applyFont="1" applyBorder="1" applyAlignment="1">
      <alignment horizontal="center" vertical="center" wrapText="1"/>
    </xf>
    <xf numFmtId="165" fontId="63" fillId="0" borderId="14" xfId="0" applyNumberFormat="1" applyFont="1" applyBorder="1" applyAlignment="1">
      <alignment horizontal="center" vertical="center" wrapText="1"/>
    </xf>
    <xf numFmtId="2" fontId="63" fillId="0" borderId="14" xfId="0" applyNumberFormat="1" applyFont="1" applyBorder="1" applyAlignment="1">
      <alignment horizontal="center" vertical="center" wrapText="1"/>
    </xf>
    <xf numFmtId="0" fontId="69" fillId="0" borderId="3" xfId="0" applyFont="1" applyBorder="1" applyAlignment="1">
      <alignment horizontal="right" vertical="center"/>
    </xf>
    <xf numFmtId="0" fontId="69" fillId="0" borderId="5" xfId="0" applyFont="1" applyBorder="1" applyAlignment="1">
      <alignment horizontal="right" vertical="center"/>
    </xf>
    <xf numFmtId="0" fontId="69" fillId="0" borderId="7" xfId="0" applyFont="1" applyBorder="1" applyAlignment="1">
      <alignment horizontal="right" vertical="center"/>
    </xf>
    <xf numFmtId="2" fontId="63" fillId="0" borderId="4" xfId="0" applyNumberFormat="1" applyFont="1" applyBorder="1" applyAlignment="1">
      <alignment horizontal="left" vertical="center" wrapText="1"/>
    </xf>
    <xf numFmtId="2" fontId="63" fillId="0" borderId="6" xfId="0" applyNumberFormat="1" applyFont="1" applyBorder="1" applyAlignment="1">
      <alignment horizontal="left" vertical="center" wrapText="1"/>
    </xf>
    <xf numFmtId="2" fontId="63" fillId="0" borderId="8" xfId="0" applyNumberFormat="1" applyFont="1" applyBorder="1" applyAlignment="1">
      <alignment horizontal="left" vertical="center" wrapText="1"/>
    </xf>
    <xf numFmtId="0" fontId="62" fillId="0" borderId="0" xfId="0" applyFont="1" applyAlignment="1" applyProtection="1">
      <alignment horizontal="left" vertical="center"/>
      <protection locked="0"/>
    </xf>
    <xf numFmtId="0" fontId="62" fillId="0" borderId="0" xfId="0" applyFont="1" applyAlignment="1" applyProtection="1">
      <alignment vertical="center"/>
      <protection locked="0"/>
    </xf>
    <xf numFmtId="165" fontId="62" fillId="0" borderId="0" xfId="0" applyNumberFormat="1" applyFont="1" applyAlignment="1">
      <alignment horizontal="left" vertical="center"/>
    </xf>
    <xf numFmtId="0" fontId="9" fillId="9" borderId="19" xfId="0" applyFont="1" applyFill="1" applyBorder="1" applyAlignment="1" applyProtection="1">
      <alignment horizontal="center" vertical="center" wrapText="1"/>
      <protection locked="0"/>
    </xf>
    <xf numFmtId="0" fontId="9" fillId="9" borderId="13" xfId="0" applyFont="1" applyFill="1" applyBorder="1" applyAlignment="1" applyProtection="1">
      <alignment horizontal="center" vertical="center" wrapText="1"/>
      <protection locked="0"/>
    </xf>
    <xf numFmtId="0" fontId="35" fillId="2" borderId="15" xfId="0" applyFont="1" applyFill="1" applyBorder="1" applyAlignment="1">
      <alignment horizontal="center" vertical="center" wrapText="1"/>
    </xf>
    <xf numFmtId="0" fontId="35" fillId="2" borderId="17" xfId="0" applyFont="1" applyFill="1" applyBorder="1" applyAlignment="1">
      <alignment horizontal="center" vertical="center" wrapText="1"/>
    </xf>
    <xf numFmtId="0" fontId="35" fillId="2" borderId="18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/>
    </xf>
    <xf numFmtId="0" fontId="35" fillId="2" borderId="23" xfId="0" applyFont="1" applyFill="1" applyBorder="1" applyAlignment="1">
      <alignment horizontal="center" vertical="center" wrapText="1"/>
    </xf>
    <xf numFmtId="0" fontId="35" fillId="2" borderId="13" xfId="0" applyFont="1" applyFill="1" applyBorder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2" fillId="2" borderId="14" xfId="0" applyFont="1" applyFill="1" applyBorder="1" applyAlignment="1">
      <alignment horizontal="center" vertical="center" wrapText="1"/>
    </xf>
    <xf numFmtId="0" fontId="32" fillId="2" borderId="11" xfId="0" quotePrefix="1" applyFont="1" applyFill="1" applyBorder="1" applyAlignment="1">
      <alignment horizontal="center" vertical="center" wrapText="1"/>
    </xf>
    <xf numFmtId="0" fontId="32" fillId="2" borderId="14" xfId="0" quotePrefix="1" applyFont="1" applyFill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 wrapText="1"/>
    </xf>
    <xf numFmtId="0" fontId="35" fillId="2" borderId="19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2" fontId="52" fillId="2" borderId="1" xfId="0" applyNumberFormat="1" applyFont="1" applyFill="1" applyBorder="1" applyAlignment="1">
      <alignment horizontal="center" vertical="center" wrapText="1"/>
    </xf>
    <xf numFmtId="2" fontId="52" fillId="2" borderId="0" xfId="0" applyNumberFormat="1" applyFont="1" applyFill="1" applyAlignment="1">
      <alignment horizontal="center" vertical="center" wrapText="1"/>
    </xf>
    <xf numFmtId="0" fontId="34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9" fillId="9" borderId="19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2" fontId="35" fillId="2" borderId="0" xfId="0" applyNumberFormat="1" applyFont="1" applyFill="1" applyAlignment="1">
      <alignment horizontal="center" vertical="center" wrapText="1"/>
    </xf>
    <xf numFmtId="0" fontId="35" fillId="2" borderId="20" xfId="0" applyFont="1" applyFill="1" applyBorder="1" applyAlignment="1">
      <alignment horizontal="center" vertical="center" wrapText="1"/>
    </xf>
    <xf numFmtId="0" fontId="35" fillId="2" borderId="21" xfId="0" applyFont="1" applyFill="1" applyBorder="1" applyAlignment="1">
      <alignment horizontal="center" vertical="center" wrapText="1"/>
    </xf>
    <xf numFmtId="0" fontId="35" fillId="2" borderId="12" xfId="0" applyFont="1" applyFill="1" applyBorder="1" applyAlignment="1">
      <alignment horizontal="center" vertical="center" wrapText="1"/>
    </xf>
    <xf numFmtId="0" fontId="35" fillId="2" borderId="22" xfId="0" applyFont="1" applyFill="1" applyBorder="1" applyAlignment="1">
      <alignment horizontal="center" vertical="center" wrapText="1"/>
    </xf>
    <xf numFmtId="0" fontId="35" fillId="2" borderId="2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2" fontId="32" fillId="2" borderId="15" xfId="0" applyNumberFormat="1" applyFont="1" applyFill="1" applyBorder="1" applyAlignment="1">
      <alignment horizontal="center" vertical="center" wrapText="1"/>
    </xf>
    <xf numFmtId="2" fontId="32" fillId="2" borderId="18" xfId="0" applyNumberFormat="1" applyFont="1" applyFill="1" applyBorder="1" applyAlignment="1">
      <alignment horizontal="center" vertical="center" wrapText="1"/>
    </xf>
    <xf numFmtId="0" fontId="32" fillId="2" borderId="15" xfId="0" quotePrefix="1" applyFont="1" applyFill="1" applyBorder="1" applyAlignment="1">
      <alignment horizontal="center" vertical="center" wrapText="1"/>
    </xf>
    <xf numFmtId="0" fontId="32" fillId="2" borderId="18" xfId="0" quotePrefix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49" fillId="2" borderId="35" xfId="0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32" fillId="0" borderId="16" xfId="0" applyFont="1" applyBorder="1" applyAlignment="1">
      <alignment vertical="center"/>
    </xf>
    <xf numFmtId="0" fontId="35" fillId="0" borderId="15" xfId="3" applyFont="1" applyBorder="1" applyAlignment="1">
      <alignment horizontal="center" vertical="center"/>
    </xf>
    <xf numFmtId="0" fontId="35" fillId="0" borderId="17" xfId="3" applyFont="1" applyBorder="1" applyAlignment="1">
      <alignment horizontal="center" vertical="center"/>
    </xf>
    <xf numFmtId="0" fontId="35" fillId="0" borderId="18" xfId="3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1" fontId="32" fillId="6" borderId="19" xfId="0" applyNumberFormat="1" applyFont="1" applyFill="1" applyBorder="1" applyAlignment="1">
      <alignment horizontal="center" vertical="center"/>
    </xf>
    <xf numFmtId="1" fontId="32" fillId="6" borderId="23" xfId="0" applyNumberFormat="1" applyFont="1" applyFill="1" applyBorder="1" applyAlignment="1">
      <alignment horizontal="center" vertical="center"/>
    </xf>
    <xf numFmtId="1" fontId="32" fillId="6" borderId="13" xfId="0" applyNumberFormat="1" applyFont="1" applyFill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65" fillId="0" borderId="16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82" fontId="2" fillId="2" borderId="3" xfId="0" applyNumberFormat="1" applyFont="1" applyFill="1" applyBorder="1" applyAlignment="1">
      <alignment horizontal="center" vertical="center" wrapText="1"/>
    </xf>
    <xf numFmtId="182" fontId="2" fillId="2" borderId="4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9" fontId="2" fillId="2" borderId="7" xfId="0" applyNumberFormat="1" applyFont="1" applyFill="1" applyBorder="1" applyAlignment="1">
      <alignment horizontal="center" vertical="center" wrapText="1"/>
    </xf>
    <xf numFmtId="179" fontId="2" fillId="2" borderId="8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 wrapText="1"/>
    </xf>
    <xf numFmtId="173" fontId="2" fillId="2" borderId="5" xfId="0" applyNumberFormat="1" applyFont="1" applyFill="1" applyBorder="1" applyAlignment="1">
      <alignment horizontal="center" vertical="center" wrapText="1"/>
    </xf>
    <xf numFmtId="173" fontId="2" fillId="2" borderId="6" xfId="0" applyNumberFormat="1" applyFont="1" applyFill="1" applyBorder="1" applyAlignment="1">
      <alignment horizontal="center" vertical="center" wrapText="1"/>
    </xf>
    <xf numFmtId="2" fontId="2" fillId="2" borderId="11" xfId="1" applyNumberFormat="1" applyFont="1" applyFill="1" applyBorder="1" applyAlignment="1" applyProtection="1">
      <alignment horizontal="center" vertical="center" wrapText="1"/>
    </xf>
    <xf numFmtId="2" fontId="2" fillId="2" borderId="14" xfId="1" applyNumberFormat="1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0" borderId="57" xfId="0" applyFont="1" applyBorder="1" applyAlignment="1" applyProtection="1">
      <alignment horizontal="center" vertical="center" wrapText="1"/>
      <protection locked="0"/>
    </xf>
    <xf numFmtId="0" fontId="9" fillId="0" borderId="60" xfId="0" applyFont="1" applyBorder="1" applyAlignment="1" applyProtection="1">
      <alignment horizontal="center" vertical="center" wrapText="1"/>
      <protection locked="0"/>
    </xf>
    <xf numFmtId="0" fontId="9" fillId="0" borderId="32" xfId="0" applyFont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 vertical="center" wrapText="1"/>
      <protection locked="0"/>
    </xf>
    <xf numFmtId="0" fontId="31" fillId="2" borderId="19" xfId="0" applyFont="1" applyFill="1" applyBorder="1" applyAlignment="1">
      <alignment horizontal="center" vertical="center" wrapText="1"/>
    </xf>
    <xf numFmtId="0" fontId="31" fillId="2" borderId="13" xfId="0" applyFont="1" applyFill="1" applyBorder="1" applyAlignment="1">
      <alignment horizontal="center" vertical="center" wrapText="1"/>
    </xf>
    <xf numFmtId="0" fontId="31" fillId="2" borderId="16" xfId="0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left" vertical="center"/>
    </xf>
    <xf numFmtId="167" fontId="2" fillId="2" borderId="16" xfId="0" applyNumberFormat="1" applyFont="1" applyFill="1" applyBorder="1" applyAlignment="1">
      <alignment horizontal="left" vertical="center"/>
    </xf>
    <xf numFmtId="165" fontId="2" fillId="2" borderId="16" xfId="0" applyNumberFormat="1" applyFont="1" applyFill="1" applyBorder="1" applyAlignment="1">
      <alignment horizontal="center" vertical="center"/>
    </xf>
    <xf numFmtId="15" fontId="2" fillId="2" borderId="16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 wrapText="1"/>
    </xf>
    <xf numFmtId="2" fontId="2" fillId="2" borderId="9" xfId="1" applyNumberFormat="1" applyFont="1" applyFill="1" applyBorder="1" applyAlignment="1" applyProtection="1">
      <alignment horizontal="center" vertical="center" wrapText="1"/>
    </xf>
    <xf numFmtId="2" fontId="9" fillId="2" borderId="16" xfId="0" applyNumberFormat="1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2" borderId="15" xfId="0" quotePrefix="1" applyFont="1" applyFill="1" applyBorder="1" applyAlignment="1">
      <alignment horizontal="center" vertical="center" wrapText="1"/>
    </xf>
    <xf numFmtId="0" fontId="2" fillId="2" borderId="17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0" fontId="32" fillId="2" borderId="0" xfId="0" applyFont="1" applyFill="1" applyAlignment="1" applyProtection="1">
      <alignment horizontal="left" vertical="center" wrapText="1"/>
      <protection locked="0"/>
    </xf>
    <xf numFmtId="0" fontId="2" fillId="2" borderId="3" xfId="0" quotePrefix="1" applyFont="1" applyFill="1" applyBorder="1" applyAlignment="1">
      <alignment horizontal="center" vertical="center" wrapText="1"/>
    </xf>
    <xf numFmtId="0" fontId="2" fillId="2" borderId="4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 wrapText="1"/>
    </xf>
    <xf numFmtId="0" fontId="2" fillId="2" borderId="6" xfId="0" quotePrefix="1" applyFont="1" applyFill="1" applyBorder="1" applyAlignment="1">
      <alignment horizontal="center" vertical="center" wrapText="1"/>
    </xf>
    <xf numFmtId="0" fontId="2" fillId="2" borderId="7" xfId="0" quotePrefix="1" applyFont="1" applyFill="1" applyBorder="1" applyAlignment="1">
      <alignment horizontal="center" vertical="center" wrapText="1"/>
    </xf>
    <xf numFmtId="0" fontId="2" fillId="2" borderId="8" xfId="0" quotePrefix="1" applyFont="1" applyFill="1" applyBorder="1" applyAlignment="1">
      <alignment horizontal="center" vertical="center" wrapText="1"/>
    </xf>
    <xf numFmtId="168" fontId="32" fillId="2" borderId="0" xfId="0" applyNumberFormat="1" applyFont="1" applyFill="1" applyAlignment="1">
      <alignment horizontal="left" vertical="center"/>
    </xf>
    <xf numFmtId="175" fontId="32" fillId="2" borderId="0" xfId="0" applyNumberFormat="1" applyFont="1" applyFill="1" applyAlignment="1">
      <alignment horizontal="left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174" fontId="2" fillId="2" borderId="7" xfId="0" applyNumberFormat="1" applyFont="1" applyFill="1" applyBorder="1" applyAlignment="1">
      <alignment horizontal="center" vertical="center" wrapText="1"/>
    </xf>
    <xf numFmtId="174" fontId="2" fillId="2" borderId="8" xfId="0" applyNumberFormat="1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180" fontId="54" fillId="2" borderId="20" xfId="0" applyNumberFormat="1" applyFont="1" applyFill="1" applyBorder="1" applyAlignment="1">
      <alignment horizontal="center" vertical="center"/>
    </xf>
    <xf numFmtId="180" fontId="54" fillId="2" borderId="21" xfId="0" applyNumberFormat="1" applyFont="1" applyFill="1" applyBorder="1" applyAlignment="1">
      <alignment horizontal="center" vertical="center"/>
    </xf>
    <xf numFmtId="180" fontId="54" fillId="2" borderId="12" xfId="0" applyNumberFormat="1" applyFont="1" applyFill="1" applyBorder="1" applyAlignment="1">
      <alignment horizontal="center" vertical="center"/>
    </xf>
    <xf numFmtId="180" fontId="54" fillId="2" borderId="22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center" vertical="center" wrapText="1"/>
      <protection locked="0"/>
    </xf>
    <xf numFmtId="185" fontId="32" fillId="0" borderId="6" xfId="0" applyNumberFormat="1" applyFont="1" applyBorder="1" applyAlignment="1" applyProtection="1">
      <alignment horizontal="center" vertical="center" wrapText="1"/>
      <protection locked="0"/>
    </xf>
    <xf numFmtId="184" fontId="32" fillId="0" borderId="7" xfId="0" applyNumberFormat="1" applyFont="1" applyBorder="1" applyAlignment="1">
      <alignment horizontal="center" vertical="center" wrapText="1"/>
    </xf>
    <xf numFmtId="184" fontId="32" fillId="0" borderId="8" xfId="0" applyNumberFormat="1" applyFont="1" applyBorder="1" applyAlignment="1">
      <alignment horizontal="center" vertical="center" wrapText="1"/>
    </xf>
    <xf numFmtId="0" fontId="63" fillId="9" borderId="7" xfId="0" applyFont="1" applyFill="1" applyBorder="1" applyAlignment="1">
      <alignment horizontal="left" vertical="center"/>
    </xf>
    <xf numFmtId="0" fontId="63" fillId="9" borderId="26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center" vertical="center" wrapText="1"/>
    </xf>
    <xf numFmtId="0" fontId="63" fillId="9" borderId="5" xfId="0" applyFont="1" applyFill="1" applyBorder="1" applyAlignment="1">
      <alignment horizontal="left" vertical="center"/>
    </xf>
    <xf numFmtId="0" fontId="63" fillId="9" borderId="27" xfId="0" applyFont="1" applyFill="1" applyBorder="1" applyAlignment="1">
      <alignment horizontal="left" vertical="center"/>
    </xf>
    <xf numFmtId="15" fontId="32" fillId="9" borderId="0" xfId="0" quotePrefix="1" applyNumberFormat="1" applyFont="1" applyFill="1" applyAlignment="1">
      <alignment horizontal="left" vertical="center"/>
    </xf>
    <xf numFmtId="165" fontId="63" fillId="9" borderId="15" xfId="0" quotePrefix="1" applyNumberFormat="1" applyFont="1" applyFill="1" applyBorder="1" applyAlignment="1">
      <alignment horizontal="center" vertical="center" wrapText="1"/>
    </xf>
    <xf numFmtId="165" fontId="63" fillId="9" borderId="17" xfId="0" quotePrefix="1" applyNumberFormat="1" applyFont="1" applyFill="1" applyBorder="1" applyAlignment="1">
      <alignment horizontal="center" vertical="center" wrapText="1"/>
    </xf>
    <xf numFmtId="165" fontId="63" fillId="9" borderId="18" xfId="0" quotePrefix="1" applyNumberFormat="1" applyFont="1" applyFill="1" applyBorder="1" applyAlignment="1">
      <alignment horizontal="center" vertical="center" wrapText="1"/>
    </xf>
    <xf numFmtId="0" fontId="62" fillId="9" borderId="0" xfId="0" applyFont="1" applyFill="1" applyAlignment="1">
      <alignment horizontal="left" vertical="center"/>
    </xf>
    <xf numFmtId="0" fontId="62" fillId="9" borderId="0" xfId="0" applyFont="1" applyFill="1" applyAlignment="1">
      <alignment vertical="center"/>
    </xf>
    <xf numFmtId="0" fontId="62" fillId="2" borderId="0" xfId="0" applyFont="1" applyFill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5" fontId="32" fillId="2" borderId="3" xfId="1" applyNumberFormat="1" applyFont="1" applyFill="1" applyBorder="1" applyAlignment="1">
      <alignment horizontal="center" vertical="center" wrapText="1"/>
    </xf>
    <xf numFmtId="165" fontId="32" fillId="2" borderId="4" xfId="1" applyNumberFormat="1" applyFont="1" applyFill="1" applyBorder="1" applyAlignment="1">
      <alignment horizontal="center" vertical="center" wrapText="1"/>
    </xf>
    <xf numFmtId="165" fontId="32" fillId="2" borderId="5" xfId="1" applyNumberFormat="1" applyFont="1" applyFill="1" applyBorder="1" applyAlignment="1">
      <alignment horizontal="center" vertical="center" wrapText="1"/>
    </xf>
    <xf numFmtId="165" fontId="32" fillId="2" borderId="6" xfId="1" applyNumberFormat="1" applyFont="1" applyFill="1" applyBorder="1" applyAlignment="1">
      <alignment horizontal="center" vertical="center" wrapText="1"/>
    </xf>
    <xf numFmtId="0" fontId="40" fillId="2" borderId="0" xfId="0" applyFont="1" applyFill="1" applyAlignment="1">
      <alignment horizontal="center" vertical="center" wrapText="1"/>
    </xf>
    <xf numFmtId="0" fontId="63" fillId="2" borderId="3" xfId="0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 wrapText="1"/>
    </xf>
    <xf numFmtId="165" fontId="32" fillId="2" borderId="7" xfId="1" applyNumberFormat="1" applyFont="1" applyFill="1" applyBorder="1" applyAlignment="1">
      <alignment horizontal="center" vertical="center" wrapText="1"/>
    </xf>
    <xf numFmtId="165" fontId="32" fillId="2" borderId="8" xfId="1" applyNumberFormat="1" applyFont="1" applyFill="1" applyBorder="1" applyAlignment="1">
      <alignment horizontal="center" vertical="center" wrapText="1"/>
    </xf>
    <xf numFmtId="0" fontId="63" fillId="2" borderId="7" xfId="0" applyFont="1" applyFill="1" applyBorder="1" applyAlignment="1">
      <alignment horizontal="center" vertical="center" wrapText="1"/>
    </xf>
    <xf numFmtId="0" fontId="63" fillId="2" borderId="8" xfId="0" applyFont="1" applyFill="1" applyBorder="1" applyAlignment="1">
      <alignment horizontal="center" vertical="center" wrapText="1"/>
    </xf>
    <xf numFmtId="0" fontId="63" fillId="2" borderId="5" xfId="0" applyFont="1" applyFill="1" applyBorder="1" applyAlignment="1">
      <alignment horizontal="center" vertical="center" wrapText="1"/>
    </xf>
    <xf numFmtId="0" fontId="63" fillId="2" borderId="6" xfId="0" applyFont="1" applyFill="1" applyBorder="1" applyAlignment="1">
      <alignment horizontal="center" vertical="center" wrapText="1"/>
    </xf>
    <xf numFmtId="0" fontId="65" fillId="0" borderId="16" xfId="0" applyFont="1" applyBorder="1" applyAlignment="1" applyProtection="1">
      <alignment horizontal="center" vertical="center"/>
      <protection locked="0"/>
    </xf>
    <xf numFmtId="0" fontId="62" fillId="0" borderId="0" xfId="0" applyFont="1" applyAlignment="1" applyProtection="1">
      <alignment horizontal="left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63" fillId="0" borderId="7" xfId="0" applyFont="1" applyBorder="1" applyAlignment="1">
      <alignment horizontal="center" vertical="center" wrapText="1"/>
    </xf>
    <xf numFmtId="0" fontId="63" fillId="0" borderId="8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2" fontId="9" fillId="2" borderId="19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175" fontId="32" fillId="0" borderId="0" xfId="0" applyNumberFormat="1" applyFont="1" applyAlignment="1">
      <alignment horizontal="left" vertical="center"/>
    </xf>
    <xf numFmtId="0" fontId="63" fillId="0" borderId="3" xfId="0" applyFont="1" applyBorder="1" applyAlignment="1">
      <alignment horizontal="center" vertical="center" wrapText="1"/>
    </xf>
    <xf numFmtId="0" fontId="63" fillId="0" borderId="4" xfId="0" applyFont="1" applyBorder="1" applyAlignment="1">
      <alignment horizontal="center" vertical="center" wrapText="1"/>
    </xf>
    <xf numFmtId="182" fontId="2" fillId="0" borderId="3" xfId="0" applyNumberFormat="1" applyFont="1" applyBorder="1" applyAlignment="1">
      <alignment horizontal="center" vertical="center" wrapText="1"/>
    </xf>
    <xf numFmtId="182" fontId="2" fillId="0" borderId="4" xfId="0" applyNumberFormat="1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9" fontId="2" fillId="0" borderId="7" xfId="0" applyNumberFormat="1" applyFont="1" applyBorder="1" applyAlignment="1">
      <alignment horizontal="center" vertical="center" wrapText="1"/>
    </xf>
    <xf numFmtId="179" fontId="2" fillId="0" borderId="8" xfId="0" applyNumberFormat="1" applyFont="1" applyBorder="1" applyAlignment="1">
      <alignment horizontal="center" vertical="center" wrapText="1"/>
    </xf>
    <xf numFmtId="0" fontId="50" fillId="0" borderId="9" xfId="0" quotePrefix="1" applyFont="1" applyBorder="1" applyAlignment="1">
      <alignment horizontal="center" vertical="center" wrapText="1"/>
    </xf>
    <xf numFmtId="0" fontId="50" fillId="0" borderId="11" xfId="0" quotePrefix="1" applyFont="1" applyBorder="1" applyAlignment="1">
      <alignment horizontal="center" vertical="center" wrapText="1"/>
    </xf>
    <xf numFmtId="0" fontId="50" fillId="0" borderId="14" xfId="0" quotePrefix="1" applyFont="1" applyBorder="1" applyAlignment="1">
      <alignment horizontal="center" vertical="center" wrapText="1"/>
    </xf>
    <xf numFmtId="165" fontId="63" fillId="0" borderId="15" xfId="0" applyNumberFormat="1" applyFont="1" applyBorder="1" applyAlignment="1">
      <alignment horizontal="center" vertical="center"/>
    </xf>
    <xf numFmtId="165" fontId="63" fillId="0" borderId="18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0" xfId="4" applyFont="1" applyAlignment="1">
      <alignment horizontal="left" vertical="center" wrapText="1"/>
    </xf>
    <xf numFmtId="0" fontId="8" fillId="0" borderId="0" xfId="4" applyFont="1" applyAlignment="1">
      <alignment horizontal="left" vertical="center" wrapText="1"/>
    </xf>
    <xf numFmtId="175" fontId="8" fillId="0" borderId="0" xfId="4" applyNumberFormat="1" applyFont="1" applyAlignment="1">
      <alignment horizontal="left" vertical="top" wrapText="1"/>
    </xf>
    <xf numFmtId="0" fontId="8" fillId="0" borderId="0" xfId="4" applyFont="1" applyAlignment="1">
      <alignment horizontal="left" vertical="top" wrapText="1"/>
    </xf>
    <xf numFmtId="0" fontId="8" fillId="6" borderId="0" xfId="4" applyFont="1" applyFill="1" applyAlignment="1">
      <alignment horizontal="justify" vertical="center" wrapText="1"/>
    </xf>
    <xf numFmtId="175" fontId="8" fillId="0" borderId="0" xfId="4" applyNumberFormat="1" applyFont="1" applyAlignment="1">
      <alignment horizontal="left" vertical="center" wrapText="1"/>
    </xf>
    <xf numFmtId="0" fontId="8" fillId="0" borderId="15" xfId="4" applyFont="1" applyBorder="1" applyAlignment="1">
      <alignment horizontal="left" vertical="top" wrapText="1"/>
    </xf>
    <xf numFmtId="0" fontId="8" fillId="0" borderId="17" xfId="4" applyFont="1" applyBorder="1" applyAlignment="1">
      <alignment horizontal="left" vertical="top" wrapText="1"/>
    </xf>
    <xf numFmtId="0" fontId="8" fillId="0" borderId="0" xfId="4" applyFont="1" applyAlignment="1" applyProtection="1">
      <alignment horizontal="left" vertical="top" wrapText="1"/>
      <protection locked="0"/>
    </xf>
    <xf numFmtId="0" fontId="8" fillId="0" borderId="0" xfId="4" applyFont="1" applyAlignment="1" applyProtection="1">
      <alignment horizontal="justify" vertical="top" wrapText="1"/>
      <protection locked="0"/>
    </xf>
    <xf numFmtId="0" fontId="74" fillId="0" borderId="0" xfId="4" applyFont="1" applyAlignment="1" applyProtection="1">
      <alignment horizontal="center" vertical="center"/>
      <protection locked="0"/>
    </xf>
    <xf numFmtId="0" fontId="8" fillId="0" borderId="0" xfId="4" applyFont="1" applyAlignment="1">
      <alignment horizontal="center"/>
    </xf>
    <xf numFmtId="0" fontId="75" fillId="0" borderId="0" xfId="4" applyFont="1" applyAlignment="1">
      <alignment horizontal="right" vertical="center"/>
    </xf>
    <xf numFmtId="2" fontId="1" fillId="7" borderId="16" xfId="0" applyNumberFormat="1" applyFont="1" applyFill="1" applyBorder="1" applyAlignment="1">
      <alignment horizontal="center" vertical="center" wrapText="1"/>
    </xf>
    <xf numFmtId="2" fontId="7" fillId="7" borderId="16" xfId="2" applyNumberFormat="1" applyFont="1" applyFill="1" applyBorder="1" applyAlignment="1">
      <alignment horizontal="center" vertical="center"/>
    </xf>
    <xf numFmtId="2" fontId="27" fillId="2" borderId="16" xfId="0" applyNumberFormat="1" applyFont="1" applyFill="1" applyBorder="1" applyAlignment="1">
      <alignment horizontal="center" vertical="center" wrapText="1"/>
    </xf>
    <xf numFmtId="2" fontId="3" fillId="0" borderId="75" xfId="0" applyNumberFormat="1" applyFont="1" applyBorder="1" applyAlignment="1">
      <alignment horizontal="center"/>
    </xf>
    <xf numFmtId="2" fontId="3" fillId="0" borderId="58" xfId="0" applyNumberFormat="1" applyFont="1" applyBorder="1" applyAlignment="1">
      <alignment horizontal="center"/>
    </xf>
    <xf numFmtId="2" fontId="3" fillId="0" borderId="59" xfId="0" applyNumberFormat="1" applyFont="1" applyBorder="1" applyAlignment="1">
      <alignment horizontal="center"/>
    </xf>
    <xf numFmtId="2" fontId="2" fillId="2" borderId="47" xfId="0" applyNumberFormat="1" applyFont="1" applyFill="1" applyBorder="1" applyAlignment="1">
      <alignment horizontal="center" vertical="center" wrapText="1"/>
    </xf>
    <xf numFmtId="2" fontId="2" fillId="2" borderId="41" xfId="0" applyNumberFormat="1" applyFont="1" applyFill="1" applyBorder="1" applyAlignment="1">
      <alignment horizontal="center" vertical="center" wrapText="1"/>
    </xf>
    <xf numFmtId="2" fontId="2" fillId="2" borderId="65" xfId="0" applyNumberFormat="1" applyFont="1" applyFill="1" applyBorder="1" applyAlignment="1">
      <alignment horizontal="center" vertical="center" wrapText="1"/>
    </xf>
    <xf numFmtId="2" fontId="68" fillId="2" borderId="16" xfId="2" applyNumberFormat="1" applyFont="1" applyFill="1" applyBorder="1" applyAlignment="1">
      <alignment horizontal="center" vertical="center" wrapText="1"/>
    </xf>
    <xf numFmtId="2" fontId="27" fillId="2" borderId="16" xfId="0" applyNumberFormat="1" applyFont="1" applyFill="1" applyBorder="1" applyAlignment="1">
      <alignment horizontal="center" vertical="center"/>
    </xf>
    <xf numFmtId="2" fontId="4" fillId="2" borderId="66" xfId="2" applyNumberFormat="1" applyFont="1" applyFill="1" applyBorder="1" applyAlignment="1">
      <alignment horizontal="center" vertical="center"/>
    </xf>
    <xf numFmtId="2" fontId="4" fillId="2" borderId="68" xfId="2" applyNumberFormat="1" applyFont="1" applyFill="1" applyBorder="1" applyAlignment="1">
      <alignment horizontal="center" vertical="center"/>
    </xf>
    <xf numFmtId="2" fontId="4" fillId="2" borderId="69" xfId="2" applyNumberFormat="1" applyFont="1" applyFill="1" applyBorder="1" applyAlignment="1">
      <alignment horizontal="center" vertical="center"/>
    </xf>
    <xf numFmtId="2" fontId="71" fillId="2" borderId="75" xfId="2" applyNumberFormat="1" applyFont="1" applyFill="1" applyBorder="1" applyAlignment="1">
      <alignment horizontal="center" vertical="center"/>
    </xf>
    <xf numFmtId="2" fontId="71" fillId="2" borderId="58" xfId="2" applyNumberFormat="1" applyFont="1" applyFill="1" applyBorder="1" applyAlignment="1">
      <alignment horizontal="center" vertical="center"/>
    </xf>
    <xf numFmtId="2" fontId="71" fillId="2" borderId="59" xfId="2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 wrapText="1"/>
    </xf>
    <xf numFmtId="2" fontId="72" fillId="2" borderId="0" xfId="0" applyNumberFormat="1" applyFont="1" applyFill="1" applyAlignment="1">
      <alignment horizontal="center" vertical="center" wrapText="1"/>
    </xf>
    <xf numFmtId="2" fontId="2" fillId="7" borderId="16" xfId="0" applyNumberFormat="1" applyFont="1" applyFill="1" applyBorder="1" applyAlignment="1">
      <alignment horizontal="center" vertical="center" wrapText="1"/>
    </xf>
    <xf numFmtId="2" fontId="27" fillId="0" borderId="16" xfId="0" applyNumberFormat="1" applyFont="1" applyBorder="1" applyAlignment="1">
      <alignment horizontal="center" vertical="center"/>
    </xf>
    <xf numFmtId="2" fontId="27" fillId="0" borderId="16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68" fillId="0" borderId="16" xfId="2" applyNumberFormat="1" applyFont="1" applyBorder="1" applyAlignment="1">
      <alignment horizontal="center"/>
    </xf>
    <xf numFmtId="2" fontId="68" fillId="0" borderId="16" xfId="2" applyNumberFormat="1" applyFont="1" applyBorder="1" applyAlignment="1">
      <alignment horizontal="center" vertical="center"/>
    </xf>
    <xf numFmtId="2" fontId="2" fillId="6" borderId="16" xfId="0" applyNumberFormat="1" applyFont="1" applyFill="1" applyBorder="1" applyAlignment="1">
      <alignment horizontal="center" vertical="center"/>
    </xf>
    <xf numFmtId="2" fontId="66" fillId="4" borderId="42" xfId="0" applyNumberFormat="1" applyFont="1" applyFill="1" applyBorder="1" applyAlignment="1">
      <alignment horizontal="center" vertical="center"/>
    </xf>
    <xf numFmtId="2" fontId="66" fillId="4" borderId="2" xfId="0" applyNumberFormat="1" applyFont="1" applyFill="1" applyBorder="1" applyAlignment="1">
      <alignment horizontal="center" vertical="center"/>
    </xf>
    <xf numFmtId="2" fontId="1" fillId="6" borderId="16" xfId="0" applyNumberFormat="1" applyFont="1" applyFill="1" applyBorder="1" applyAlignment="1">
      <alignment horizontal="center" vertical="center"/>
    </xf>
    <xf numFmtId="2" fontId="67" fillId="2" borderId="16" xfId="0" applyNumberFormat="1" applyFont="1" applyFill="1" applyBorder="1" applyAlignment="1">
      <alignment horizontal="center" vertical="center" wrapText="1"/>
    </xf>
    <xf numFmtId="2" fontId="2" fillId="7" borderId="16" xfId="0" applyNumberFormat="1" applyFont="1" applyFill="1" applyBorder="1" applyAlignment="1">
      <alignment horizontal="center" vertical="center"/>
    </xf>
    <xf numFmtId="2" fontId="67" fillId="0" borderId="16" xfId="0" applyNumberFormat="1" applyFont="1" applyBorder="1" applyAlignment="1">
      <alignment horizontal="center" vertical="center" wrapText="1"/>
    </xf>
    <xf numFmtId="2" fontId="37" fillId="4" borderId="35" xfId="0" applyNumberFormat="1" applyFont="1" applyFill="1" applyBorder="1" applyAlignment="1">
      <alignment horizontal="center" vertical="center" wrapText="1"/>
    </xf>
    <xf numFmtId="2" fontId="37" fillId="4" borderId="0" xfId="0" applyNumberFormat="1" applyFont="1" applyFill="1" applyAlignment="1">
      <alignment horizontal="center" vertical="center" wrapText="1"/>
    </xf>
    <xf numFmtId="2" fontId="7" fillId="7" borderId="16" xfId="2" applyNumberFormat="1" applyFont="1" applyFill="1" applyBorder="1" applyAlignment="1">
      <alignment horizontal="center"/>
    </xf>
    <xf numFmtId="2" fontId="7" fillId="7" borderId="15" xfId="2" applyNumberFormat="1" applyFont="1" applyFill="1" applyBorder="1" applyAlignment="1">
      <alignment horizontal="center"/>
    </xf>
    <xf numFmtId="2" fontId="7" fillId="7" borderId="17" xfId="2" applyNumberFormat="1" applyFont="1" applyFill="1" applyBorder="1" applyAlignment="1">
      <alignment horizontal="center"/>
    </xf>
    <xf numFmtId="2" fontId="7" fillId="7" borderId="18" xfId="2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 wrapText="1"/>
    </xf>
    <xf numFmtId="2" fontId="70" fillId="2" borderId="16" xfId="0" applyNumberFormat="1" applyFont="1" applyFill="1" applyBorder="1" applyAlignment="1">
      <alignment horizontal="center" vertical="center" wrapText="1"/>
    </xf>
    <xf numFmtId="2" fontId="52" fillId="2" borderId="66" xfId="0" applyNumberFormat="1" applyFont="1" applyFill="1" applyBorder="1" applyAlignment="1">
      <alignment horizontal="center" vertical="center" wrapText="1"/>
    </xf>
    <xf numFmtId="2" fontId="52" fillId="2" borderId="39" xfId="0" applyNumberFormat="1" applyFont="1" applyFill="1" applyBorder="1" applyAlignment="1">
      <alignment horizontal="center" vertical="center" wrapText="1"/>
    </xf>
    <xf numFmtId="2" fontId="52" fillId="2" borderId="79" xfId="0" applyNumberFormat="1" applyFont="1" applyFill="1" applyBorder="1" applyAlignment="1">
      <alignment horizontal="center" vertical="center" wrapText="1"/>
    </xf>
    <xf numFmtId="2" fontId="52" fillId="2" borderId="46" xfId="0" applyNumberFormat="1" applyFont="1" applyFill="1" applyBorder="1" applyAlignment="1">
      <alignment horizontal="center" vertical="center" wrapText="1"/>
    </xf>
    <xf numFmtId="2" fontId="52" fillId="2" borderId="23" xfId="0" applyNumberFormat="1" applyFont="1" applyFill="1" applyBorder="1" applyAlignment="1">
      <alignment horizontal="center" vertical="center" wrapText="1"/>
    </xf>
    <xf numFmtId="2" fontId="52" fillId="2" borderId="64" xfId="0" applyNumberFormat="1" applyFont="1" applyFill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/>
    </xf>
    <xf numFmtId="0" fontId="3" fillId="0" borderId="75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4" fillId="8" borderId="56" xfId="0" applyFont="1" applyFill="1" applyBorder="1" applyAlignment="1">
      <alignment horizontal="center" vertical="center"/>
    </xf>
    <xf numFmtId="0" fontId="4" fillId="8" borderId="54" xfId="0" applyFont="1" applyFill="1" applyBorder="1" applyAlignment="1">
      <alignment horizontal="center" vertical="center"/>
    </xf>
    <xf numFmtId="0" fontId="4" fillId="8" borderId="55" xfId="0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84" xfId="0" applyFont="1" applyBorder="1" applyAlignment="1">
      <alignment horizontal="center"/>
    </xf>
    <xf numFmtId="0" fontId="16" fillId="0" borderId="80" xfId="0" applyFont="1" applyBorder="1" applyAlignment="1">
      <alignment horizontal="center"/>
    </xf>
    <xf numFmtId="0" fontId="5" fillId="2" borderId="48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2" fillId="8" borderId="66" xfId="2" applyFont="1" applyFill="1" applyBorder="1" applyAlignment="1">
      <alignment horizontal="center" vertical="center"/>
    </xf>
    <xf numFmtId="0" fontId="12" fillId="8" borderId="68" xfId="2" applyFont="1" applyFill="1" applyBorder="1" applyAlignment="1">
      <alignment horizontal="center" vertical="center"/>
    </xf>
    <xf numFmtId="0" fontId="11" fillId="8" borderId="47" xfId="0" applyFont="1" applyFill="1" applyBorder="1" applyAlignment="1">
      <alignment horizontal="center" vertical="center" wrapText="1"/>
    </xf>
    <xf numFmtId="0" fontId="11" fillId="8" borderId="53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/>
    </xf>
    <xf numFmtId="0" fontId="12" fillId="5" borderId="66" xfId="2" applyFont="1" applyFill="1" applyBorder="1" applyAlignment="1">
      <alignment horizontal="left" vertical="center"/>
    </xf>
    <xf numFmtId="0" fontId="12" fillId="5" borderId="68" xfId="2" applyFont="1" applyFill="1" applyBorder="1" applyAlignment="1">
      <alignment horizontal="left" vertical="center"/>
    </xf>
    <xf numFmtId="0" fontId="5" fillId="8" borderId="46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25" fillId="8" borderId="46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0" fontId="25" fillId="8" borderId="82" xfId="0" applyFont="1" applyFill="1" applyBorder="1" applyAlignment="1">
      <alignment horizontal="center" vertical="center"/>
    </xf>
    <xf numFmtId="0" fontId="25" fillId="8" borderId="67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8" borderId="22" xfId="0" applyFont="1" applyFill="1" applyBorder="1" applyAlignment="1">
      <alignment horizontal="center" vertical="center"/>
    </xf>
    <xf numFmtId="0" fontId="25" fillId="8" borderId="47" xfId="0" applyFont="1" applyFill="1" applyBorder="1" applyAlignment="1">
      <alignment horizontal="center" vertical="center" wrapText="1"/>
    </xf>
    <xf numFmtId="0" fontId="25" fillId="8" borderId="41" xfId="0" applyFont="1" applyFill="1" applyBorder="1" applyAlignment="1">
      <alignment horizontal="center" vertical="center" wrapText="1"/>
    </xf>
    <xf numFmtId="0" fontId="5" fillId="8" borderId="76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11" fillId="8" borderId="69" xfId="0" applyFont="1" applyFill="1" applyBorder="1" applyAlignment="1">
      <alignment horizontal="center" vertical="center" wrapText="1"/>
    </xf>
    <xf numFmtId="0" fontId="11" fillId="8" borderId="40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0" fillId="6" borderId="48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49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center" vertical="center"/>
    </xf>
    <xf numFmtId="164" fontId="13" fillId="2" borderId="15" xfId="0" applyNumberFormat="1" applyFont="1" applyFill="1" applyBorder="1" applyAlignment="1">
      <alignment horizontal="center" vertical="center"/>
    </xf>
    <xf numFmtId="164" fontId="13" fillId="2" borderId="18" xfId="0" applyNumberFormat="1" applyFont="1" applyFill="1" applyBorder="1" applyAlignment="1">
      <alignment horizontal="center" vertical="center"/>
    </xf>
    <xf numFmtId="2" fontId="13" fillId="2" borderId="16" xfId="0" applyNumberFormat="1" applyFont="1" applyFill="1" applyBorder="1" applyAlignment="1">
      <alignment horizontal="center" vertical="center"/>
    </xf>
    <xf numFmtId="0" fontId="13" fillId="2" borderId="51" xfId="2" applyFont="1" applyFill="1" applyBorder="1" applyAlignment="1">
      <alignment horizontal="left" vertical="center" wrapText="1"/>
    </xf>
    <xf numFmtId="0" fontId="13" fillId="2" borderId="58" xfId="2" applyFont="1" applyFill="1" applyBorder="1" applyAlignment="1">
      <alignment horizontal="left" vertical="center" wrapText="1"/>
    </xf>
    <xf numFmtId="0" fontId="13" fillId="2" borderId="59" xfId="2" applyFont="1" applyFill="1" applyBorder="1" applyAlignment="1">
      <alignment horizontal="left" vertical="center" wrapText="1"/>
    </xf>
    <xf numFmtId="0" fontId="25" fillId="2" borderId="78" xfId="0" applyFont="1" applyFill="1" applyBorder="1" applyAlignment="1">
      <alignment horizontal="center" vertical="center" wrapText="1"/>
    </xf>
    <xf numFmtId="0" fontId="25" fillId="2" borderId="53" xfId="0" applyFont="1" applyFill="1" applyBorder="1" applyAlignment="1">
      <alignment horizontal="center" vertical="center" wrapText="1"/>
    </xf>
    <xf numFmtId="0" fontId="12" fillId="5" borderId="66" xfId="2" applyFont="1" applyFill="1" applyBorder="1" applyAlignment="1">
      <alignment horizontal="center" vertical="center"/>
    </xf>
    <xf numFmtId="0" fontId="12" fillId="5" borderId="68" xfId="2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0" fillId="0" borderId="73" xfId="0" applyBorder="1" applyAlignment="1" applyProtection="1">
      <alignment horizontal="center" vertical="center"/>
      <protection locked="0"/>
    </xf>
    <xf numFmtId="0" fontId="0" fillId="0" borderId="63" xfId="0" applyBorder="1" applyAlignment="1" applyProtection="1">
      <alignment horizontal="center" vertical="center"/>
      <protection locked="0"/>
    </xf>
    <xf numFmtId="0" fontId="0" fillId="0" borderId="74" xfId="0" applyBorder="1" applyAlignment="1" applyProtection="1">
      <alignment horizontal="center" vertical="center"/>
      <protection locked="0"/>
    </xf>
    <xf numFmtId="0" fontId="13" fillId="5" borderId="57" xfId="2" applyFont="1" applyFill="1" applyBorder="1" applyAlignment="1" applyProtection="1">
      <alignment horizontal="center" vertical="center"/>
      <protection locked="0"/>
    </xf>
    <xf numFmtId="0" fontId="13" fillId="5" borderId="50" xfId="2" applyFont="1" applyFill="1" applyBorder="1" applyAlignment="1" applyProtection="1">
      <alignment horizontal="center" vertical="center"/>
      <protection locked="0"/>
    </xf>
    <xf numFmtId="0" fontId="13" fillId="5" borderId="60" xfId="2" applyFont="1" applyFill="1" applyBorder="1" applyAlignment="1" applyProtection="1">
      <alignment horizontal="center" vertical="center"/>
      <protection locked="0"/>
    </xf>
    <xf numFmtId="0" fontId="11" fillId="5" borderId="48" xfId="0" applyFont="1" applyFill="1" applyBorder="1" applyAlignment="1" applyProtection="1">
      <alignment horizontal="center" vertical="center"/>
      <protection locked="0"/>
    </xf>
    <xf numFmtId="0" fontId="11" fillId="5" borderId="45" xfId="0" applyFont="1" applyFill="1" applyBorder="1" applyAlignment="1" applyProtection="1">
      <alignment horizontal="center" vertical="center"/>
      <protection locked="0"/>
    </xf>
    <xf numFmtId="0" fontId="11" fillId="5" borderId="71" xfId="0" applyFont="1" applyFill="1" applyBorder="1" applyAlignment="1" applyProtection="1">
      <alignment horizontal="center" vertical="center"/>
      <protection locked="0"/>
    </xf>
    <xf numFmtId="0" fontId="11" fillId="5" borderId="44" xfId="0" applyFont="1" applyFill="1" applyBorder="1" applyAlignment="1" applyProtection="1">
      <alignment horizontal="center" vertical="center"/>
      <protection locked="0"/>
    </xf>
    <xf numFmtId="0" fontId="11" fillId="5" borderId="73" xfId="0" applyFont="1" applyFill="1" applyBorder="1" applyAlignment="1" applyProtection="1">
      <alignment horizontal="center" vertical="center"/>
      <protection locked="0"/>
    </xf>
    <xf numFmtId="0" fontId="11" fillId="5" borderId="74" xfId="0" applyFont="1" applyFill="1" applyBorder="1" applyAlignment="1" applyProtection="1">
      <alignment horizontal="center" vertical="center"/>
      <protection locked="0"/>
    </xf>
    <xf numFmtId="0" fontId="12" fillId="5" borderId="48" xfId="2" applyFont="1" applyFill="1" applyBorder="1" applyAlignment="1" applyProtection="1">
      <alignment horizontal="center" vertical="center"/>
      <protection locked="0"/>
    </xf>
    <xf numFmtId="0" fontId="12" fillId="5" borderId="45" xfId="2" applyFont="1" applyFill="1" applyBorder="1" applyAlignment="1" applyProtection="1">
      <alignment horizontal="center" vertical="center"/>
      <protection locked="0"/>
    </xf>
    <xf numFmtId="0" fontId="15" fillId="5" borderId="32" xfId="2" applyFont="1" applyFill="1" applyBorder="1" applyAlignment="1" applyProtection="1">
      <alignment horizontal="center" vertical="center"/>
      <protection locked="0"/>
    </xf>
    <xf numFmtId="0" fontId="12" fillId="5" borderId="72" xfId="2" applyFont="1" applyFill="1" applyBorder="1" applyAlignment="1" applyProtection="1">
      <alignment horizontal="center" vertical="center"/>
      <protection locked="0"/>
    </xf>
    <xf numFmtId="0" fontId="13" fillId="5" borderId="48" xfId="2" applyFont="1" applyFill="1" applyBorder="1" applyAlignment="1" applyProtection="1">
      <alignment horizontal="center" vertical="center"/>
      <protection locked="0"/>
    </xf>
    <xf numFmtId="0" fontId="13" fillId="5" borderId="44" xfId="2" applyFont="1" applyFill="1" applyBorder="1" applyAlignment="1" applyProtection="1">
      <alignment horizontal="center" vertical="center"/>
      <protection locked="0"/>
    </xf>
    <xf numFmtId="0" fontId="13" fillId="5" borderId="49" xfId="2" applyFont="1" applyFill="1" applyBorder="1" applyAlignment="1" applyProtection="1">
      <alignment horizontal="center" vertical="center"/>
      <protection locked="0"/>
    </xf>
    <xf numFmtId="0" fontId="12" fillId="5" borderId="39" xfId="2" applyFont="1" applyFill="1" applyBorder="1" applyAlignment="1" applyProtection="1">
      <alignment horizontal="center" vertical="center"/>
      <protection locked="0"/>
    </xf>
    <xf numFmtId="0" fontId="12" fillId="5" borderId="16" xfId="2" applyFont="1" applyFill="1" applyBorder="1" applyAlignment="1" applyProtection="1">
      <alignment horizontal="center" vertical="center"/>
      <protection locked="0"/>
    </xf>
    <xf numFmtId="0" fontId="15" fillId="5" borderId="39" xfId="2" applyFont="1" applyFill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13" fillId="5" borderId="66" xfId="2" applyFont="1" applyFill="1" applyBorder="1" applyAlignment="1" applyProtection="1">
      <alignment horizontal="center" vertical="center"/>
      <protection locked="0"/>
    </xf>
    <xf numFmtId="0" fontId="13" fillId="5" borderId="68" xfId="2" applyFont="1" applyFill="1" applyBorder="1" applyAlignment="1" applyProtection="1">
      <alignment horizontal="center" vertical="center"/>
      <protection locked="0"/>
    </xf>
    <xf numFmtId="0" fontId="13" fillId="5" borderId="69" xfId="2" applyFont="1" applyFill="1" applyBorder="1" applyAlignment="1" applyProtection="1">
      <alignment horizontal="center" vertical="center"/>
      <protection locked="0"/>
    </xf>
    <xf numFmtId="0" fontId="11" fillId="5" borderId="39" xfId="0" applyFont="1" applyFill="1" applyBorder="1" applyAlignment="1" applyProtection="1">
      <alignment horizontal="center" vertical="center"/>
      <protection locked="0"/>
    </xf>
    <xf numFmtId="0" fontId="11" fillId="5" borderId="16" xfId="0" applyFont="1" applyFill="1" applyBorder="1" applyAlignment="1" applyProtection="1">
      <alignment horizontal="center" vertical="center"/>
      <protection locked="0"/>
    </xf>
    <xf numFmtId="0" fontId="11" fillId="5" borderId="40" xfId="0" applyFont="1" applyFill="1" applyBorder="1" applyAlignment="1" applyProtection="1">
      <alignment horizontal="center" vertical="center"/>
      <protection locked="0"/>
    </xf>
    <xf numFmtId="0" fontId="24" fillId="4" borderId="35" xfId="0" applyFont="1" applyFill="1" applyBorder="1" applyAlignment="1" applyProtection="1">
      <alignment horizontal="center" vertical="center"/>
      <protection locked="0"/>
    </xf>
    <xf numFmtId="0" fontId="24" fillId="4" borderId="0" xfId="0" applyFont="1" applyFill="1" applyAlignment="1" applyProtection="1">
      <alignment horizontal="center" vertical="center"/>
      <protection locked="0"/>
    </xf>
    <xf numFmtId="1" fontId="14" fillId="5" borderId="66" xfId="0" applyNumberFormat="1" applyFont="1" applyFill="1" applyBorder="1" applyAlignment="1" applyProtection="1">
      <alignment horizontal="center" vertical="center"/>
      <protection locked="0"/>
    </xf>
    <xf numFmtId="1" fontId="14" fillId="5" borderId="69" xfId="0" applyNumberFormat="1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/>
      <protection locked="0"/>
    </xf>
    <xf numFmtId="0" fontId="5" fillId="5" borderId="6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68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3" fillId="5" borderId="68" xfId="2" applyFont="1" applyFill="1" applyBorder="1" applyAlignment="1">
      <alignment horizontal="center" vertical="center"/>
    </xf>
    <xf numFmtId="0" fontId="5" fillId="5" borderId="68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13" fillId="5" borderId="69" xfId="2" applyFont="1" applyFill="1" applyBorder="1" applyAlignment="1">
      <alignment horizontal="center" vertical="center"/>
    </xf>
    <xf numFmtId="1" fontId="13" fillId="6" borderId="66" xfId="0" applyNumberFormat="1" applyFont="1" applyFill="1" applyBorder="1" applyAlignment="1">
      <alignment horizontal="center" vertical="center"/>
    </xf>
    <xf numFmtId="1" fontId="13" fillId="6" borderId="69" xfId="0" applyNumberFormat="1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5" fillId="5" borderId="40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4" fillId="5" borderId="79" xfId="0" applyFont="1" applyFill="1" applyBorder="1" applyAlignment="1">
      <alignment horizontal="center" vertical="center"/>
    </xf>
    <xf numFmtId="0" fontId="4" fillId="5" borderId="77" xfId="0" applyFont="1" applyFill="1" applyBorder="1" applyAlignment="1">
      <alignment horizontal="center" vertical="center"/>
    </xf>
    <xf numFmtId="0" fontId="4" fillId="5" borderId="70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64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56" xfId="0" applyFont="1" applyFill="1" applyBorder="1" applyAlignment="1">
      <alignment horizontal="center" vertical="center"/>
    </xf>
    <xf numFmtId="0" fontId="4" fillId="5" borderId="6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54" xfId="0" applyFont="1" applyFill="1" applyBorder="1" applyAlignment="1">
      <alignment horizontal="center" vertical="center"/>
    </xf>
    <xf numFmtId="0" fontId="4" fillId="5" borderId="76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13" fillId="2" borderId="68" xfId="2" applyFont="1" applyFill="1" applyBorder="1" applyAlignment="1">
      <alignment horizontal="left" vertical="center" wrapText="1"/>
    </xf>
    <xf numFmtId="0" fontId="13" fillId="2" borderId="69" xfId="2" applyFont="1" applyFill="1" applyBorder="1" applyAlignment="1">
      <alignment horizontal="left" vertical="center" wrapText="1"/>
    </xf>
    <xf numFmtId="0" fontId="25" fillId="2" borderId="16" xfId="0" applyFont="1" applyFill="1" applyBorder="1" applyAlignment="1">
      <alignment horizontal="center" vertical="center"/>
    </xf>
    <xf numFmtId="0" fontId="25" fillId="2" borderId="40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 wrapText="1"/>
    </xf>
    <xf numFmtId="0" fontId="5" fillId="2" borderId="40" xfId="2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49" xfId="0" applyFont="1" applyFill="1" applyBorder="1" applyAlignment="1">
      <alignment horizontal="center" vertical="center"/>
    </xf>
    <xf numFmtId="0" fontId="5" fillId="10" borderId="75" xfId="0" applyFont="1" applyFill="1" applyBorder="1" applyAlignment="1" applyProtection="1">
      <alignment horizontal="center" vertical="center"/>
      <protection locked="0"/>
    </xf>
    <xf numFmtId="0" fontId="5" fillId="10" borderId="58" xfId="0" applyFont="1" applyFill="1" applyBorder="1" applyAlignment="1" applyProtection="1">
      <alignment horizontal="center" vertical="center"/>
      <protection locked="0"/>
    </xf>
    <xf numFmtId="0" fontId="5" fillId="10" borderId="50" xfId="0" applyFont="1" applyFill="1" applyBorder="1" applyAlignment="1" applyProtection="1">
      <alignment horizontal="center" vertical="center"/>
      <protection locked="0"/>
    </xf>
    <xf numFmtId="0" fontId="5" fillId="10" borderId="59" xfId="0" applyFont="1" applyFill="1" applyBorder="1" applyAlignment="1" applyProtection="1">
      <alignment horizontal="center" vertical="center"/>
      <protection locked="0"/>
    </xf>
    <xf numFmtId="0" fontId="5" fillId="2" borderId="66" xfId="2" applyFont="1" applyFill="1" applyBorder="1" applyAlignment="1">
      <alignment horizontal="center" vertical="center"/>
    </xf>
    <xf numFmtId="0" fontId="5" fillId="2" borderId="68" xfId="2" applyFont="1" applyFill="1" applyBorder="1" applyAlignment="1">
      <alignment horizontal="center" vertical="center"/>
    </xf>
    <xf numFmtId="0" fontId="5" fillId="2" borderId="69" xfId="2" applyFont="1" applyFill="1" applyBorder="1" applyAlignment="1">
      <alignment horizontal="center" vertical="center"/>
    </xf>
    <xf numFmtId="0" fontId="5" fillId="5" borderId="56" xfId="0" applyFont="1" applyFill="1" applyBorder="1" applyAlignment="1" applyProtection="1">
      <alignment horizontal="center" vertical="center"/>
      <protection locked="0"/>
    </xf>
    <xf numFmtId="0" fontId="5" fillId="5" borderId="54" xfId="0" applyFont="1" applyFill="1" applyBorder="1" applyAlignment="1" applyProtection="1">
      <alignment horizontal="center" vertical="center"/>
      <protection locked="0"/>
    </xf>
    <xf numFmtId="0" fontId="5" fillId="5" borderId="64" xfId="0" applyFont="1" applyFill="1" applyBorder="1" applyAlignment="1" applyProtection="1">
      <alignment horizontal="center" vertical="center"/>
      <protection locked="0"/>
    </xf>
    <xf numFmtId="0" fontId="5" fillId="5" borderId="55" xfId="0" applyFont="1" applyFill="1" applyBorder="1" applyAlignment="1" applyProtection="1">
      <alignment horizontal="center" vertical="center"/>
      <protection locked="0"/>
    </xf>
    <xf numFmtId="0" fontId="26" fillId="12" borderId="16" xfId="0" applyFont="1" applyFill="1" applyBorder="1" applyAlignment="1" applyProtection="1">
      <alignment horizontal="center" vertical="center"/>
      <protection locked="0"/>
    </xf>
    <xf numFmtId="0" fontId="35" fillId="0" borderId="75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56" fillId="0" borderId="39" xfId="0" applyFont="1" applyBorder="1" applyAlignment="1" applyProtection="1">
      <alignment horizontal="center" vertical="center" wrapText="1"/>
      <protection locked="0"/>
    </xf>
    <xf numFmtId="0" fontId="56" fillId="0" borderId="16" xfId="0" applyFont="1" applyBorder="1" applyAlignment="1" applyProtection="1">
      <alignment horizontal="center" vertical="center" wrapText="1"/>
      <protection locked="0"/>
    </xf>
    <xf numFmtId="165" fontId="2" fillId="2" borderId="9" xfId="0" applyNumberFormat="1" applyFont="1" applyFill="1" applyBorder="1" applyAlignment="1" applyProtection="1">
      <alignment horizontal="center" vertical="center" wrapText="1"/>
    </xf>
    <xf numFmtId="2" fontId="2" fillId="2" borderId="4" xfId="0" applyNumberFormat="1" applyFont="1" applyFill="1" applyBorder="1" applyAlignment="1" applyProtection="1">
      <alignment horizontal="left" vertical="center" wrapText="1"/>
    </xf>
    <xf numFmtId="2" fontId="3" fillId="2" borderId="3" xfId="0" applyNumberFormat="1" applyFont="1" applyFill="1" applyBorder="1" applyAlignment="1">
      <alignment horizontal="right" vertical="center"/>
    </xf>
    <xf numFmtId="2" fontId="3" fillId="2" borderId="5" xfId="0" applyNumberFormat="1" applyFont="1" applyFill="1" applyBorder="1" applyAlignment="1">
      <alignment horizontal="right" vertical="center"/>
    </xf>
    <xf numFmtId="2" fontId="3" fillId="2" borderId="7" xfId="0" applyNumberFormat="1" applyFont="1" applyFill="1" applyBorder="1" applyAlignment="1">
      <alignment horizontal="right" vertical="center"/>
    </xf>
    <xf numFmtId="2" fontId="2" fillId="2" borderId="6" xfId="0" applyNumberFormat="1" applyFont="1" applyFill="1" applyBorder="1" applyAlignment="1" applyProtection="1">
      <alignment horizontal="left" vertical="center" wrapText="1"/>
    </xf>
    <xf numFmtId="2" fontId="2" fillId="2" borderId="8" xfId="0" applyNumberFormat="1" applyFont="1" applyFill="1" applyBorder="1" applyAlignment="1" applyProtection="1">
      <alignment horizontal="left" vertical="center" wrapText="1"/>
    </xf>
    <xf numFmtId="2" fontId="2" fillId="2" borderId="28" xfId="0" applyNumberFormat="1" applyFont="1" applyFill="1" applyBorder="1" applyAlignment="1" applyProtection="1">
      <alignment horizontal="left" vertical="center" wrapText="1"/>
    </xf>
    <xf numFmtId="2" fontId="7" fillId="6" borderId="37" xfId="0" applyNumberFormat="1" applyFont="1" applyFill="1" applyBorder="1" applyAlignment="1">
      <alignment horizontal="center" vertical="center"/>
    </xf>
    <xf numFmtId="2" fontId="7" fillId="6" borderId="17" xfId="0" applyNumberFormat="1" applyFont="1" applyFill="1" applyBorder="1" applyAlignment="1">
      <alignment horizontal="center" vertical="center"/>
    </xf>
    <xf numFmtId="1" fontId="2" fillId="6" borderId="31" xfId="0" applyNumberFormat="1" applyFont="1" applyFill="1" applyBorder="1" applyAlignment="1">
      <alignment horizontal="center"/>
    </xf>
    <xf numFmtId="1" fontId="2" fillId="6" borderId="24" xfId="0" applyNumberFormat="1" applyFont="1" applyFill="1" applyBorder="1" applyAlignment="1">
      <alignment horizontal="center"/>
    </xf>
    <xf numFmtId="0" fontId="7" fillId="6" borderId="75" xfId="0" applyFont="1" applyFill="1" applyBorder="1" applyAlignment="1">
      <alignment horizontal="center" vertical="center"/>
    </xf>
    <xf numFmtId="0" fontId="7" fillId="6" borderId="58" xfId="0" applyFont="1" applyFill="1" applyBorder="1" applyAlignment="1">
      <alignment horizontal="center" vertical="center"/>
    </xf>
    <xf numFmtId="0" fontId="7" fillId="6" borderId="59" xfId="0" applyFont="1" applyFill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3" xfId="4" xr:uid="{D531D5D2-FC97-4925-B4DA-80DB469B7C68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24</xdr:row>
          <xdr:rowOff>152400</xdr:rowOff>
        </xdr:from>
        <xdr:to>
          <xdr:col>10</xdr:col>
          <xdr:colOff>400050</xdr:colOff>
          <xdr:row>24</xdr:row>
          <xdr:rowOff>152400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4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24</xdr:row>
          <xdr:rowOff>152400</xdr:rowOff>
        </xdr:from>
        <xdr:to>
          <xdr:col>10</xdr:col>
          <xdr:colOff>400050</xdr:colOff>
          <xdr:row>24</xdr:row>
          <xdr:rowOff>152400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4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24</xdr:row>
          <xdr:rowOff>152400</xdr:rowOff>
        </xdr:from>
        <xdr:to>
          <xdr:col>10</xdr:col>
          <xdr:colOff>400050</xdr:colOff>
          <xdr:row>24</xdr:row>
          <xdr:rowOff>152400</xdr:rowOff>
        </xdr:to>
        <xdr:sp macro="" textlink="">
          <xdr:nvSpPr>
            <xdr:cNvPr id="14349" name="Object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24</xdr:row>
          <xdr:rowOff>152400</xdr:rowOff>
        </xdr:from>
        <xdr:to>
          <xdr:col>10</xdr:col>
          <xdr:colOff>400050</xdr:colOff>
          <xdr:row>24</xdr:row>
          <xdr:rowOff>152400</xdr:rowOff>
        </xdr:to>
        <xdr:sp macro="" textlink="">
          <xdr:nvSpPr>
            <xdr:cNvPr id="14350" name="Object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24</xdr:row>
          <xdr:rowOff>152400</xdr:rowOff>
        </xdr:from>
        <xdr:to>
          <xdr:col>10</xdr:col>
          <xdr:colOff>400050</xdr:colOff>
          <xdr:row>24</xdr:row>
          <xdr:rowOff>152400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4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24</xdr:row>
          <xdr:rowOff>152400</xdr:rowOff>
        </xdr:from>
        <xdr:to>
          <xdr:col>10</xdr:col>
          <xdr:colOff>400050</xdr:colOff>
          <xdr:row>24</xdr:row>
          <xdr:rowOff>152400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4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24</xdr:row>
          <xdr:rowOff>152400</xdr:rowOff>
        </xdr:from>
        <xdr:to>
          <xdr:col>10</xdr:col>
          <xdr:colOff>400050</xdr:colOff>
          <xdr:row>24</xdr:row>
          <xdr:rowOff>152400</xdr:rowOff>
        </xdr:to>
        <xdr:sp macro="" textlink="">
          <xdr:nvSpPr>
            <xdr:cNvPr id="14353" name="Object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4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24</xdr:row>
          <xdr:rowOff>152400</xdr:rowOff>
        </xdr:from>
        <xdr:to>
          <xdr:col>10</xdr:col>
          <xdr:colOff>400050</xdr:colOff>
          <xdr:row>24</xdr:row>
          <xdr:rowOff>152400</xdr:rowOff>
        </xdr:to>
        <xdr:sp macro="" textlink="">
          <xdr:nvSpPr>
            <xdr:cNvPr id="14354" name="Object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4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24</xdr:row>
          <xdr:rowOff>152400</xdr:rowOff>
        </xdr:from>
        <xdr:to>
          <xdr:col>10</xdr:col>
          <xdr:colOff>400050</xdr:colOff>
          <xdr:row>24</xdr:row>
          <xdr:rowOff>152400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4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Music\UJI%20SOFTWARE\BACKUP%20TRAXEL\Vaporizer-30-8-2023.xlsx" TargetMode="External"/><Relationship Id="rId1" Type="http://schemas.openxmlformats.org/officeDocument/2006/relationships/externalLinkPath" Target="/Users/user/Music/UJI%20SOFTWARE/BACKUP%20TRAXEL/Vaporizer-30-8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KESIMPUL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UB"/>
      <sheetName val="PENYELIA"/>
      <sheetName val="ID"/>
      <sheetName val="LH"/>
      <sheetName val="DB Thermohygro"/>
      <sheetName val="DB Gas Analyzer"/>
      <sheetName val="SERTIFIKAT"/>
      <sheetName val="SCORING"/>
    </sheetNames>
    <sheetDataSet>
      <sheetData sheetId="0" refreshError="1"/>
      <sheetData sheetId="1" refreshError="1"/>
      <sheetData sheetId="2" refreshError="1"/>
      <sheetData sheetId="3">
        <row r="47">
          <cell r="I47">
            <v>69.999999999999986</v>
          </cell>
        </row>
      </sheetData>
      <sheetData sheetId="4">
        <row r="1">
          <cell r="A1" t="str">
            <v>Input Data Kalibrasi Vaporizer</v>
          </cell>
        </row>
        <row r="2">
          <cell r="I2" t="str">
            <v>1 / V - 22 / E - 001.46 DL</v>
          </cell>
        </row>
      </sheetData>
      <sheetData sheetId="5">
        <row r="5">
          <cell r="E5" t="str">
            <v>Penlon</v>
          </cell>
        </row>
        <row r="6">
          <cell r="E6" t="str">
            <v>Sigma Delta</v>
          </cell>
        </row>
        <row r="7">
          <cell r="E7" t="str">
            <v>D10100103</v>
          </cell>
        </row>
        <row r="9">
          <cell r="E9" t="str">
            <v>9 Mei 2023</v>
          </cell>
        </row>
        <row r="10">
          <cell r="E10" t="str">
            <v>9 Mei 2023</v>
          </cell>
        </row>
        <row r="11">
          <cell r="E11" t="str">
            <v xml:space="preserve">OK </v>
          </cell>
        </row>
        <row r="12">
          <cell r="E12" t="str">
            <v xml:space="preserve">OK </v>
          </cell>
        </row>
        <row r="13">
          <cell r="E13" t="str">
            <v>MK 068-18</v>
          </cell>
        </row>
        <row r="46">
          <cell r="B46" t="str">
            <v>Muhammad Irfan Husnuzhzhan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9"/>
  <sheetViews>
    <sheetView showGridLines="0" view="pageBreakPreview" topLeftCell="A46" zoomScaleNormal="100" zoomScaleSheetLayoutView="100" workbookViewId="0">
      <selection activeCell="Q26" sqref="Q26"/>
    </sheetView>
  </sheetViews>
  <sheetFormatPr defaultColWidth="9.140625" defaultRowHeight="14.25" x14ac:dyDescent="0.2"/>
  <cols>
    <col min="1" max="1" width="4.5703125" style="222" customWidth="1"/>
    <col min="2" max="2" width="4" style="222" customWidth="1"/>
    <col min="3" max="3" width="16.28515625" style="222" customWidth="1"/>
    <col min="4" max="9" width="9.140625" style="222"/>
    <col min="10" max="10" width="12" style="222" customWidth="1"/>
    <col min="11" max="11" width="13.42578125" style="222" customWidth="1"/>
    <col min="12" max="12" width="7.5703125" style="222" customWidth="1"/>
    <col min="13" max="16384" width="9.140625" style="222"/>
  </cols>
  <sheetData>
    <row r="1" spans="1:17" ht="15.75" x14ac:dyDescent="0.2">
      <c r="A1" s="930" t="s">
        <v>0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930"/>
      <c r="M1" s="930"/>
      <c r="N1" s="270"/>
      <c r="O1" s="270"/>
    </row>
    <row r="2" spans="1:17" ht="15" x14ac:dyDescent="0.2">
      <c r="A2" s="931" t="s">
        <v>1</v>
      </c>
      <c r="B2" s="931"/>
      <c r="C2" s="931"/>
      <c r="D2" s="931"/>
      <c r="E2" s="931"/>
      <c r="F2" s="931"/>
      <c r="G2" s="931"/>
      <c r="H2" s="931"/>
      <c r="I2" s="931"/>
      <c r="J2" s="931"/>
      <c r="K2" s="931"/>
      <c r="L2" s="931"/>
      <c r="M2" s="931"/>
    </row>
    <row r="3" spans="1:17" x14ac:dyDescent="0.2">
      <c r="J3" s="271"/>
      <c r="K3" s="272"/>
      <c r="L3" s="272"/>
    </row>
    <row r="4" spans="1:17" x14ac:dyDescent="0.2">
      <c r="A4" s="222" t="s">
        <v>2</v>
      </c>
      <c r="E4" s="248" t="s">
        <v>3</v>
      </c>
      <c r="F4" s="248"/>
      <c r="G4" s="248"/>
      <c r="H4" s="248"/>
      <c r="I4" s="248"/>
      <c r="J4" s="271"/>
      <c r="K4" s="272"/>
      <c r="L4" s="272"/>
    </row>
    <row r="5" spans="1:17" x14ac:dyDescent="0.2">
      <c r="A5" s="222" t="s">
        <v>4</v>
      </c>
      <c r="E5" s="249" t="s">
        <v>3</v>
      </c>
      <c r="F5" s="249"/>
      <c r="G5" s="249"/>
      <c r="H5" s="249"/>
      <c r="I5" s="249"/>
      <c r="J5" s="271"/>
      <c r="K5" s="272"/>
      <c r="L5" s="272"/>
    </row>
    <row r="6" spans="1:17" x14ac:dyDescent="0.2">
      <c r="A6" s="222" t="s">
        <v>5</v>
      </c>
      <c r="E6" s="249" t="s">
        <v>3</v>
      </c>
      <c r="F6" s="249"/>
      <c r="G6" s="249"/>
      <c r="H6" s="249"/>
      <c r="I6" s="249"/>
      <c r="J6" s="271"/>
      <c r="K6" s="272"/>
      <c r="L6" s="272"/>
    </row>
    <row r="7" spans="1:17" x14ac:dyDescent="0.2">
      <c r="A7" s="222" t="s">
        <v>6</v>
      </c>
      <c r="E7" s="249" t="s">
        <v>3</v>
      </c>
      <c r="F7" s="249"/>
      <c r="G7" s="295" t="s">
        <v>7</v>
      </c>
      <c r="H7" s="295"/>
      <c r="I7" s="295"/>
      <c r="J7" s="271"/>
      <c r="K7" s="272"/>
      <c r="L7" s="272"/>
    </row>
    <row r="8" spans="1:17" x14ac:dyDescent="0.2">
      <c r="A8" s="222" t="s">
        <v>8</v>
      </c>
      <c r="E8" s="249" t="s">
        <v>9</v>
      </c>
      <c r="F8" s="249"/>
      <c r="G8" s="248"/>
      <c r="H8" s="248"/>
      <c r="I8" s="248"/>
      <c r="J8" s="271"/>
      <c r="K8" s="272"/>
      <c r="L8" s="272"/>
      <c r="Q8" s="249"/>
    </row>
    <row r="9" spans="1:17" x14ac:dyDescent="0.2">
      <c r="A9" s="222" t="s">
        <v>10</v>
      </c>
      <c r="E9" s="249" t="s">
        <v>3</v>
      </c>
      <c r="F9" s="249"/>
      <c r="G9" s="249"/>
      <c r="H9" s="249"/>
      <c r="I9" s="249"/>
      <c r="J9" s="271"/>
      <c r="K9" s="272"/>
      <c r="L9" s="272"/>
    </row>
    <row r="10" spans="1:17" x14ac:dyDescent="0.2">
      <c r="A10" s="222" t="s">
        <v>11</v>
      </c>
      <c r="E10" s="249" t="s">
        <v>3</v>
      </c>
      <c r="F10" s="249"/>
      <c r="G10" s="249"/>
      <c r="H10" s="249"/>
      <c r="I10" s="249"/>
      <c r="J10" s="271"/>
      <c r="K10" s="272"/>
      <c r="L10" s="272"/>
    </row>
    <row r="11" spans="1:17" ht="15" customHeight="1" x14ac:dyDescent="0.2">
      <c r="J11" s="271"/>
      <c r="K11" s="272"/>
      <c r="L11" s="272"/>
    </row>
    <row r="12" spans="1:17" ht="15" x14ac:dyDescent="0.2">
      <c r="A12" s="225" t="s">
        <v>12</v>
      </c>
      <c r="B12" s="225" t="s">
        <v>13</v>
      </c>
      <c r="C12" s="225"/>
      <c r="D12" s="225"/>
      <c r="E12" s="225"/>
      <c r="F12" s="225"/>
      <c r="G12" s="225"/>
      <c r="H12" s="225"/>
      <c r="I12" s="225"/>
      <c r="J12" s="273"/>
      <c r="K12" s="274"/>
      <c r="L12" s="274"/>
    </row>
    <row r="13" spans="1:17" ht="15" x14ac:dyDescent="0.2">
      <c r="A13" s="225"/>
      <c r="B13" s="225"/>
      <c r="C13" s="225"/>
      <c r="D13" s="225"/>
      <c r="E13" s="243" t="s">
        <v>14</v>
      </c>
      <c r="F13" s="243" t="s">
        <v>15</v>
      </c>
      <c r="G13" s="225"/>
      <c r="H13" s="225"/>
      <c r="I13" s="225"/>
      <c r="J13" s="273"/>
      <c r="K13" s="274"/>
      <c r="L13" s="274"/>
    </row>
    <row r="14" spans="1:17" ht="16.5" x14ac:dyDescent="0.2">
      <c r="B14" s="222" t="s">
        <v>16</v>
      </c>
      <c r="E14" s="244"/>
      <c r="F14" s="275"/>
      <c r="G14" s="227" t="s">
        <v>17</v>
      </c>
      <c r="J14" s="271"/>
      <c r="K14" s="272"/>
      <c r="L14" s="272"/>
    </row>
    <row r="15" spans="1:17" x14ac:dyDescent="0.2">
      <c r="B15" s="222" t="s">
        <v>18</v>
      </c>
      <c r="E15" s="244"/>
      <c r="F15" s="244"/>
      <c r="G15" s="222" t="s">
        <v>19</v>
      </c>
      <c r="J15" s="271"/>
      <c r="K15" s="272"/>
      <c r="L15" s="272"/>
    </row>
    <row r="16" spans="1:17" x14ac:dyDescent="0.2">
      <c r="B16" s="222" t="s">
        <v>20</v>
      </c>
      <c r="D16" s="223"/>
      <c r="E16" s="276" t="s">
        <v>9</v>
      </c>
      <c r="F16" s="222" t="s">
        <v>21</v>
      </c>
      <c r="J16" s="271"/>
      <c r="K16" s="272"/>
      <c r="L16" s="272"/>
    </row>
    <row r="17" spans="1:15" ht="15" customHeight="1" x14ac:dyDescent="0.2">
      <c r="J17" s="271"/>
      <c r="K17" s="272"/>
      <c r="L17" s="272"/>
      <c r="M17" s="932" t="s">
        <v>22</v>
      </c>
    </row>
    <row r="18" spans="1:15" ht="15" x14ac:dyDescent="0.2">
      <c r="A18" s="225" t="s">
        <v>23</v>
      </c>
      <c r="B18" s="225" t="s">
        <v>24</v>
      </c>
      <c r="C18" s="225"/>
      <c r="D18" s="225"/>
      <c r="E18" s="225"/>
      <c r="F18" s="225"/>
      <c r="G18" s="225"/>
      <c r="H18" s="225"/>
      <c r="I18" s="225"/>
      <c r="J18" s="271"/>
      <c r="K18" s="272"/>
      <c r="L18" s="272"/>
      <c r="M18" s="933"/>
    </row>
    <row r="19" spans="1:15" ht="14.25" customHeight="1" x14ac:dyDescent="0.2">
      <c r="B19" s="242" t="s">
        <v>25</v>
      </c>
      <c r="C19" s="242"/>
      <c r="E19" s="242" t="s">
        <v>26</v>
      </c>
      <c r="F19" s="242"/>
      <c r="G19" s="925"/>
      <c r="H19" s="925"/>
      <c r="I19" s="925"/>
      <c r="J19" s="271"/>
      <c r="K19" s="272"/>
      <c r="L19" s="272"/>
      <c r="M19" s="296">
        <v>5</v>
      </c>
    </row>
    <row r="20" spans="1:15" ht="20.100000000000001" customHeight="1" x14ac:dyDescent="0.2">
      <c r="B20" s="242" t="s">
        <v>27</v>
      </c>
      <c r="C20" s="242"/>
      <c r="E20" s="242" t="s">
        <v>26</v>
      </c>
      <c r="F20" s="242"/>
      <c r="G20" s="918"/>
      <c r="H20" s="918"/>
      <c r="I20" s="918"/>
      <c r="J20" s="271"/>
      <c r="K20" s="272"/>
      <c r="L20" s="272"/>
      <c r="M20" s="296">
        <v>5</v>
      </c>
    </row>
    <row r="21" spans="1:15" ht="20.100000000000001" customHeight="1" x14ac:dyDescent="0.2">
      <c r="B21" s="230"/>
      <c r="D21" s="918"/>
      <c r="E21" s="918"/>
      <c r="F21" s="918"/>
      <c r="G21" s="918"/>
      <c r="H21" s="918"/>
      <c r="I21" s="918"/>
      <c r="J21" s="271"/>
      <c r="K21" s="272"/>
    </row>
    <row r="22" spans="1:15" ht="20.100000000000001" customHeight="1" x14ac:dyDescent="0.2">
      <c r="A22" s="225" t="s">
        <v>28</v>
      </c>
      <c r="B22" s="225" t="s">
        <v>29</v>
      </c>
      <c r="C22" s="225"/>
      <c r="G22" s="245"/>
      <c r="I22" s="246"/>
    </row>
    <row r="23" spans="1:15" ht="30.75" customHeight="1" x14ac:dyDescent="0.2">
      <c r="B23" s="277" t="s">
        <v>30</v>
      </c>
      <c r="C23" s="915" t="s">
        <v>31</v>
      </c>
      <c r="D23" s="916"/>
      <c r="E23" s="916"/>
      <c r="F23" s="916"/>
      <c r="G23" s="916"/>
      <c r="H23" s="917"/>
      <c r="I23" s="915" t="s">
        <v>32</v>
      </c>
      <c r="J23" s="917"/>
      <c r="K23" s="915" t="s">
        <v>33</v>
      </c>
      <c r="L23" s="917"/>
      <c r="M23" s="465" t="s">
        <v>22</v>
      </c>
    </row>
    <row r="24" spans="1:15" ht="17.25" customHeight="1" x14ac:dyDescent="0.2">
      <c r="B24" s="247">
        <v>1</v>
      </c>
      <c r="C24" s="531" t="s">
        <v>34</v>
      </c>
      <c r="D24" s="248"/>
      <c r="E24" s="249"/>
      <c r="F24" s="249"/>
      <c r="G24" s="250"/>
      <c r="H24" s="249"/>
      <c r="I24" s="251"/>
      <c r="J24" s="252" t="s">
        <v>35</v>
      </c>
      <c r="K24" s="532">
        <v>2</v>
      </c>
      <c r="L24" s="253" t="s">
        <v>35</v>
      </c>
      <c r="M24" s="297">
        <v>10</v>
      </c>
    </row>
    <row r="25" spans="1:15" ht="17.25" customHeight="1" x14ac:dyDescent="0.2">
      <c r="B25" s="254">
        <v>2</v>
      </c>
      <c r="C25" s="529" t="s">
        <v>36</v>
      </c>
      <c r="D25" s="249"/>
      <c r="E25" s="249"/>
      <c r="F25" s="249"/>
      <c r="G25" s="250"/>
      <c r="H25" s="249"/>
      <c r="I25" s="251"/>
      <c r="J25" s="255" t="s">
        <v>37</v>
      </c>
      <c r="K25" s="533" t="s">
        <v>38</v>
      </c>
      <c r="L25" s="253" t="s">
        <v>37</v>
      </c>
      <c r="M25" s="297">
        <v>10</v>
      </c>
    </row>
    <row r="26" spans="1:15" ht="17.25" customHeight="1" x14ac:dyDescent="0.2">
      <c r="B26" s="256">
        <v>3</v>
      </c>
      <c r="C26" s="530" t="s">
        <v>380</v>
      </c>
      <c r="D26" s="257"/>
      <c r="E26" s="257"/>
      <c r="F26" s="257"/>
      <c r="G26" s="258"/>
      <c r="H26" s="257"/>
      <c r="I26" s="259"/>
      <c r="J26" s="260" t="s">
        <v>39</v>
      </c>
      <c r="K26" s="534" t="s">
        <v>40</v>
      </c>
      <c r="L26" s="261" t="s">
        <v>39</v>
      </c>
      <c r="M26" s="297">
        <v>20</v>
      </c>
    </row>
    <row r="27" spans="1:15" ht="15" customHeight="1" x14ac:dyDescent="0.2">
      <c r="B27" s="230"/>
      <c r="D27" s="230"/>
      <c r="E27" s="230"/>
      <c r="F27" s="230"/>
      <c r="G27" s="230"/>
      <c r="H27" s="230"/>
      <c r="I27" s="230"/>
      <c r="J27" s="271"/>
      <c r="K27" s="272"/>
    </row>
    <row r="28" spans="1:15" ht="19.5" customHeight="1" x14ac:dyDescent="0.2">
      <c r="A28" s="225" t="s">
        <v>41</v>
      </c>
      <c r="B28" s="239" t="s">
        <v>42</v>
      </c>
      <c r="C28" s="225"/>
      <c r="D28" s="230"/>
      <c r="E28" s="230"/>
      <c r="F28" s="230"/>
      <c r="G28" s="230"/>
      <c r="H28" s="230"/>
      <c r="I28" s="230"/>
      <c r="J28" s="271"/>
      <c r="K28" s="272"/>
    </row>
    <row r="29" spans="1:15" ht="12.75" customHeight="1" x14ac:dyDescent="0.2">
      <c r="A29" s="225"/>
      <c r="B29" s="237" t="s">
        <v>43</v>
      </c>
      <c r="C29" s="237"/>
      <c r="D29" s="238"/>
      <c r="E29" s="238"/>
      <c r="F29" s="238"/>
      <c r="G29" s="238"/>
      <c r="J29" s="271"/>
      <c r="K29" s="272"/>
      <c r="L29" s="272"/>
    </row>
    <row r="30" spans="1:15" ht="15" customHeight="1" x14ac:dyDescent="0.2">
      <c r="B30" s="919" t="s">
        <v>44</v>
      </c>
      <c r="C30" s="919" t="s">
        <v>31</v>
      </c>
      <c r="D30" s="935" t="s">
        <v>45</v>
      </c>
      <c r="E30" s="936"/>
      <c r="F30" s="935" t="s">
        <v>46</v>
      </c>
      <c r="G30" s="939"/>
      <c r="H30" s="278"/>
      <c r="I30" s="279"/>
      <c r="J30" s="925"/>
      <c r="K30" s="934"/>
      <c r="L30" s="934"/>
      <c r="M30" s="913" t="s">
        <v>22</v>
      </c>
      <c r="N30" s="925"/>
      <c r="O30" s="925"/>
    </row>
    <row r="31" spans="1:15" ht="16.5" customHeight="1" x14ac:dyDescent="0.2">
      <c r="B31" s="920"/>
      <c r="C31" s="920"/>
      <c r="D31" s="937"/>
      <c r="E31" s="938"/>
      <c r="F31" s="937"/>
      <c r="G31" s="940"/>
      <c r="H31" s="280"/>
      <c r="I31" s="281"/>
      <c r="J31" s="925"/>
      <c r="K31" s="934"/>
      <c r="L31" s="934"/>
      <c r="M31" s="914"/>
      <c r="N31" s="925"/>
      <c r="O31" s="925"/>
    </row>
    <row r="32" spans="1:15" ht="24.75" customHeight="1" x14ac:dyDescent="0.2">
      <c r="B32" s="262">
        <v>1</v>
      </c>
      <c r="C32" s="262" t="s">
        <v>47</v>
      </c>
      <c r="D32" s="943"/>
      <c r="E32" s="944"/>
      <c r="F32" s="941" t="s">
        <v>48</v>
      </c>
      <c r="G32" s="942"/>
      <c r="H32" s="928" t="s">
        <v>49</v>
      </c>
      <c r="I32" s="929"/>
      <c r="J32" s="264"/>
      <c r="K32" s="282"/>
      <c r="L32" s="282"/>
      <c r="M32" s="297">
        <v>25</v>
      </c>
      <c r="N32" s="283"/>
      <c r="O32" s="284"/>
    </row>
    <row r="33" spans="1:16" ht="13.5" customHeight="1" x14ac:dyDescent="0.2">
      <c r="B33" s="265"/>
      <c r="C33" s="265"/>
      <c r="D33" s="264"/>
      <c r="E33" s="264"/>
      <c r="F33" s="263"/>
      <c r="G33" s="263"/>
      <c r="H33" s="263"/>
      <c r="I33" s="263"/>
      <c r="J33" s="264"/>
      <c r="K33" s="282"/>
      <c r="L33" s="282"/>
      <c r="M33" s="469"/>
      <c r="N33" s="283"/>
      <c r="O33" s="284"/>
    </row>
    <row r="34" spans="1:16" ht="15.75" customHeight="1" x14ac:dyDescent="0.2">
      <c r="A34" s="225"/>
      <c r="B34" s="239" t="s">
        <v>50</v>
      </c>
      <c r="C34" s="265"/>
      <c r="D34" s="264"/>
      <c r="E34" s="264"/>
      <c r="F34" s="263"/>
      <c r="G34" s="263"/>
      <c r="H34" s="263"/>
      <c r="I34" s="263"/>
      <c r="J34" s="264"/>
      <c r="K34" s="282"/>
      <c r="L34" s="282"/>
      <c r="M34" s="285"/>
      <c r="N34" s="283"/>
      <c r="O34" s="284"/>
    </row>
    <row r="35" spans="1:16" ht="18" customHeight="1" x14ac:dyDescent="0.2">
      <c r="B35" s="926" t="s">
        <v>44</v>
      </c>
      <c r="C35" s="926" t="s">
        <v>31</v>
      </c>
      <c r="D35" s="926" t="s">
        <v>51</v>
      </c>
      <c r="E35" s="915" t="s">
        <v>52</v>
      </c>
      <c r="F35" s="916"/>
      <c r="G35" s="916"/>
      <c r="H35" s="916"/>
      <c r="I35" s="917"/>
      <c r="J35" s="926" t="s">
        <v>46</v>
      </c>
      <c r="K35" s="282"/>
      <c r="L35" s="282"/>
      <c r="M35" s="913" t="s">
        <v>22</v>
      </c>
      <c r="N35" s="283"/>
      <c r="O35" s="284"/>
    </row>
    <row r="36" spans="1:16" ht="23.25" customHeight="1" x14ac:dyDescent="0.2">
      <c r="B36" s="920"/>
      <c r="C36" s="920"/>
      <c r="D36" s="920"/>
      <c r="E36" s="490" t="s">
        <v>53</v>
      </c>
      <c r="F36" s="490" t="s">
        <v>54</v>
      </c>
      <c r="G36" s="490" t="s">
        <v>55</v>
      </c>
      <c r="H36" s="490" t="s">
        <v>56</v>
      </c>
      <c r="I36" s="490" t="s">
        <v>57</v>
      </c>
      <c r="J36" s="920"/>
      <c r="K36" s="282"/>
      <c r="L36" s="282"/>
      <c r="M36" s="914"/>
      <c r="N36" s="283"/>
      <c r="O36" s="284"/>
    </row>
    <row r="37" spans="1:16" ht="24.95" customHeight="1" x14ac:dyDescent="0.2">
      <c r="B37" s="921">
        <v>2</v>
      </c>
      <c r="C37" s="921" t="s">
        <v>58</v>
      </c>
      <c r="D37" s="266"/>
      <c r="E37" s="267"/>
      <c r="F37" s="267"/>
      <c r="G37" s="267"/>
      <c r="H37" s="267"/>
      <c r="I37" s="267"/>
      <c r="J37" s="923" t="s">
        <v>59</v>
      </c>
      <c r="K37" s="282"/>
      <c r="L37" s="282"/>
      <c r="M37" s="524">
        <v>3.5710000000000002</v>
      </c>
      <c r="N37" s="283"/>
      <c r="O37" s="284"/>
    </row>
    <row r="38" spans="1:16" ht="24.95" customHeight="1" x14ac:dyDescent="0.2">
      <c r="B38" s="921"/>
      <c r="C38" s="921"/>
      <c r="D38" s="266"/>
      <c r="E38" s="267"/>
      <c r="F38" s="267"/>
      <c r="G38" s="267"/>
      <c r="H38" s="267"/>
      <c r="I38" s="267"/>
      <c r="J38" s="923"/>
      <c r="K38" s="282"/>
      <c r="L38" s="282"/>
      <c r="M38" s="524">
        <v>3.5710000000000002</v>
      </c>
      <c r="N38" s="283"/>
      <c r="O38" s="284"/>
    </row>
    <row r="39" spans="1:16" ht="24.95" customHeight="1" x14ac:dyDescent="0.2">
      <c r="B39" s="921"/>
      <c r="C39" s="921"/>
      <c r="D39" s="266"/>
      <c r="E39" s="267"/>
      <c r="F39" s="267"/>
      <c r="G39" s="267"/>
      <c r="H39" s="267"/>
      <c r="I39" s="267"/>
      <c r="J39" s="923"/>
      <c r="K39" s="282"/>
      <c r="L39" s="282"/>
      <c r="M39" s="524">
        <v>3.5710000000000002</v>
      </c>
      <c r="N39" s="283"/>
      <c r="O39" s="284"/>
    </row>
    <row r="40" spans="1:16" ht="24.95" customHeight="1" x14ac:dyDescent="0.2">
      <c r="B40" s="921"/>
      <c r="C40" s="921"/>
      <c r="D40" s="266"/>
      <c r="E40" s="267"/>
      <c r="F40" s="267"/>
      <c r="G40" s="267"/>
      <c r="H40" s="267"/>
      <c r="I40" s="267"/>
      <c r="J40" s="923"/>
      <c r="K40" s="282"/>
      <c r="L40" s="282"/>
      <c r="M40" s="524">
        <v>3.5710000000000002</v>
      </c>
      <c r="N40" s="283"/>
      <c r="O40" s="284"/>
    </row>
    <row r="41" spans="1:16" ht="24.95" customHeight="1" x14ac:dyDescent="0.2">
      <c r="B41" s="921"/>
      <c r="C41" s="921"/>
      <c r="D41" s="266"/>
      <c r="E41" s="267"/>
      <c r="F41" s="267"/>
      <c r="G41" s="267"/>
      <c r="H41" s="267"/>
      <c r="I41" s="267"/>
      <c r="J41" s="923"/>
      <c r="K41" s="282"/>
      <c r="L41" s="282"/>
      <c r="M41" s="524">
        <v>3.5710000000000002</v>
      </c>
      <c r="N41" s="283"/>
      <c r="O41" s="284"/>
    </row>
    <row r="42" spans="1:16" ht="24.95" customHeight="1" x14ac:dyDescent="0.2">
      <c r="B42" s="921"/>
      <c r="C42" s="921"/>
      <c r="D42" s="266"/>
      <c r="E42" s="267"/>
      <c r="F42" s="267"/>
      <c r="G42" s="267"/>
      <c r="H42" s="267"/>
      <c r="I42" s="267"/>
      <c r="J42" s="923"/>
      <c r="K42" s="282"/>
      <c r="L42" s="282"/>
      <c r="M42" s="524">
        <v>3.5710000000000002</v>
      </c>
      <c r="N42" s="283"/>
      <c r="O42" s="284"/>
    </row>
    <row r="43" spans="1:16" ht="24.95" customHeight="1" x14ac:dyDescent="0.2">
      <c r="B43" s="922"/>
      <c r="C43" s="922"/>
      <c r="D43" s="268"/>
      <c r="E43" s="269"/>
      <c r="F43" s="269"/>
      <c r="G43" s="269"/>
      <c r="H43" s="269"/>
      <c r="I43" s="269"/>
      <c r="J43" s="924"/>
      <c r="K43" s="282"/>
      <c r="L43" s="282"/>
      <c r="M43" s="524">
        <v>3.5710000000000002</v>
      </c>
      <c r="N43" s="283"/>
      <c r="O43" s="284"/>
    </row>
    <row r="44" spans="1:16" ht="15" customHeight="1" x14ac:dyDescent="0.2">
      <c r="B44" s="265"/>
      <c r="C44" s="265"/>
      <c r="D44" s="265"/>
      <c r="E44" s="263"/>
      <c r="F44" s="263"/>
      <c r="G44" s="263"/>
      <c r="H44" s="263"/>
      <c r="I44" s="263"/>
      <c r="J44" s="264"/>
      <c r="K44" s="282"/>
      <c r="L44" s="282"/>
      <c r="M44" s="286"/>
      <c r="N44" s="283"/>
      <c r="O44" s="284"/>
    </row>
    <row r="45" spans="1:16" ht="15" x14ac:dyDescent="0.2">
      <c r="A45" s="225" t="s">
        <v>60</v>
      </c>
      <c r="B45" s="225" t="s">
        <v>61</v>
      </c>
      <c r="C45" s="225"/>
      <c r="E45" s="228"/>
      <c r="J45" s="271"/>
      <c r="K45" s="272"/>
      <c r="L45" s="272"/>
    </row>
    <row r="46" spans="1:16" x14ac:dyDescent="0.2">
      <c r="B46" s="222" t="s">
        <v>62</v>
      </c>
      <c r="E46" s="228"/>
      <c r="J46" s="271"/>
      <c r="K46" s="272"/>
      <c r="L46" s="272"/>
    </row>
    <row r="47" spans="1:16" x14ac:dyDescent="0.2">
      <c r="B47" s="536" t="s">
        <v>63</v>
      </c>
      <c r="C47" s="537"/>
      <c r="D47" s="535"/>
      <c r="E47" s="535"/>
      <c r="F47" s="535"/>
      <c r="G47" s="535"/>
      <c r="H47" s="535"/>
      <c r="I47" s="535"/>
      <c r="J47" s="535"/>
      <c r="K47" s="272"/>
      <c r="L47" s="272"/>
      <c r="P47" s="495">
        <f>SUM(M19:M20,M24:M26,M32,M37:M43)</f>
        <v>99.996999999999986</v>
      </c>
    </row>
    <row r="48" spans="1:16" x14ac:dyDescent="0.2">
      <c r="B48" s="222" t="s">
        <v>64</v>
      </c>
      <c r="C48" s="537"/>
      <c r="D48" s="535"/>
      <c r="E48" s="535"/>
      <c r="F48" s="535"/>
      <c r="G48" s="535"/>
      <c r="H48" s="535"/>
      <c r="I48" s="535"/>
      <c r="J48" s="535"/>
      <c r="K48" s="272"/>
      <c r="L48" s="272"/>
      <c r="P48" s="495"/>
    </row>
    <row r="49" spans="1:16" x14ac:dyDescent="0.2">
      <c r="B49" s="241"/>
      <c r="C49" s="241"/>
      <c r="D49" s="535"/>
      <c r="E49" s="535"/>
      <c r="F49" s="535"/>
      <c r="G49" s="535"/>
      <c r="H49" s="535"/>
      <c r="I49" s="535"/>
      <c r="J49" s="535"/>
      <c r="K49" s="272"/>
      <c r="L49" s="272"/>
      <c r="P49" s="495"/>
    </row>
    <row r="50" spans="1:16" ht="15" x14ac:dyDescent="0.2">
      <c r="A50" s="239" t="s">
        <v>65</v>
      </c>
      <c r="B50" s="239" t="s">
        <v>66</v>
      </c>
      <c r="C50" s="239"/>
      <c r="D50" s="240"/>
      <c r="E50" s="230"/>
      <c r="F50" s="230"/>
      <c r="G50" s="230"/>
      <c r="H50" s="230"/>
      <c r="I50" s="230"/>
      <c r="J50" s="273"/>
      <c r="K50" s="274"/>
      <c r="L50" s="288"/>
      <c r="M50" s="288"/>
      <c r="N50" s="288"/>
    </row>
    <row r="51" spans="1:16" ht="12.95" customHeight="1" x14ac:dyDescent="0.2">
      <c r="A51" s="239"/>
      <c r="B51" s="470"/>
      <c r="C51" s="471" t="s">
        <v>67</v>
      </c>
      <c r="D51" s="413"/>
      <c r="E51" s="472"/>
      <c r="F51" s="472"/>
      <c r="G51" s="472"/>
      <c r="H51" s="472"/>
      <c r="I51" s="472"/>
      <c r="J51" s="473"/>
      <c r="K51" s="410"/>
      <c r="L51" s="412"/>
      <c r="M51" s="412"/>
      <c r="N51" s="288"/>
    </row>
    <row r="52" spans="1:16" ht="12.95" customHeight="1" x14ac:dyDescent="0.2">
      <c r="A52" s="239"/>
      <c r="B52" s="470"/>
      <c r="C52" s="471" t="s">
        <v>68</v>
      </c>
      <c r="D52" s="413"/>
      <c r="E52" s="472"/>
      <c r="F52" s="472"/>
      <c r="G52" s="472"/>
      <c r="H52" s="472"/>
      <c r="I52" s="472"/>
      <c r="J52" s="473"/>
      <c r="K52" s="410"/>
      <c r="L52" s="412"/>
      <c r="M52" s="412"/>
      <c r="N52" s="288"/>
    </row>
    <row r="53" spans="1:16" ht="12.95" customHeight="1" x14ac:dyDescent="0.2">
      <c r="A53" s="239"/>
      <c r="B53" s="470"/>
      <c r="C53" s="471" t="s">
        <v>69</v>
      </c>
      <c r="D53" s="413"/>
      <c r="E53" s="472"/>
      <c r="F53" s="472"/>
      <c r="G53" s="472"/>
      <c r="H53" s="472"/>
      <c r="I53" s="472"/>
      <c r="J53" s="473"/>
      <c r="K53" s="410"/>
      <c r="L53" s="412"/>
      <c r="M53" s="412"/>
      <c r="N53" s="288"/>
    </row>
    <row r="54" spans="1:16" ht="12.95" customHeight="1" x14ac:dyDescent="0.2">
      <c r="A54" s="239"/>
      <c r="B54" s="470"/>
      <c r="C54" s="474" t="s">
        <v>70</v>
      </c>
      <c r="D54" s="413"/>
      <c r="E54" s="472"/>
      <c r="F54" s="472"/>
      <c r="G54" s="472"/>
      <c r="H54" s="472"/>
      <c r="I54" s="472"/>
      <c r="J54" s="473"/>
      <c r="K54" s="410"/>
      <c r="L54" s="412"/>
      <c r="M54" s="412"/>
      <c r="N54" s="288"/>
    </row>
    <row r="55" spans="1:16" ht="12.95" customHeight="1" x14ac:dyDescent="0.2">
      <c r="A55" s="239"/>
      <c r="B55" s="470"/>
      <c r="C55" s="474" t="s">
        <v>71</v>
      </c>
      <c r="D55" s="413"/>
      <c r="E55" s="472"/>
      <c r="F55" s="472"/>
      <c r="G55" s="472"/>
      <c r="H55" s="472"/>
      <c r="I55" s="472"/>
      <c r="J55" s="473"/>
      <c r="K55" s="410"/>
      <c r="L55" s="412"/>
      <c r="M55" s="412"/>
      <c r="N55" s="288"/>
    </row>
    <row r="56" spans="1:16" ht="12.95" customHeight="1" x14ac:dyDescent="0.2">
      <c r="A56" s="239"/>
      <c r="B56" s="289"/>
      <c r="C56" s="290" t="s">
        <v>72</v>
      </c>
      <c r="D56" s="413"/>
      <c r="E56" s="472"/>
      <c r="F56" s="472"/>
      <c r="G56" s="472"/>
      <c r="H56" s="472"/>
      <c r="I56" s="472"/>
      <c r="J56" s="473"/>
      <c r="K56" s="410"/>
      <c r="L56" s="412"/>
      <c r="M56" s="412"/>
      <c r="N56" s="288"/>
    </row>
    <row r="57" spans="1:16" ht="12.95" customHeight="1" x14ac:dyDescent="0.2">
      <c r="A57" s="239"/>
      <c r="B57" s="289"/>
      <c r="C57" s="290" t="s">
        <v>73</v>
      </c>
      <c r="D57" s="413"/>
      <c r="E57" s="472"/>
      <c r="F57" s="472"/>
      <c r="G57" s="472"/>
      <c r="H57" s="472"/>
      <c r="I57" s="472"/>
      <c r="J57" s="473"/>
      <c r="K57" s="410"/>
      <c r="L57" s="412"/>
      <c r="M57" s="412"/>
      <c r="N57" s="288"/>
    </row>
    <row r="58" spans="1:16" ht="12.95" customHeight="1" x14ac:dyDescent="0.2">
      <c r="A58" s="239"/>
      <c r="B58" s="566"/>
      <c r="C58" s="471" t="s">
        <v>74</v>
      </c>
      <c r="D58" s="413"/>
      <c r="E58" s="472"/>
      <c r="F58" s="472"/>
      <c r="G58" s="472"/>
      <c r="H58" s="472"/>
      <c r="I58" s="472"/>
      <c r="J58" s="473"/>
      <c r="K58" s="410"/>
      <c r="L58" s="412"/>
      <c r="M58" s="412"/>
      <c r="N58" s="288"/>
    </row>
    <row r="59" spans="1:16" ht="12.95" customHeight="1" x14ac:dyDescent="0.2">
      <c r="A59" s="239"/>
      <c r="B59" s="566"/>
      <c r="C59" s="471" t="s">
        <v>75</v>
      </c>
      <c r="D59" s="413"/>
      <c r="E59" s="472"/>
      <c r="F59" s="472"/>
      <c r="G59" s="472"/>
      <c r="H59" s="472"/>
      <c r="I59" s="472"/>
      <c r="J59" s="473"/>
      <c r="K59" s="410"/>
      <c r="L59" s="412"/>
      <c r="M59" s="412"/>
      <c r="N59" s="288"/>
    </row>
    <row r="60" spans="1:16" ht="12.95" customHeight="1" x14ac:dyDescent="0.2">
      <c r="A60" s="239"/>
      <c r="B60" s="566"/>
      <c r="C60" s="474" t="s">
        <v>76</v>
      </c>
      <c r="D60" s="413"/>
      <c r="E60" s="472"/>
      <c r="F60" s="472"/>
      <c r="G60" s="472"/>
      <c r="H60" s="472"/>
      <c r="I60" s="472"/>
      <c r="J60" s="473"/>
      <c r="K60" s="410"/>
      <c r="L60" s="412"/>
      <c r="M60" s="412"/>
      <c r="N60" s="288"/>
    </row>
    <row r="61" spans="1:16" ht="12.95" customHeight="1" x14ac:dyDescent="0.2">
      <c r="A61" s="239"/>
      <c r="B61" s="470"/>
      <c r="C61" s="471" t="s">
        <v>77</v>
      </c>
      <c r="D61" s="413"/>
      <c r="E61" s="472"/>
      <c r="F61" s="472"/>
      <c r="G61" s="472"/>
      <c r="H61" s="472"/>
      <c r="I61" s="472"/>
      <c r="J61" s="473"/>
      <c r="K61" s="410"/>
      <c r="L61" s="412"/>
      <c r="M61" s="412"/>
      <c r="N61" s="288"/>
    </row>
    <row r="62" spans="1:16" ht="12.95" customHeight="1" x14ac:dyDescent="0.2">
      <c r="A62" s="239"/>
      <c r="B62" s="470"/>
      <c r="C62" s="471" t="s">
        <v>78</v>
      </c>
      <c r="D62" s="413"/>
      <c r="E62" s="472"/>
      <c r="F62" s="472"/>
      <c r="G62" s="472"/>
      <c r="H62" s="472"/>
      <c r="I62" s="472"/>
      <c r="J62" s="473"/>
      <c r="K62" s="410"/>
      <c r="L62" s="412"/>
      <c r="M62" s="412"/>
      <c r="N62" s="288"/>
    </row>
    <row r="63" spans="1:16" ht="12.95" customHeight="1" x14ac:dyDescent="0.2">
      <c r="A63" s="239"/>
      <c r="B63" s="470"/>
      <c r="C63" s="471" t="s">
        <v>79</v>
      </c>
      <c r="D63" s="413"/>
      <c r="E63" s="472"/>
      <c r="F63" s="472"/>
      <c r="G63" s="472"/>
      <c r="H63" s="472"/>
      <c r="I63" s="472"/>
      <c r="J63" s="473"/>
      <c r="K63" s="410"/>
      <c r="L63" s="412"/>
      <c r="M63" s="412"/>
      <c r="N63" s="288"/>
    </row>
    <row r="64" spans="1:16" ht="12.95" customHeight="1" x14ac:dyDescent="0.25">
      <c r="A64" s="239"/>
      <c r="B64" s="565"/>
      <c r="C64" s="471"/>
      <c r="D64" s="413"/>
      <c r="E64" s="472"/>
      <c r="F64" s="472"/>
      <c r="G64" s="472"/>
      <c r="H64" s="472"/>
      <c r="I64" s="472"/>
      <c r="J64" s="473"/>
      <c r="K64" s="410"/>
      <c r="L64" s="412"/>
      <c r="M64" s="412"/>
      <c r="N64" s="288"/>
    </row>
    <row r="65" spans="1:12" ht="15" x14ac:dyDescent="0.2">
      <c r="A65" s="225" t="s">
        <v>80</v>
      </c>
      <c r="B65" s="225" t="s">
        <v>81</v>
      </c>
      <c r="C65" s="225"/>
      <c r="J65" s="271"/>
      <c r="K65" s="272"/>
      <c r="L65" s="272"/>
    </row>
    <row r="66" spans="1:12" x14ac:dyDescent="0.2">
      <c r="B66" s="222" t="s">
        <v>82</v>
      </c>
      <c r="F66" s="927"/>
      <c r="G66" s="927"/>
      <c r="H66" s="927"/>
      <c r="I66" s="927"/>
      <c r="J66" s="271"/>
      <c r="K66" s="272"/>
      <c r="L66" s="272"/>
    </row>
    <row r="67" spans="1:12" ht="15" customHeight="1" x14ac:dyDescent="0.2">
      <c r="F67" s="291"/>
      <c r="G67" s="291"/>
      <c r="H67" s="291"/>
      <c r="I67" s="291"/>
      <c r="J67" s="271"/>
      <c r="K67" s="272"/>
      <c r="L67" s="272"/>
    </row>
    <row r="68" spans="1:12" ht="15" x14ac:dyDescent="0.2">
      <c r="A68" s="225" t="s">
        <v>83</v>
      </c>
      <c r="B68" s="225" t="s">
        <v>84</v>
      </c>
      <c r="C68" s="225"/>
      <c r="J68" s="271"/>
      <c r="K68" s="292"/>
      <c r="L68" s="272"/>
    </row>
    <row r="69" spans="1:12" x14ac:dyDescent="0.2">
      <c r="B69" s="287"/>
      <c r="C69" s="287"/>
      <c r="D69" s="293"/>
      <c r="J69" s="271"/>
      <c r="K69" s="294"/>
      <c r="L69" s="272"/>
    </row>
  </sheetData>
  <mergeCells count="32">
    <mergeCell ref="A1:M1"/>
    <mergeCell ref="A2:M2"/>
    <mergeCell ref="M17:M18"/>
    <mergeCell ref="M35:M36"/>
    <mergeCell ref="N30:O31"/>
    <mergeCell ref="K30:K31"/>
    <mergeCell ref="C35:C36"/>
    <mergeCell ref="D35:D36"/>
    <mergeCell ref="E35:I35"/>
    <mergeCell ref="J35:J36"/>
    <mergeCell ref="D30:E31"/>
    <mergeCell ref="F30:G31"/>
    <mergeCell ref="F32:G32"/>
    <mergeCell ref="D32:E32"/>
    <mergeCell ref="G19:I19"/>
    <mergeCell ref="L30:L31"/>
    <mergeCell ref="C37:C43"/>
    <mergeCell ref="J37:J43"/>
    <mergeCell ref="J30:J31"/>
    <mergeCell ref="B35:B36"/>
    <mergeCell ref="F66:I66"/>
    <mergeCell ref="B37:B43"/>
    <mergeCell ref="B30:B31"/>
    <mergeCell ref="H32:I32"/>
    <mergeCell ref="M30:M31"/>
    <mergeCell ref="C23:H23"/>
    <mergeCell ref="I23:J23"/>
    <mergeCell ref="K23:L23"/>
    <mergeCell ref="G20:I20"/>
    <mergeCell ref="D21:F21"/>
    <mergeCell ref="G21:I21"/>
    <mergeCell ref="C30:C31"/>
  </mergeCells>
  <printOptions horizontalCentered="1" verticalCentered="1"/>
  <pageMargins left="0.19685039370078741" right="0.19685039370078741" top="0.23622047244094491" bottom="0.23622047244094491" header="0.19685039370078741" footer="0.23622047244094491"/>
  <pageSetup paperSize="9" scale="72" orientation="portrait" horizontalDpi="4294967293" r:id="rId1"/>
  <headerFooter>
    <oddHeader>&amp;R&amp;"-,Regular"&amp;8FV.LK  006-18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W413"/>
  <sheetViews>
    <sheetView topLeftCell="L372" workbookViewId="0">
      <selection activeCell="U385" sqref="U385"/>
    </sheetView>
  </sheetViews>
  <sheetFormatPr defaultRowHeight="12.75" x14ac:dyDescent="0.2"/>
  <cols>
    <col min="6" max="6" width="11.5703125" customWidth="1"/>
  </cols>
  <sheetData>
    <row r="1" spans="1:21" ht="19.5" thickBot="1" x14ac:dyDescent="0.25">
      <c r="A1" s="1258" t="s">
        <v>193</v>
      </c>
      <c r="B1" s="1259"/>
      <c r="C1" s="1259"/>
      <c r="D1" s="1259"/>
      <c r="E1" s="1259"/>
      <c r="F1" s="1259"/>
      <c r="G1" s="1259"/>
      <c r="H1" s="1259"/>
      <c r="I1" s="1259"/>
      <c r="J1" s="1259"/>
      <c r="K1" s="1259"/>
      <c r="L1" s="1259"/>
      <c r="M1" s="1259"/>
      <c r="N1" s="1259"/>
      <c r="O1" s="1259"/>
      <c r="P1" s="1259"/>
      <c r="Q1" s="1259"/>
      <c r="R1" s="1259"/>
      <c r="S1" s="1259"/>
      <c r="T1" s="1259"/>
      <c r="U1" s="1259"/>
    </row>
    <row r="2" spans="1:21" x14ac:dyDescent="0.2">
      <c r="A2" s="1249">
        <v>1</v>
      </c>
      <c r="B2" s="1252" t="s">
        <v>194</v>
      </c>
      <c r="C2" s="1253"/>
      <c r="D2" s="1253"/>
      <c r="E2" s="1253"/>
      <c r="F2" s="1254"/>
      <c r="G2" s="148"/>
      <c r="H2" s="1252" t="str">
        <f>B2</f>
        <v>KOREKSI KIMO THERMOHYGROMETER 15062873</v>
      </c>
      <c r="I2" s="1253"/>
      <c r="J2" s="1253"/>
      <c r="K2" s="1253"/>
      <c r="L2" s="1254"/>
      <c r="M2" s="148"/>
      <c r="N2" s="1252" t="str">
        <f>H2</f>
        <v>KOREKSI KIMO THERMOHYGROMETER 15062873</v>
      </c>
      <c r="O2" s="1253"/>
      <c r="P2" s="1253"/>
      <c r="Q2" s="1253"/>
      <c r="R2" s="1254"/>
      <c r="T2" s="1260" t="s">
        <v>195</v>
      </c>
      <c r="U2" s="1261"/>
    </row>
    <row r="3" spans="1:21" x14ac:dyDescent="0.2">
      <c r="A3" s="1250"/>
      <c r="B3" s="1255" t="s">
        <v>196</v>
      </c>
      <c r="C3" s="1256"/>
      <c r="D3" s="1256" t="s">
        <v>197</v>
      </c>
      <c r="E3" s="1256"/>
      <c r="F3" s="1257" t="s">
        <v>198</v>
      </c>
      <c r="G3" s="147"/>
      <c r="H3" s="1255" t="s">
        <v>199</v>
      </c>
      <c r="I3" s="1256"/>
      <c r="J3" s="1256" t="s">
        <v>197</v>
      </c>
      <c r="K3" s="1256"/>
      <c r="L3" s="1257" t="s">
        <v>198</v>
      </c>
      <c r="M3" s="147"/>
      <c r="N3" s="1255" t="s">
        <v>200</v>
      </c>
      <c r="O3" s="1256"/>
      <c r="P3" s="1256" t="s">
        <v>197</v>
      </c>
      <c r="Q3" s="1256"/>
      <c r="R3" s="1257" t="s">
        <v>198</v>
      </c>
      <c r="T3" s="567" t="s">
        <v>196</v>
      </c>
      <c r="U3" s="568">
        <v>0.5</v>
      </c>
    </row>
    <row r="4" spans="1:21" ht="15" x14ac:dyDescent="0.2">
      <c r="A4" s="1250"/>
      <c r="B4" s="1246" t="s">
        <v>201</v>
      </c>
      <c r="C4" s="1247"/>
      <c r="D4" s="301">
        <v>2017</v>
      </c>
      <c r="E4" s="301">
        <v>2015</v>
      </c>
      <c r="F4" s="1257"/>
      <c r="G4" s="147"/>
      <c r="H4" s="1248" t="s">
        <v>202</v>
      </c>
      <c r="I4" s="1247"/>
      <c r="J4" s="549">
        <f>D4</f>
        <v>2017</v>
      </c>
      <c r="K4" s="549">
        <f>E4</f>
        <v>2015</v>
      </c>
      <c r="L4" s="1257"/>
      <c r="M4" s="147"/>
      <c r="N4" s="1248" t="s">
        <v>203</v>
      </c>
      <c r="O4" s="1247"/>
      <c r="P4" s="549">
        <f>J4</f>
        <v>2017</v>
      </c>
      <c r="Q4" s="549">
        <f>K4</f>
        <v>2015</v>
      </c>
      <c r="R4" s="1257"/>
      <c r="T4" s="567" t="s">
        <v>202</v>
      </c>
      <c r="U4" s="568">
        <v>3.3</v>
      </c>
    </row>
    <row r="5" spans="1:21" ht="13.5" thickBot="1" x14ac:dyDescent="0.25">
      <c r="A5" s="1250"/>
      <c r="B5" s="569">
        <v>1</v>
      </c>
      <c r="C5" s="302">
        <v>15</v>
      </c>
      <c r="D5" s="303">
        <v>0.3</v>
      </c>
      <c r="E5" s="303">
        <v>0</v>
      </c>
      <c r="F5" s="151">
        <f t="shared" ref="F5:F11" si="0">0.5*(MAX(D5:E5)-MIN(D5:E5))</f>
        <v>0.15</v>
      </c>
      <c r="G5" s="147"/>
      <c r="H5" s="569">
        <v>1</v>
      </c>
      <c r="I5" s="302">
        <v>35</v>
      </c>
      <c r="J5" s="303">
        <v>-9.4</v>
      </c>
      <c r="K5" s="303">
        <v>0</v>
      </c>
      <c r="L5" s="151">
        <f t="shared" ref="L5:L11" si="1">0.5*(MAX(J5:K5)-MIN(J5:K5))</f>
        <v>4.7</v>
      </c>
      <c r="M5" s="147"/>
      <c r="N5" s="569">
        <v>1</v>
      </c>
      <c r="O5" s="308">
        <v>750</v>
      </c>
      <c r="P5" s="570" t="s">
        <v>109</v>
      </c>
      <c r="Q5" s="570" t="s">
        <v>109</v>
      </c>
      <c r="R5" s="151">
        <f t="shared" ref="R5:R11" si="2">0.5*(MAX(P5:Q5)-MIN(P5:Q5))</f>
        <v>0</v>
      </c>
      <c r="T5" s="571" t="s">
        <v>203</v>
      </c>
      <c r="U5" s="572">
        <v>0</v>
      </c>
    </row>
    <row r="6" spans="1:21" x14ac:dyDescent="0.2">
      <c r="A6" s="1250"/>
      <c r="B6" s="569">
        <v>2</v>
      </c>
      <c r="C6" s="302">
        <v>20</v>
      </c>
      <c r="D6" s="303">
        <v>0.2</v>
      </c>
      <c r="E6" s="303">
        <v>0</v>
      </c>
      <c r="F6" s="151">
        <f>0.5*(MAX(D6:E6)-MIN(D6:E6))</f>
        <v>0.1</v>
      </c>
      <c r="G6" s="147"/>
      <c r="H6" s="569">
        <v>2</v>
      </c>
      <c r="I6" s="302">
        <v>40</v>
      </c>
      <c r="J6" s="303">
        <v>-8.6</v>
      </c>
      <c r="K6" s="303">
        <v>0</v>
      </c>
      <c r="L6" s="151">
        <f t="shared" si="1"/>
        <v>4.3</v>
      </c>
      <c r="M6" s="147"/>
      <c r="N6" s="569">
        <v>2</v>
      </c>
      <c r="O6" s="311">
        <v>800</v>
      </c>
      <c r="P6" s="573" t="s">
        <v>109</v>
      </c>
      <c r="Q6" s="573" t="s">
        <v>109</v>
      </c>
      <c r="R6" s="151">
        <f t="shared" si="2"/>
        <v>0</v>
      </c>
    </row>
    <row r="7" spans="1:21" x14ac:dyDescent="0.2">
      <c r="A7" s="1250"/>
      <c r="B7" s="569">
        <v>3</v>
      </c>
      <c r="C7" s="302">
        <v>25</v>
      </c>
      <c r="D7" s="303">
        <v>0.1</v>
      </c>
      <c r="E7" s="303">
        <v>0</v>
      </c>
      <c r="F7" s="151">
        <f t="shared" si="0"/>
        <v>0.05</v>
      </c>
      <c r="G7" s="147"/>
      <c r="H7" s="569">
        <v>3</v>
      </c>
      <c r="I7" s="302">
        <v>50</v>
      </c>
      <c r="J7" s="303">
        <v>-7.2</v>
      </c>
      <c r="K7" s="303">
        <v>0</v>
      </c>
      <c r="L7" s="151">
        <f t="shared" si="1"/>
        <v>3.6</v>
      </c>
      <c r="M7" s="147"/>
      <c r="N7" s="569">
        <v>3</v>
      </c>
      <c r="O7" s="311">
        <v>850</v>
      </c>
      <c r="P7" s="573" t="s">
        <v>109</v>
      </c>
      <c r="Q7" s="573" t="s">
        <v>109</v>
      </c>
      <c r="R7" s="151">
        <f t="shared" si="2"/>
        <v>0</v>
      </c>
    </row>
    <row r="8" spans="1:21" x14ac:dyDescent="0.2">
      <c r="A8" s="1250"/>
      <c r="B8" s="569">
        <v>4</v>
      </c>
      <c r="C8" s="304">
        <v>30</v>
      </c>
      <c r="D8" s="305">
        <v>-0.2</v>
      </c>
      <c r="E8" s="306">
        <v>0</v>
      </c>
      <c r="F8" s="151">
        <f t="shared" si="0"/>
        <v>0.1</v>
      </c>
      <c r="G8" s="147"/>
      <c r="H8" s="569">
        <v>4</v>
      </c>
      <c r="I8" s="304">
        <v>60</v>
      </c>
      <c r="J8" s="305">
        <v>-5.2</v>
      </c>
      <c r="K8" s="306">
        <v>0</v>
      </c>
      <c r="L8" s="151">
        <f t="shared" si="1"/>
        <v>2.6</v>
      </c>
      <c r="M8" s="147"/>
      <c r="N8" s="569">
        <v>4</v>
      </c>
      <c r="O8" s="312">
        <v>900</v>
      </c>
      <c r="P8" s="305" t="s">
        <v>109</v>
      </c>
      <c r="Q8" s="306" t="s">
        <v>109</v>
      </c>
      <c r="R8" s="151">
        <f t="shared" si="2"/>
        <v>0</v>
      </c>
    </row>
    <row r="9" spans="1:21" x14ac:dyDescent="0.2">
      <c r="A9" s="1250"/>
      <c r="B9" s="569">
        <v>5</v>
      </c>
      <c r="C9" s="304">
        <v>35</v>
      </c>
      <c r="D9" s="305">
        <v>-0.5</v>
      </c>
      <c r="E9" s="306">
        <v>0</v>
      </c>
      <c r="F9" s="151">
        <f t="shared" si="0"/>
        <v>0.25</v>
      </c>
      <c r="G9" s="147"/>
      <c r="H9" s="569">
        <v>5</v>
      </c>
      <c r="I9" s="304">
        <v>70</v>
      </c>
      <c r="J9" s="305">
        <v>-2.6</v>
      </c>
      <c r="K9" s="306">
        <v>0</v>
      </c>
      <c r="L9" s="151">
        <f t="shared" si="1"/>
        <v>1.3</v>
      </c>
      <c r="M9" s="147"/>
      <c r="N9" s="569">
        <v>5</v>
      </c>
      <c r="O9" s="312">
        <v>1000</v>
      </c>
      <c r="P9" s="305" t="s">
        <v>109</v>
      </c>
      <c r="Q9" s="306" t="s">
        <v>109</v>
      </c>
      <c r="R9" s="151">
        <f t="shared" si="2"/>
        <v>0</v>
      </c>
    </row>
    <row r="10" spans="1:21" x14ac:dyDescent="0.2">
      <c r="A10" s="1250"/>
      <c r="B10" s="569">
        <v>6</v>
      </c>
      <c r="C10" s="304">
        <v>37</v>
      </c>
      <c r="D10" s="305">
        <v>-0.6</v>
      </c>
      <c r="E10" s="306">
        <v>0</v>
      </c>
      <c r="F10" s="151">
        <f t="shared" si="0"/>
        <v>0.3</v>
      </c>
      <c r="G10" s="147"/>
      <c r="H10" s="569">
        <v>6</v>
      </c>
      <c r="I10" s="304">
        <v>80</v>
      </c>
      <c r="J10" s="305">
        <v>0.7</v>
      </c>
      <c r="K10" s="306">
        <v>0</v>
      </c>
      <c r="L10" s="151">
        <f t="shared" si="1"/>
        <v>0.35</v>
      </c>
      <c r="M10" s="147"/>
      <c r="N10" s="569">
        <v>6</v>
      </c>
      <c r="O10" s="312">
        <v>1005</v>
      </c>
      <c r="P10" s="305" t="s">
        <v>109</v>
      </c>
      <c r="Q10" s="306" t="s">
        <v>109</v>
      </c>
      <c r="R10" s="151">
        <f t="shared" si="2"/>
        <v>0</v>
      </c>
    </row>
    <row r="11" spans="1:21" ht="13.5" thickBot="1" x14ac:dyDescent="0.25">
      <c r="A11" s="1251"/>
      <c r="B11" s="574">
        <v>7</v>
      </c>
      <c r="C11" s="314">
        <v>40</v>
      </c>
      <c r="D11" s="315">
        <v>-0.8</v>
      </c>
      <c r="E11" s="575">
        <v>0</v>
      </c>
      <c r="F11" s="153">
        <f t="shared" si="0"/>
        <v>0.4</v>
      </c>
      <c r="G11" s="152"/>
      <c r="H11" s="574">
        <v>7</v>
      </c>
      <c r="I11" s="314">
        <v>90</v>
      </c>
      <c r="J11" s="315">
        <v>4.5</v>
      </c>
      <c r="K11" s="575">
        <v>0</v>
      </c>
      <c r="L11" s="153">
        <f t="shared" si="1"/>
        <v>2.25</v>
      </c>
      <c r="M11" s="152"/>
      <c r="N11" s="574">
        <v>7</v>
      </c>
      <c r="O11" s="313">
        <v>1020</v>
      </c>
      <c r="P11" s="315" t="s">
        <v>109</v>
      </c>
      <c r="Q11" s="575" t="s">
        <v>109</v>
      </c>
      <c r="R11" s="153">
        <f t="shared" si="2"/>
        <v>0</v>
      </c>
    </row>
    <row r="12" spans="1:21" ht="13.5" thickBot="1" x14ac:dyDescent="0.25">
      <c r="A12" s="150"/>
      <c r="B12" s="150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576"/>
      <c r="P12" s="16"/>
    </row>
    <row r="13" spans="1:21" x14ac:dyDescent="0.2">
      <c r="A13" s="1249">
        <v>2</v>
      </c>
      <c r="B13" s="1252" t="s">
        <v>204</v>
      </c>
      <c r="C13" s="1253"/>
      <c r="D13" s="1253"/>
      <c r="E13" s="1253"/>
      <c r="F13" s="1254"/>
      <c r="G13" s="148"/>
      <c r="H13" s="1252" t="str">
        <f>B13</f>
        <v>KOREKSI KIMO THERMOHYGROMETER 15062874</v>
      </c>
      <c r="I13" s="1253"/>
      <c r="J13" s="1253"/>
      <c r="K13" s="1253"/>
      <c r="L13" s="1254"/>
      <c r="M13" s="148"/>
      <c r="N13" s="1252" t="str">
        <f>H13</f>
        <v>KOREKSI KIMO THERMOHYGROMETER 15062874</v>
      </c>
      <c r="O13" s="1253"/>
      <c r="P13" s="1253"/>
      <c r="Q13" s="1253"/>
      <c r="R13" s="1254"/>
      <c r="T13" s="1260" t="s">
        <v>195</v>
      </c>
      <c r="U13" s="1261"/>
    </row>
    <row r="14" spans="1:21" x14ac:dyDescent="0.2">
      <c r="A14" s="1250"/>
      <c r="B14" s="1255" t="s">
        <v>196</v>
      </c>
      <c r="C14" s="1256"/>
      <c r="D14" s="1256" t="s">
        <v>197</v>
      </c>
      <c r="E14" s="1256"/>
      <c r="F14" s="1257" t="s">
        <v>198</v>
      </c>
      <c r="G14" s="147"/>
      <c r="H14" s="1255" t="s">
        <v>199</v>
      </c>
      <c r="I14" s="1256"/>
      <c r="J14" s="1256" t="s">
        <v>197</v>
      </c>
      <c r="K14" s="1256"/>
      <c r="L14" s="1257" t="s">
        <v>198</v>
      </c>
      <c r="M14" s="147"/>
      <c r="N14" s="1255" t="s">
        <v>200</v>
      </c>
      <c r="O14" s="1256"/>
      <c r="P14" s="1256" t="s">
        <v>197</v>
      </c>
      <c r="Q14" s="1256"/>
      <c r="R14" s="1257" t="s">
        <v>198</v>
      </c>
      <c r="T14" s="567" t="s">
        <v>196</v>
      </c>
      <c r="U14" s="577">
        <v>0.3</v>
      </c>
    </row>
    <row r="15" spans="1:21" ht="15" x14ac:dyDescent="0.2">
      <c r="A15" s="1250"/>
      <c r="B15" s="1246" t="s">
        <v>201</v>
      </c>
      <c r="C15" s="1247"/>
      <c r="D15" s="301">
        <v>2018</v>
      </c>
      <c r="E15" s="301">
        <v>2017</v>
      </c>
      <c r="F15" s="1257"/>
      <c r="G15" s="147"/>
      <c r="H15" s="1248" t="s">
        <v>202</v>
      </c>
      <c r="I15" s="1247"/>
      <c r="J15" s="549">
        <f>D15</f>
        <v>2018</v>
      </c>
      <c r="K15" s="549">
        <f>E15</f>
        <v>2017</v>
      </c>
      <c r="L15" s="1257"/>
      <c r="M15" s="147"/>
      <c r="N15" s="1248" t="s">
        <v>203</v>
      </c>
      <c r="O15" s="1247"/>
      <c r="P15" s="549">
        <f>J15</f>
        <v>2018</v>
      </c>
      <c r="Q15" s="549">
        <f>K15</f>
        <v>2017</v>
      </c>
      <c r="R15" s="1257"/>
      <c r="T15" s="567" t="s">
        <v>202</v>
      </c>
      <c r="U15" s="577">
        <v>3.3</v>
      </c>
    </row>
    <row r="16" spans="1:21" ht="13.5" thickBot="1" x14ac:dyDescent="0.25">
      <c r="A16" s="1250"/>
      <c r="B16" s="569">
        <v>1</v>
      </c>
      <c r="C16" s="302">
        <v>15</v>
      </c>
      <c r="D16" s="303">
        <v>0</v>
      </c>
      <c r="E16" s="302">
        <v>0.5</v>
      </c>
      <c r="F16" s="151">
        <f t="shared" ref="F16:F22" si="3">0.5*(MAX(D16:E16)-MIN(D16:E16))</f>
        <v>0.25</v>
      </c>
      <c r="G16" s="147"/>
      <c r="H16" s="569">
        <v>1</v>
      </c>
      <c r="I16" s="302">
        <v>35</v>
      </c>
      <c r="J16" s="303">
        <v>-1.6</v>
      </c>
      <c r="K16" s="302">
        <v>-0.9</v>
      </c>
      <c r="L16" s="151">
        <f t="shared" ref="L16:L22" si="4">0.5*(MAX(J16:K16)-MIN(J16:K16))</f>
        <v>0.35000000000000003</v>
      </c>
      <c r="M16" s="147"/>
      <c r="N16" s="569">
        <v>1</v>
      </c>
      <c r="O16" s="308">
        <v>750</v>
      </c>
      <c r="P16" s="570" t="s">
        <v>109</v>
      </c>
      <c r="Q16" s="570" t="s">
        <v>109</v>
      </c>
      <c r="R16" s="151">
        <f t="shared" ref="R16:R22" si="5">0.5*(MAX(P16:Q16)-MIN(P16:Q16))</f>
        <v>0</v>
      </c>
      <c r="T16" s="571" t="s">
        <v>203</v>
      </c>
      <c r="U16" s="572">
        <v>0</v>
      </c>
    </row>
    <row r="17" spans="1:21" x14ac:dyDescent="0.2">
      <c r="A17" s="1250"/>
      <c r="B17" s="569">
        <v>2</v>
      </c>
      <c r="C17" s="302">
        <v>20</v>
      </c>
      <c r="D17" s="303">
        <v>-0.1</v>
      </c>
      <c r="E17" s="302">
        <v>0</v>
      </c>
      <c r="F17" s="151">
        <f t="shared" si="3"/>
        <v>0.05</v>
      </c>
      <c r="G17" s="147"/>
      <c r="H17" s="569">
        <v>2</v>
      </c>
      <c r="I17" s="302">
        <v>40</v>
      </c>
      <c r="J17" s="303">
        <v>-1.6</v>
      </c>
      <c r="K17" s="302">
        <v>-1.1000000000000001</v>
      </c>
      <c r="L17" s="151">
        <f t="shared" si="4"/>
        <v>0.25</v>
      </c>
      <c r="M17" s="147"/>
      <c r="N17" s="569">
        <v>2</v>
      </c>
      <c r="O17" s="311">
        <v>800</v>
      </c>
      <c r="P17" s="573" t="s">
        <v>109</v>
      </c>
      <c r="Q17" s="573" t="s">
        <v>109</v>
      </c>
      <c r="R17" s="151">
        <f t="shared" si="5"/>
        <v>0</v>
      </c>
    </row>
    <row r="18" spans="1:21" x14ac:dyDescent="0.2">
      <c r="A18" s="1250"/>
      <c r="B18" s="569">
        <v>3</v>
      </c>
      <c r="C18" s="302">
        <v>25</v>
      </c>
      <c r="D18" s="303">
        <v>-0.2</v>
      </c>
      <c r="E18" s="302">
        <v>-0.5</v>
      </c>
      <c r="F18" s="151">
        <f t="shared" si="3"/>
        <v>0.15</v>
      </c>
      <c r="G18" s="147"/>
      <c r="H18" s="569">
        <v>3</v>
      </c>
      <c r="I18" s="302">
        <v>50</v>
      </c>
      <c r="J18" s="303">
        <v>-1.5</v>
      </c>
      <c r="K18" s="302">
        <v>-1.4</v>
      </c>
      <c r="L18" s="151">
        <f t="shared" si="4"/>
        <v>5.0000000000000044E-2</v>
      </c>
      <c r="M18" s="147"/>
      <c r="N18" s="569">
        <v>3</v>
      </c>
      <c r="O18" s="311">
        <v>850</v>
      </c>
      <c r="P18" s="573" t="s">
        <v>109</v>
      </c>
      <c r="Q18" s="573" t="s">
        <v>109</v>
      </c>
      <c r="R18" s="151">
        <f t="shared" si="5"/>
        <v>0</v>
      </c>
    </row>
    <row r="19" spans="1:21" x14ac:dyDescent="0.2">
      <c r="A19" s="1250"/>
      <c r="B19" s="569">
        <v>4</v>
      </c>
      <c r="C19" s="304">
        <v>30</v>
      </c>
      <c r="D19" s="306">
        <v>-0.3</v>
      </c>
      <c r="E19" s="304">
        <v>-1</v>
      </c>
      <c r="F19" s="151">
        <f t="shared" si="3"/>
        <v>0.35</v>
      </c>
      <c r="G19" s="147"/>
      <c r="H19" s="569">
        <v>4</v>
      </c>
      <c r="I19" s="304">
        <v>60</v>
      </c>
      <c r="J19" s="306">
        <v>-1.3</v>
      </c>
      <c r="K19" s="304">
        <v>-1.3</v>
      </c>
      <c r="L19" s="151">
        <f t="shared" si="4"/>
        <v>0</v>
      </c>
      <c r="M19" s="147"/>
      <c r="N19" s="569">
        <v>4</v>
      </c>
      <c r="O19" s="312">
        <v>900</v>
      </c>
      <c r="P19" s="305" t="s">
        <v>109</v>
      </c>
      <c r="Q19" s="306" t="s">
        <v>109</v>
      </c>
      <c r="R19" s="151">
        <f t="shared" si="5"/>
        <v>0</v>
      </c>
    </row>
    <row r="20" spans="1:21" x14ac:dyDescent="0.2">
      <c r="A20" s="1250"/>
      <c r="B20" s="569">
        <v>5</v>
      </c>
      <c r="C20" s="304">
        <v>35</v>
      </c>
      <c r="D20" s="306">
        <v>-0.3</v>
      </c>
      <c r="E20" s="304">
        <v>-1.6</v>
      </c>
      <c r="F20" s="151">
        <f t="shared" si="3"/>
        <v>0.65</v>
      </c>
      <c r="G20" s="147"/>
      <c r="H20" s="569">
        <v>5</v>
      </c>
      <c r="I20" s="304">
        <v>70</v>
      </c>
      <c r="J20" s="306">
        <v>-1.1000000000000001</v>
      </c>
      <c r="K20" s="304">
        <v>-1</v>
      </c>
      <c r="L20" s="151">
        <f t="shared" si="4"/>
        <v>5.0000000000000044E-2</v>
      </c>
      <c r="M20" s="147"/>
      <c r="N20" s="569">
        <v>5</v>
      </c>
      <c r="O20" s="312">
        <v>1000</v>
      </c>
      <c r="P20" s="305" t="s">
        <v>109</v>
      </c>
      <c r="Q20" s="306" t="s">
        <v>109</v>
      </c>
      <c r="R20" s="151">
        <f t="shared" si="5"/>
        <v>0</v>
      </c>
    </row>
    <row r="21" spans="1:21" x14ac:dyDescent="0.2">
      <c r="A21" s="1250"/>
      <c r="B21" s="569">
        <v>6</v>
      </c>
      <c r="C21" s="304">
        <v>37</v>
      </c>
      <c r="D21" s="306">
        <v>-0.3</v>
      </c>
      <c r="E21" s="304">
        <v>-1.8</v>
      </c>
      <c r="F21" s="151">
        <f t="shared" si="3"/>
        <v>0.75</v>
      </c>
      <c r="G21" s="147"/>
      <c r="H21" s="569">
        <v>6</v>
      </c>
      <c r="I21" s="304">
        <v>80</v>
      </c>
      <c r="J21" s="306">
        <v>-0.7</v>
      </c>
      <c r="K21" s="304">
        <v>-0.4</v>
      </c>
      <c r="L21" s="151">
        <f t="shared" si="4"/>
        <v>0.14999999999999997</v>
      </c>
      <c r="M21" s="147"/>
      <c r="N21" s="569">
        <v>6</v>
      </c>
      <c r="O21" s="312">
        <v>1005</v>
      </c>
      <c r="P21" s="305" t="s">
        <v>109</v>
      </c>
      <c r="Q21" s="306" t="s">
        <v>109</v>
      </c>
      <c r="R21" s="151">
        <f t="shared" si="5"/>
        <v>0</v>
      </c>
    </row>
    <row r="22" spans="1:21" ht="13.5" thickBot="1" x14ac:dyDescent="0.25">
      <c r="A22" s="1251"/>
      <c r="B22" s="574">
        <v>7</v>
      </c>
      <c r="C22" s="314">
        <v>40</v>
      </c>
      <c r="D22" s="575">
        <v>-0.3</v>
      </c>
      <c r="E22" s="314">
        <v>-2.1</v>
      </c>
      <c r="F22" s="153">
        <f t="shared" si="3"/>
        <v>0.9</v>
      </c>
      <c r="G22" s="152"/>
      <c r="H22" s="574">
        <v>7</v>
      </c>
      <c r="I22" s="314">
        <v>90</v>
      </c>
      <c r="J22" s="575">
        <v>-0.3</v>
      </c>
      <c r="K22" s="314">
        <v>0.6</v>
      </c>
      <c r="L22" s="153">
        <f t="shared" si="4"/>
        <v>0.44999999999999996</v>
      </c>
      <c r="M22" s="152"/>
      <c r="N22" s="574">
        <v>7</v>
      </c>
      <c r="O22" s="313">
        <v>1020</v>
      </c>
      <c r="P22" s="315" t="s">
        <v>109</v>
      </c>
      <c r="Q22" s="575" t="s">
        <v>109</v>
      </c>
      <c r="R22" s="153">
        <f t="shared" si="5"/>
        <v>0</v>
      </c>
    </row>
    <row r="23" spans="1:21" ht="13.5" thickBot="1" x14ac:dyDescent="0.25">
      <c r="A23" s="150"/>
      <c r="B23" s="150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576"/>
      <c r="P23" s="16"/>
    </row>
    <row r="24" spans="1:21" x14ac:dyDescent="0.2">
      <c r="A24" s="1249">
        <v>3</v>
      </c>
      <c r="B24" s="1252" t="s">
        <v>205</v>
      </c>
      <c r="C24" s="1253"/>
      <c r="D24" s="1253"/>
      <c r="E24" s="1253"/>
      <c r="F24" s="1254"/>
      <c r="G24" s="148"/>
      <c r="H24" s="1252" t="str">
        <f>B24</f>
        <v>KOREKSI KIMO THERMOHYGROMETER 14082463</v>
      </c>
      <c r="I24" s="1253"/>
      <c r="J24" s="1253"/>
      <c r="K24" s="1253"/>
      <c r="L24" s="1254"/>
      <c r="M24" s="148"/>
      <c r="N24" s="1252" t="str">
        <f>H24</f>
        <v>KOREKSI KIMO THERMOHYGROMETER 14082463</v>
      </c>
      <c r="O24" s="1253"/>
      <c r="P24" s="1253"/>
      <c r="Q24" s="1253"/>
      <c r="R24" s="1254"/>
      <c r="T24" s="1260" t="s">
        <v>195</v>
      </c>
      <c r="U24" s="1261"/>
    </row>
    <row r="25" spans="1:21" x14ac:dyDescent="0.2">
      <c r="A25" s="1250"/>
      <c r="B25" s="1255" t="s">
        <v>196</v>
      </c>
      <c r="C25" s="1256"/>
      <c r="D25" s="1256" t="s">
        <v>197</v>
      </c>
      <c r="E25" s="1256"/>
      <c r="F25" s="1257" t="s">
        <v>198</v>
      </c>
      <c r="G25" s="147"/>
      <c r="H25" s="1255" t="s">
        <v>199</v>
      </c>
      <c r="I25" s="1256"/>
      <c r="J25" s="1256" t="s">
        <v>197</v>
      </c>
      <c r="K25" s="1256"/>
      <c r="L25" s="1257" t="s">
        <v>198</v>
      </c>
      <c r="M25" s="147"/>
      <c r="N25" s="1255" t="s">
        <v>200</v>
      </c>
      <c r="O25" s="1256"/>
      <c r="P25" s="1256" t="s">
        <v>197</v>
      </c>
      <c r="Q25" s="1256"/>
      <c r="R25" s="1257" t="s">
        <v>198</v>
      </c>
      <c r="T25" s="567" t="s">
        <v>196</v>
      </c>
      <c r="U25" s="577">
        <v>0.3</v>
      </c>
    </row>
    <row r="26" spans="1:21" ht="15" x14ac:dyDescent="0.2">
      <c r="A26" s="1250"/>
      <c r="B26" s="1246" t="s">
        <v>201</v>
      </c>
      <c r="C26" s="1247"/>
      <c r="D26" s="301">
        <v>2018</v>
      </c>
      <c r="E26" s="301">
        <v>2017</v>
      </c>
      <c r="F26" s="1257"/>
      <c r="G26" s="147"/>
      <c r="H26" s="1248" t="s">
        <v>202</v>
      </c>
      <c r="I26" s="1247"/>
      <c r="J26" s="549">
        <f>D26</f>
        <v>2018</v>
      </c>
      <c r="K26" s="549">
        <f>E26</f>
        <v>2017</v>
      </c>
      <c r="L26" s="1257"/>
      <c r="M26" s="147"/>
      <c r="N26" s="1248" t="s">
        <v>203</v>
      </c>
      <c r="O26" s="1247"/>
      <c r="P26" s="549">
        <f>J26</f>
        <v>2018</v>
      </c>
      <c r="Q26" s="549">
        <f>K26</f>
        <v>2017</v>
      </c>
      <c r="R26" s="1257"/>
      <c r="T26" s="567" t="s">
        <v>202</v>
      </c>
      <c r="U26" s="577">
        <v>3.1</v>
      </c>
    </row>
    <row r="27" spans="1:21" ht="13.5" thickBot="1" x14ac:dyDescent="0.25">
      <c r="A27" s="1250"/>
      <c r="B27" s="569">
        <v>1</v>
      </c>
      <c r="C27" s="302">
        <v>15</v>
      </c>
      <c r="D27" s="303">
        <v>0</v>
      </c>
      <c r="E27" s="302">
        <v>0.2</v>
      </c>
      <c r="F27" s="151">
        <f t="shared" ref="F27:F33" si="6">0.5*(MAX(D27:E27)-MIN(D27:E27))</f>
        <v>0.1</v>
      </c>
      <c r="G27" s="147"/>
      <c r="H27" s="569">
        <v>1</v>
      </c>
      <c r="I27" s="302">
        <v>30</v>
      </c>
      <c r="J27" s="303">
        <v>-5.7</v>
      </c>
      <c r="K27" s="302">
        <v>-1.1000000000000001</v>
      </c>
      <c r="L27" s="151">
        <f t="shared" ref="L27:L33" si="7">0.5*(MAX(J27:K27)-MIN(J27:K27))</f>
        <v>2.2999999999999998</v>
      </c>
      <c r="M27" s="147"/>
      <c r="N27" s="569">
        <v>1</v>
      </c>
      <c r="O27" s="308">
        <v>750</v>
      </c>
      <c r="P27" s="570" t="s">
        <v>109</v>
      </c>
      <c r="Q27" s="570" t="s">
        <v>109</v>
      </c>
      <c r="R27" s="151">
        <f t="shared" ref="R27:R33" si="8">0.5*(MAX(P27:Q27)-MIN(P27:Q27))</f>
        <v>0</v>
      </c>
      <c r="T27" s="571" t="s">
        <v>203</v>
      </c>
      <c r="U27" s="572">
        <v>0</v>
      </c>
    </row>
    <row r="28" spans="1:21" x14ac:dyDescent="0.2">
      <c r="A28" s="1250"/>
      <c r="B28" s="569">
        <v>2</v>
      </c>
      <c r="C28" s="302">
        <v>20</v>
      </c>
      <c r="D28" s="303">
        <v>0</v>
      </c>
      <c r="E28" s="302">
        <v>0</v>
      </c>
      <c r="F28" s="151">
        <f t="shared" si="6"/>
        <v>0</v>
      </c>
      <c r="G28" s="147"/>
      <c r="H28" s="569">
        <v>2</v>
      </c>
      <c r="I28" s="302">
        <v>40</v>
      </c>
      <c r="J28" s="303">
        <v>-5.3</v>
      </c>
      <c r="K28" s="302">
        <v>-1.9</v>
      </c>
      <c r="L28" s="151">
        <f t="shared" si="7"/>
        <v>1.7</v>
      </c>
      <c r="M28" s="147"/>
      <c r="N28" s="569">
        <v>2</v>
      </c>
      <c r="O28" s="311">
        <v>800</v>
      </c>
      <c r="P28" s="573" t="s">
        <v>109</v>
      </c>
      <c r="Q28" s="573" t="s">
        <v>109</v>
      </c>
      <c r="R28" s="151">
        <f t="shared" si="8"/>
        <v>0</v>
      </c>
    </row>
    <row r="29" spans="1:21" x14ac:dyDescent="0.2">
      <c r="A29" s="1250"/>
      <c r="B29" s="569">
        <v>3</v>
      </c>
      <c r="C29" s="302">
        <v>25</v>
      </c>
      <c r="D29" s="303">
        <v>-0.1</v>
      </c>
      <c r="E29" s="302">
        <v>-0.2</v>
      </c>
      <c r="F29" s="151">
        <f t="shared" si="6"/>
        <v>0.05</v>
      </c>
      <c r="G29" s="147"/>
      <c r="H29" s="569">
        <v>3</v>
      </c>
      <c r="I29" s="302">
        <v>50</v>
      </c>
      <c r="J29" s="303">
        <v>-4.9000000000000004</v>
      </c>
      <c r="K29" s="302">
        <v>-2.2999999999999998</v>
      </c>
      <c r="L29" s="151">
        <f t="shared" si="7"/>
        <v>1.3000000000000003</v>
      </c>
      <c r="M29" s="147"/>
      <c r="N29" s="569">
        <v>3</v>
      </c>
      <c r="O29" s="311">
        <v>850</v>
      </c>
      <c r="P29" s="573" t="s">
        <v>109</v>
      </c>
      <c r="Q29" s="573" t="s">
        <v>109</v>
      </c>
      <c r="R29" s="151">
        <f t="shared" si="8"/>
        <v>0</v>
      </c>
    </row>
    <row r="30" spans="1:21" x14ac:dyDescent="0.2">
      <c r="A30" s="1250"/>
      <c r="B30" s="569">
        <v>4</v>
      </c>
      <c r="C30" s="304">
        <v>30</v>
      </c>
      <c r="D30" s="306">
        <v>-0.3</v>
      </c>
      <c r="E30" s="304">
        <v>-0.3</v>
      </c>
      <c r="F30" s="151">
        <f t="shared" si="6"/>
        <v>0</v>
      </c>
      <c r="G30" s="147"/>
      <c r="H30" s="569">
        <v>4</v>
      </c>
      <c r="I30" s="304">
        <v>60</v>
      </c>
      <c r="J30" s="306">
        <v>-4.3</v>
      </c>
      <c r="K30" s="304">
        <v>-2.2000000000000002</v>
      </c>
      <c r="L30" s="151">
        <f t="shared" si="7"/>
        <v>1.0499999999999998</v>
      </c>
      <c r="M30" s="147"/>
      <c r="N30" s="569">
        <v>4</v>
      </c>
      <c r="O30" s="312">
        <v>900</v>
      </c>
      <c r="P30" s="305" t="s">
        <v>109</v>
      </c>
      <c r="Q30" s="306" t="s">
        <v>109</v>
      </c>
      <c r="R30" s="151">
        <f t="shared" si="8"/>
        <v>0</v>
      </c>
    </row>
    <row r="31" spans="1:21" x14ac:dyDescent="0.2">
      <c r="A31" s="1250"/>
      <c r="B31" s="569">
        <v>5</v>
      </c>
      <c r="C31" s="304">
        <v>35</v>
      </c>
      <c r="D31" s="306">
        <v>-0.5</v>
      </c>
      <c r="E31" s="304">
        <v>-0.4</v>
      </c>
      <c r="F31" s="151">
        <f t="shared" si="6"/>
        <v>4.9999999999999989E-2</v>
      </c>
      <c r="G31" s="147"/>
      <c r="H31" s="569">
        <v>5</v>
      </c>
      <c r="I31" s="304">
        <v>70</v>
      </c>
      <c r="J31" s="306">
        <v>-3.6</v>
      </c>
      <c r="K31" s="304">
        <v>-1.6</v>
      </c>
      <c r="L31" s="151">
        <f t="shared" si="7"/>
        <v>1</v>
      </c>
      <c r="M31" s="147"/>
      <c r="N31" s="569">
        <v>5</v>
      </c>
      <c r="O31" s="312">
        <v>1000</v>
      </c>
      <c r="P31" s="305" t="s">
        <v>109</v>
      </c>
      <c r="Q31" s="306" t="s">
        <v>109</v>
      </c>
      <c r="R31" s="151">
        <f t="shared" si="8"/>
        <v>0</v>
      </c>
    </row>
    <row r="32" spans="1:21" x14ac:dyDescent="0.2">
      <c r="A32" s="1250"/>
      <c r="B32" s="569">
        <v>6</v>
      </c>
      <c r="C32" s="304">
        <v>37</v>
      </c>
      <c r="D32" s="306">
        <v>-0.6</v>
      </c>
      <c r="E32" s="304">
        <v>-0.5</v>
      </c>
      <c r="F32" s="151">
        <f t="shared" si="6"/>
        <v>4.9999999999999989E-2</v>
      </c>
      <c r="G32" s="147"/>
      <c r="H32" s="569">
        <v>6</v>
      </c>
      <c r="I32" s="304">
        <v>80</v>
      </c>
      <c r="J32" s="306">
        <v>-2.9</v>
      </c>
      <c r="K32" s="304">
        <v>-0.6</v>
      </c>
      <c r="L32" s="151">
        <f t="shared" si="7"/>
        <v>1.1499999999999999</v>
      </c>
      <c r="M32" s="147"/>
      <c r="N32" s="569">
        <v>6</v>
      </c>
      <c r="O32" s="312">
        <v>1005</v>
      </c>
      <c r="P32" s="305" t="s">
        <v>109</v>
      </c>
      <c r="Q32" s="306" t="s">
        <v>109</v>
      </c>
      <c r="R32" s="151">
        <f t="shared" si="8"/>
        <v>0</v>
      </c>
    </row>
    <row r="33" spans="1:21" ht="13.5" thickBot="1" x14ac:dyDescent="0.25">
      <c r="A33" s="1251"/>
      <c r="B33" s="574">
        <v>7</v>
      </c>
      <c r="C33" s="314">
        <v>40</v>
      </c>
      <c r="D33" s="575">
        <v>-0.7</v>
      </c>
      <c r="E33" s="314">
        <v>-0.5</v>
      </c>
      <c r="F33" s="153">
        <f t="shared" si="6"/>
        <v>9.9999999999999978E-2</v>
      </c>
      <c r="G33" s="152"/>
      <c r="H33" s="574">
        <v>7</v>
      </c>
      <c r="I33" s="314">
        <v>90</v>
      </c>
      <c r="J33" s="575">
        <v>-2</v>
      </c>
      <c r="K33" s="314">
        <v>0.9</v>
      </c>
      <c r="L33" s="153">
        <f t="shared" si="7"/>
        <v>1.45</v>
      </c>
      <c r="M33" s="152"/>
      <c r="N33" s="574">
        <v>7</v>
      </c>
      <c r="O33" s="313">
        <v>1020</v>
      </c>
      <c r="P33" s="315" t="s">
        <v>109</v>
      </c>
      <c r="Q33" s="575" t="s">
        <v>109</v>
      </c>
      <c r="R33" s="153">
        <f t="shared" si="8"/>
        <v>0</v>
      </c>
    </row>
    <row r="34" spans="1:21" ht="13.5" thickBot="1" x14ac:dyDescent="0.25">
      <c r="A34" s="150"/>
      <c r="B34" s="150"/>
      <c r="C34" s="147"/>
      <c r="D34" s="147"/>
      <c r="E34" s="147"/>
      <c r="F34" s="147"/>
      <c r="G34" s="147"/>
      <c r="H34" s="578"/>
      <c r="I34" s="147"/>
      <c r="J34" s="147"/>
      <c r="K34" s="147"/>
      <c r="L34" s="147"/>
      <c r="M34" s="147"/>
      <c r="N34" s="147"/>
      <c r="O34" s="576"/>
      <c r="P34" s="16"/>
    </row>
    <row r="35" spans="1:21" ht="13.5" thickBot="1" x14ac:dyDescent="0.25">
      <c r="A35" s="1227">
        <v>4</v>
      </c>
      <c r="B35" s="1230" t="s">
        <v>206</v>
      </c>
      <c r="C35" s="1231"/>
      <c r="D35" s="1231"/>
      <c r="E35" s="1231"/>
      <c r="F35" s="1232"/>
      <c r="G35" s="148"/>
      <c r="H35" s="1230" t="str">
        <f>B35</f>
        <v>KOREKSI KIMO THERMOHYGROMETER 15062872</v>
      </c>
      <c r="I35" s="1231"/>
      <c r="J35" s="1231"/>
      <c r="K35" s="1231"/>
      <c r="L35" s="1232"/>
      <c r="M35" s="148"/>
      <c r="N35" s="1230" t="str">
        <f>H35</f>
        <v>KOREKSI KIMO THERMOHYGROMETER 15062872</v>
      </c>
      <c r="O35" s="1231"/>
      <c r="P35" s="1231"/>
      <c r="Q35" s="1231"/>
      <c r="R35" s="1232"/>
    </row>
    <row r="36" spans="1:21" ht="13.5" thickBot="1" x14ac:dyDescent="0.25">
      <c r="A36" s="1228"/>
      <c r="B36" s="1233" t="s">
        <v>196</v>
      </c>
      <c r="C36" s="1234"/>
      <c r="D36" s="1235" t="s">
        <v>197</v>
      </c>
      <c r="E36" s="1236"/>
      <c r="F36" s="1237" t="s">
        <v>198</v>
      </c>
      <c r="G36" s="147"/>
      <c r="H36" s="1233" t="s">
        <v>199</v>
      </c>
      <c r="I36" s="1234"/>
      <c r="J36" s="1235" t="s">
        <v>197</v>
      </c>
      <c r="K36" s="1236"/>
      <c r="L36" s="1237" t="s">
        <v>198</v>
      </c>
      <c r="M36" s="147"/>
      <c r="N36" s="1233" t="s">
        <v>200</v>
      </c>
      <c r="O36" s="1234"/>
      <c r="P36" s="1235" t="s">
        <v>197</v>
      </c>
      <c r="Q36" s="1236"/>
      <c r="R36" s="1237" t="s">
        <v>198</v>
      </c>
      <c r="T36" s="1260" t="s">
        <v>195</v>
      </c>
      <c r="U36" s="1261"/>
    </row>
    <row r="37" spans="1:21" ht="15.75" thickBot="1" x14ac:dyDescent="0.25">
      <c r="A37" s="1228"/>
      <c r="B37" s="1239" t="s">
        <v>201</v>
      </c>
      <c r="C37" s="1240"/>
      <c r="D37" s="307">
        <v>2017</v>
      </c>
      <c r="E37" s="307">
        <v>2015</v>
      </c>
      <c r="F37" s="1238"/>
      <c r="G37" s="147"/>
      <c r="H37" s="1241" t="s">
        <v>202</v>
      </c>
      <c r="I37" s="1242"/>
      <c r="J37" s="154">
        <f>D37</f>
        <v>2017</v>
      </c>
      <c r="K37" s="154">
        <f>E37</f>
        <v>2015</v>
      </c>
      <c r="L37" s="1238"/>
      <c r="M37" s="147"/>
      <c r="N37" s="1241" t="s">
        <v>203</v>
      </c>
      <c r="O37" s="1242"/>
      <c r="P37" s="154">
        <f>J37</f>
        <v>2017</v>
      </c>
      <c r="Q37" s="154">
        <f>K37</f>
        <v>2015</v>
      </c>
      <c r="R37" s="1238"/>
      <c r="T37" s="567" t="s">
        <v>196</v>
      </c>
      <c r="U37" s="577">
        <v>0.6</v>
      </c>
    </row>
    <row r="38" spans="1:21" x14ac:dyDescent="0.2">
      <c r="A38" s="1228"/>
      <c r="B38" s="569">
        <v>1</v>
      </c>
      <c r="C38" s="308">
        <v>15</v>
      </c>
      <c r="D38" s="309">
        <v>-0.1</v>
      </c>
      <c r="E38" s="310">
        <v>0.4</v>
      </c>
      <c r="F38" s="149">
        <f t="shared" ref="F38:F44" si="9">0.5*(MAX(D38:E38)-MIN(D38:E38))</f>
        <v>0.25</v>
      </c>
      <c r="G38" s="147"/>
      <c r="H38" s="569">
        <v>1</v>
      </c>
      <c r="I38" s="308">
        <v>35</v>
      </c>
      <c r="J38" s="309">
        <v>-1.7</v>
      </c>
      <c r="K38" s="310">
        <v>-0.8</v>
      </c>
      <c r="L38" s="149">
        <f t="shared" ref="L38:L44" si="10">0.5*(MAX(J38:K38)-MIN(J38:K38))</f>
        <v>0.44999999999999996</v>
      </c>
      <c r="M38" s="147"/>
      <c r="N38" s="569">
        <v>1</v>
      </c>
      <c r="O38" s="308">
        <v>750</v>
      </c>
      <c r="P38" s="570" t="s">
        <v>109</v>
      </c>
      <c r="Q38" s="570" t="s">
        <v>109</v>
      </c>
      <c r="R38" s="149">
        <f t="shared" ref="R38:R44" si="11">0.5*(MAX(P38:Q38)-MIN(P38:Q38))</f>
        <v>0</v>
      </c>
      <c r="T38" s="567" t="s">
        <v>202</v>
      </c>
      <c r="U38" s="577">
        <v>2.6</v>
      </c>
    </row>
    <row r="39" spans="1:21" ht="13.5" thickBot="1" x14ac:dyDescent="0.25">
      <c r="A39" s="1228"/>
      <c r="B39" s="569">
        <v>2</v>
      </c>
      <c r="C39" s="311">
        <v>20</v>
      </c>
      <c r="D39" s="303">
        <v>-0.3</v>
      </c>
      <c r="E39" s="302">
        <v>0</v>
      </c>
      <c r="F39" s="151">
        <f>0.5*(MAX(D39:E39)-MIN(D39:E39))</f>
        <v>0.15</v>
      </c>
      <c r="G39" s="147"/>
      <c r="H39" s="569">
        <v>2</v>
      </c>
      <c r="I39" s="311">
        <v>40</v>
      </c>
      <c r="J39" s="303">
        <v>-1.5</v>
      </c>
      <c r="K39" s="302">
        <v>-0.9</v>
      </c>
      <c r="L39" s="151">
        <f t="shared" si="10"/>
        <v>0.3</v>
      </c>
      <c r="M39" s="147"/>
      <c r="N39" s="569">
        <v>2</v>
      </c>
      <c r="O39" s="311">
        <v>800</v>
      </c>
      <c r="P39" s="573" t="s">
        <v>109</v>
      </c>
      <c r="Q39" s="573" t="s">
        <v>109</v>
      </c>
      <c r="R39" s="151">
        <f t="shared" si="11"/>
        <v>0</v>
      </c>
      <c r="T39" s="571" t="s">
        <v>203</v>
      </c>
      <c r="U39" s="572">
        <v>0</v>
      </c>
    </row>
    <row r="40" spans="1:21" x14ac:dyDescent="0.2">
      <c r="A40" s="1228"/>
      <c r="B40" s="569">
        <v>3</v>
      </c>
      <c r="C40" s="311">
        <v>25</v>
      </c>
      <c r="D40" s="303">
        <v>-0.5</v>
      </c>
      <c r="E40" s="302">
        <v>-0.5</v>
      </c>
      <c r="F40" s="151">
        <f t="shared" si="9"/>
        <v>0</v>
      </c>
      <c r="G40" s="147"/>
      <c r="H40" s="569">
        <v>3</v>
      </c>
      <c r="I40" s="311">
        <v>50</v>
      </c>
      <c r="J40" s="303">
        <v>-1</v>
      </c>
      <c r="K40" s="302">
        <v>-1</v>
      </c>
      <c r="L40" s="151">
        <f t="shared" si="10"/>
        <v>0</v>
      </c>
      <c r="M40" s="147"/>
      <c r="N40" s="569">
        <v>3</v>
      </c>
      <c r="O40" s="311">
        <v>850</v>
      </c>
      <c r="P40" s="573" t="s">
        <v>109</v>
      </c>
      <c r="Q40" s="573" t="s">
        <v>109</v>
      </c>
      <c r="R40" s="151">
        <f t="shared" si="11"/>
        <v>0</v>
      </c>
    </row>
    <row r="41" spans="1:21" x14ac:dyDescent="0.2">
      <c r="A41" s="1228"/>
      <c r="B41" s="569">
        <v>4</v>
      </c>
      <c r="C41" s="312">
        <v>30</v>
      </c>
      <c r="D41" s="305">
        <v>-0.6</v>
      </c>
      <c r="E41" s="304">
        <v>-1</v>
      </c>
      <c r="F41" s="151">
        <f t="shared" si="9"/>
        <v>0.2</v>
      </c>
      <c r="G41" s="147"/>
      <c r="H41" s="569">
        <v>4</v>
      </c>
      <c r="I41" s="312">
        <v>60</v>
      </c>
      <c r="J41" s="305">
        <v>-0.3</v>
      </c>
      <c r="K41" s="304">
        <v>-0.9</v>
      </c>
      <c r="L41" s="151">
        <f t="shared" si="10"/>
        <v>0.30000000000000004</v>
      </c>
      <c r="M41" s="147"/>
      <c r="N41" s="569">
        <v>4</v>
      </c>
      <c r="O41" s="312">
        <v>900</v>
      </c>
      <c r="P41" s="305" t="s">
        <v>109</v>
      </c>
      <c r="Q41" s="306" t="s">
        <v>109</v>
      </c>
      <c r="R41" s="151">
        <f t="shared" si="11"/>
        <v>0</v>
      </c>
    </row>
    <row r="42" spans="1:21" x14ac:dyDescent="0.2">
      <c r="A42" s="1228"/>
      <c r="B42" s="569">
        <v>5</v>
      </c>
      <c r="C42" s="312">
        <v>35</v>
      </c>
      <c r="D42" s="305">
        <v>-0.6</v>
      </c>
      <c r="E42" s="304">
        <v>-1.5</v>
      </c>
      <c r="F42" s="151">
        <f t="shared" si="9"/>
        <v>0.45</v>
      </c>
      <c r="G42" s="147"/>
      <c r="H42" s="569">
        <v>5</v>
      </c>
      <c r="I42" s="312">
        <v>70</v>
      </c>
      <c r="J42" s="305">
        <v>0.7</v>
      </c>
      <c r="K42" s="304">
        <v>-0.7</v>
      </c>
      <c r="L42" s="151">
        <f t="shared" si="10"/>
        <v>0.7</v>
      </c>
      <c r="M42" s="147"/>
      <c r="N42" s="569">
        <v>5</v>
      </c>
      <c r="O42" s="312">
        <v>1000</v>
      </c>
      <c r="P42" s="305" t="s">
        <v>109</v>
      </c>
      <c r="Q42" s="306" t="s">
        <v>109</v>
      </c>
      <c r="R42" s="151">
        <f t="shared" si="11"/>
        <v>0</v>
      </c>
    </row>
    <row r="43" spans="1:21" x14ac:dyDescent="0.2">
      <c r="A43" s="1228"/>
      <c r="B43" s="569">
        <v>6</v>
      </c>
      <c r="C43" s="312">
        <v>37</v>
      </c>
      <c r="D43" s="305">
        <v>-0.6</v>
      </c>
      <c r="E43" s="304">
        <v>-1.8</v>
      </c>
      <c r="F43" s="151">
        <f t="shared" si="9"/>
        <v>0.60000000000000009</v>
      </c>
      <c r="G43" s="147"/>
      <c r="H43" s="569">
        <v>6</v>
      </c>
      <c r="I43" s="312">
        <v>80</v>
      </c>
      <c r="J43" s="305">
        <v>1.9</v>
      </c>
      <c r="K43" s="304">
        <v>-0.4</v>
      </c>
      <c r="L43" s="151">
        <f t="shared" si="10"/>
        <v>1.1499999999999999</v>
      </c>
      <c r="M43" s="147"/>
      <c r="N43" s="569">
        <v>6</v>
      </c>
      <c r="O43" s="312">
        <v>1005</v>
      </c>
      <c r="P43" s="305" t="s">
        <v>109</v>
      </c>
      <c r="Q43" s="306" t="s">
        <v>109</v>
      </c>
      <c r="R43" s="151">
        <f t="shared" si="11"/>
        <v>0</v>
      </c>
    </row>
    <row r="44" spans="1:21" ht="13.5" thickBot="1" x14ac:dyDescent="0.25">
      <c r="A44" s="1229"/>
      <c r="B44" s="574">
        <v>7</v>
      </c>
      <c r="C44" s="313">
        <v>40</v>
      </c>
      <c r="D44" s="305">
        <v>-0.6</v>
      </c>
      <c r="E44" s="314">
        <v>-2.1</v>
      </c>
      <c r="F44" s="153">
        <f t="shared" si="9"/>
        <v>0.75</v>
      </c>
      <c r="G44" s="152"/>
      <c r="H44" s="574">
        <v>7</v>
      </c>
      <c r="I44" s="313">
        <v>90</v>
      </c>
      <c r="J44" s="315">
        <v>3.3</v>
      </c>
      <c r="K44" s="314">
        <v>0.2</v>
      </c>
      <c r="L44" s="153">
        <f t="shared" si="10"/>
        <v>1.5499999999999998</v>
      </c>
      <c r="M44" s="152"/>
      <c r="N44" s="574">
        <v>7</v>
      </c>
      <c r="O44" s="313">
        <v>1020</v>
      </c>
      <c r="P44" s="315" t="s">
        <v>109</v>
      </c>
      <c r="Q44" s="575" t="s">
        <v>109</v>
      </c>
      <c r="R44" s="153">
        <f t="shared" si="11"/>
        <v>0</v>
      </c>
    </row>
    <row r="45" spans="1:21" ht="13.5" thickBot="1" x14ac:dyDescent="0.25">
      <c r="A45" s="150"/>
      <c r="B45" s="150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576"/>
      <c r="P45" s="16"/>
    </row>
    <row r="46" spans="1:21" ht="13.5" thickBot="1" x14ac:dyDescent="0.25">
      <c r="A46" s="1227">
        <v>5</v>
      </c>
      <c r="B46" s="1230" t="s">
        <v>207</v>
      </c>
      <c r="C46" s="1231"/>
      <c r="D46" s="1231"/>
      <c r="E46" s="1231"/>
      <c r="F46" s="1232"/>
      <c r="G46" s="148"/>
      <c r="H46" s="1230" t="str">
        <f>B46</f>
        <v>KOREKSI KIMO THERMOHYGROMETER 15062875</v>
      </c>
      <c r="I46" s="1231"/>
      <c r="J46" s="1231"/>
      <c r="K46" s="1231"/>
      <c r="L46" s="1232"/>
      <c r="M46" s="148"/>
      <c r="N46" s="1230" t="str">
        <f>H46</f>
        <v>KOREKSI KIMO THERMOHYGROMETER 15062875</v>
      </c>
      <c r="O46" s="1231"/>
      <c r="P46" s="1231"/>
      <c r="Q46" s="1231"/>
      <c r="R46" s="1232"/>
      <c r="T46" s="1260" t="s">
        <v>195</v>
      </c>
      <c r="U46" s="1261"/>
    </row>
    <row r="47" spans="1:21" ht="13.5" thickBot="1" x14ac:dyDescent="0.25">
      <c r="A47" s="1228"/>
      <c r="B47" s="1233" t="s">
        <v>196</v>
      </c>
      <c r="C47" s="1234"/>
      <c r="D47" s="1235" t="s">
        <v>197</v>
      </c>
      <c r="E47" s="1236"/>
      <c r="F47" s="1237" t="s">
        <v>198</v>
      </c>
      <c r="G47" s="147"/>
      <c r="H47" s="1233" t="s">
        <v>199</v>
      </c>
      <c r="I47" s="1234"/>
      <c r="J47" s="1235" t="s">
        <v>197</v>
      </c>
      <c r="K47" s="1236"/>
      <c r="L47" s="1237" t="s">
        <v>198</v>
      </c>
      <c r="M47" s="147"/>
      <c r="N47" s="1233" t="s">
        <v>200</v>
      </c>
      <c r="O47" s="1234"/>
      <c r="P47" s="1235" t="s">
        <v>197</v>
      </c>
      <c r="Q47" s="1236"/>
      <c r="R47" s="1237" t="s">
        <v>198</v>
      </c>
      <c r="T47" s="567" t="s">
        <v>196</v>
      </c>
      <c r="U47" s="577">
        <v>0.3</v>
      </c>
    </row>
    <row r="48" spans="1:21" ht="15.75" thickBot="1" x14ac:dyDescent="0.25">
      <c r="A48" s="1228"/>
      <c r="B48" s="1239" t="s">
        <v>201</v>
      </c>
      <c r="C48" s="1240"/>
      <c r="D48" s="307">
        <v>2017</v>
      </c>
      <c r="E48" s="307">
        <v>2015</v>
      </c>
      <c r="F48" s="1238"/>
      <c r="G48" s="147"/>
      <c r="H48" s="1241" t="s">
        <v>202</v>
      </c>
      <c r="I48" s="1242"/>
      <c r="J48" s="154">
        <f>D48</f>
        <v>2017</v>
      </c>
      <c r="K48" s="154">
        <f>E48</f>
        <v>2015</v>
      </c>
      <c r="L48" s="1238"/>
      <c r="M48" s="147"/>
      <c r="N48" s="1241" t="s">
        <v>203</v>
      </c>
      <c r="O48" s="1242"/>
      <c r="P48" s="154">
        <f>J48</f>
        <v>2017</v>
      </c>
      <c r="Q48" s="154">
        <f>K48</f>
        <v>2015</v>
      </c>
      <c r="R48" s="1238"/>
      <c r="T48" s="567" t="s">
        <v>202</v>
      </c>
      <c r="U48" s="577">
        <v>3.2</v>
      </c>
    </row>
    <row r="49" spans="1:21" ht="13.5" thickBot="1" x14ac:dyDescent="0.25">
      <c r="A49" s="1228"/>
      <c r="B49" s="569">
        <v>1</v>
      </c>
      <c r="C49" s="308">
        <v>15</v>
      </c>
      <c r="D49" s="309">
        <v>0.3</v>
      </c>
      <c r="E49" s="310">
        <v>0.4</v>
      </c>
      <c r="F49" s="149">
        <f t="shared" ref="F49:F55" si="12">0.5*(MAX(D49:E49)-MIN(D49:E49))</f>
        <v>5.0000000000000017E-2</v>
      </c>
      <c r="G49" s="147"/>
      <c r="H49" s="569">
        <v>1</v>
      </c>
      <c r="I49" s="308">
        <v>35</v>
      </c>
      <c r="J49" s="309">
        <v>-9.6</v>
      </c>
      <c r="K49" s="310">
        <v>-1.6</v>
      </c>
      <c r="L49" s="149">
        <f t="shared" ref="L49:L55" si="13">0.5*(MAX(J49:K49)-MIN(J49:K49))</f>
        <v>4</v>
      </c>
      <c r="M49" s="147"/>
      <c r="N49" s="569">
        <v>1</v>
      </c>
      <c r="O49" s="308">
        <v>750</v>
      </c>
      <c r="P49" s="570" t="s">
        <v>109</v>
      </c>
      <c r="Q49" s="570" t="s">
        <v>109</v>
      </c>
      <c r="R49" s="149">
        <f t="shared" ref="R49:R55" si="14">0.5*(MAX(P49:Q49)-MIN(P49:Q49))</f>
        <v>0</v>
      </c>
      <c r="T49" s="571" t="s">
        <v>203</v>
      </c>
      <c r="U49" s="572">
        <v>0</v>
      </c>
    </row>
    <row r="50" spans="1:21" x14ac:dyDescent="0.2">
      <c r="A50" s="1228"/>
      <c r="B50" s="569">
        <v>2</v>
      </c>
      <c r="C50" s="311">
        <v>20</v>
      </c>
      <c r="D50" s="303">
        <v>0.3</v>
      </c>
      <c r="E50" s="302">
        <v>0</v>
      </c>
      <c r="F50" s="151">
        <f t="shared" si="12"/>
        <v>0.15</v>
      </c>
      <c r="G50" s="147"/>
      <c r="H50" s="569">
        <v>2</v>
      </c>
      <c r="I50" s="311">
        <v>40</v>
      </c>
      <c r="J50" s="303">
        <v>-8</v>
      </c>
      <c r="K50" s="302">
        <v>-1.8</v>
      </c>
      <c r="L50" s="151">
        <f t="shared" si="13"/>
        <v>3.1</v>
      </c>
      <c r="M50" s="147"/>
      <c r="N50" s="569">
        <v>2</v>
      </c>
      <c r="O50" s="311">
        <v>800</v>
      </c>
      <c r="P50" s="573" t="s">
        <v>109</v>
      </c>
      <c r="Q50" s="573" t="s">
        <v>109</v>
      </c>
      <c r="R50" s="151">
        <f t="shared" si="14"/>
        <v>0</v>
      </c>
    </row>
    <row r="51" spans="1:21" x14ac:dyDescent="0.2">
      <c r="A51" s="1228"/>
      <c r="B51" s="569">
        <v>3</v>
      </c>
      <c r="C51" s="311">
        <v>25</v>
      </c>
      <c r="D51" s="303">
        <v>0.2</v>
      </c>
      <c r="E51" s="302">
        <v>-0.3</v>
      </c>
      <c r="F51" s="151">
        <f t="shared" si="12"/>
        <v>0.25</v>
      </c>
      <c r="G51" s="147"/>
      <c r="H51" s="569">
        <v>3</v>
      </c>
      <c r="I51" s="311">
        <v>50</v>
      </c>
      <c r="J51" s="303">
        <v>-6.2</v>
      </c>
      <c r="K51" s="302">
        <v>-2.1</v>
      </c>
      <c r="L51" s="151">
        <f t="shared" si="13"/>
        <v>2.0499999999999998</v>
      </c>
      <c r="M51" s="147"/>
      <c r="N51" s="569">
        <v>3</v>
      </c>
      <c r="O51" s="311">
        <v>850</v>
      </c>
      <c r="P51" s="573" t="s">
        <v>109</v>
      </c>
      <c r="Q51" s="573" t="s">
        <v>109</v>
      </c>
      <c r="R51" s="151">
        <f t="shared" si="14"/>
        <v>0</v>
      </c>
    </row>
    <row r="52" spans="1:21" x14ac:dyDescent="0.2">
      <c r="A52" s="1228"/>
      <c r="B52" s="569">
        <v>4</v>
      </c>
      <c r="C52" s="312">
        <v>30</v>
      </c>
      <c r="D52" s="305">
        <v>0.1</v>
      </c>
      <c r="E52" s="304">
        <v>-0.7</v>
      </c>
      <c r="F52" s="151">
        <f t="shared" si="12"/>
        <v>0.39999999999999997</v>
      </c>
      <c r="G52" s="147"/>
      <c r="H52" s="569">
        <v>4</v>
      </c>
      <c r="I52" s="312">
        <v>60</v>
      </c>
      <c r="J52" s="305">
        <v>-4.2</v>
      </c>
      <c r="K52" s="304">
        <v>-2</v>
      </c>
      <c r="L52" s="151">
        <f t="shared" si="13"/>
        <v>1.1000000000000001</v>
      </c>
      <c r="M52" s="147"/>
      <c r="N52" s="569">
        <v>4</v>
      </c>
      <c r="O52" s="312">
        <v>900</v>
      </c>
      <c r="P52" s="305" t="s">
        <v>109</v>
      </c>
      <c r="Q52" s="306" t="s">
        <v>109</v>
      </c>
      <c r="R52" s="151">
        <f t="shared" si="14"/>
        <v>0</v>
      </c>
    </row>
    <row r="53" spans="1:21" x14ac:dyDescent="0.2">
      <c r="A53" s="1228"/>
      <c r="B53" s="569">
        <v>5</v>
      </c>
      <c r="C53" s="312">
        <v>35</v>
      </c>
      <c r="D53" s="305">
        <v>0</v>
      </c>
      <c r="E53" s="304">
        <v>-1.1000000000000001</v>
      </c>
      <c r="F53" s="151">
        <f t="shared" si="12"/>
        <v>0.55000000000000004</v>
      </c>
      <c r="G53" s="147"/>
      <c r="H53" s="569">
        <v>5</v>
      </c>
      <c r="I53" s="312">
        <v>70</v>
      </c>
      <c r="J53" s="305">
        <v>-2.1</v>
      </c>
      <c r="K53" s="304">
        <v>-1.6</v>
      </c>
      <c r="L53" s="151">
        <f t="shared" si="13"/>
        <v>0.25</v>
      </c>
      <c r="M53" s="147"/>
      <c r="N53" s="569">
        <v>5</v>
      </c>
      <c r="O53" s="312">
        <v>1000</v>
      </c>
      <c r="P53" s="305" t="s">
        <v>109</v>
      </c>
      <c r="Q53" s="306" t="s">
        <v>109</v>
      </c>
      <c r="R53" s="151">
        <f t="shared" si="14"/>
        <v>0</v>
      </c>
    </row>
    <row r="54" spans="1:21" x14ac:dyDescent="0.2">
      <c r="A54" s="1228"/>
      <c r="B54" s="569">
        <v>6</v>
      </c>
      <c r="C54" s="312">
        <v>37</v>
      </c>
      <c r="D54" s="305">
        <v>0</v>
      </c>
      <c r="E54" s="304">
        <v>-1.2</v>
      </c>
      <c r="F54" s="151">
        <f t="shared" si="12"/>
        <v>0.6</v>
      </c>
      <c r="G54" s="147"/>
      <c r="H54" s="569">
        <v>6</v>
      </c>
      <c r="I54" s="312">
        <v>80</v>
      </c>
      <c r="J54" s="305">
        <v>0.2</v>
      </c>
      <c r="K54" s="304">
        <v>-0.9</v>
      </c>
      <c r="L54" s="151">
        <f t="shared" si="13"/>
        <v>0.55000000000000004</v>
      </c>
      <c r="M54" s="147"/>
      <c r="N54" s="569">
        <v>6</v>
      </c>
      <c r="O54" s="312">
        <v>1005</v>
      </c>
      <c r="P54" s="305" t="s">
        <v>109</v>
      </c>
      <c r="Q54" s="306" t="s">
        <v>109</v>
      </c>
      <c r="R54" s="151">
        <f t="shared" si="14"/>
        <v>0</v>
      </c>
    </row>
    <row r="55" spans="1:21" ht="13.5" thickBot="1" x14ac:dyDescent="0.25">
      <c r="A55" s="1229"/>
      <c r="B55" s="574">
        <v>7</v>
      </c>
      <c r="C55" s="313">
        <v>40</v>
      </c>
      <c r="D55" s="315">
        <v>-0.1</v>
      </c>
      <c r="E55" s="314">
        <v>-1.5</v>
      </c>
      <c r="F55" s="153">
        <f t="shared" si="12"/>
        <v>0.7</v>
      </c>
      <c r="G55" s="152"/>
      <c r="H55" s="574">
        <v>7</v>
      </c>
      <c r="I55" s="313">
        <v>90</v>
      </c>
      <c r="J55" s="315">
        <v>2.7</v>
      </c>
      <c r="K55" s="314">
        <v>0.2</v>
      </c>
      <c r="L55" s="153">
        <f t="shared" si="13"/>
        <v>1.25</v>
      </c>
      <c r="M55" s="152"/>
      <c r="N55" s="574">
        <v>7</v>
      </c>
      <c r="O55" s="313">
        <v>1020</v>
      </c>
      <c r="P55" s="315" t="s">
        <v>109</v>
      </c>
      <c r="Q55" s="575" t="s">
        <v>109</v>
      </c>
      <c r="R55" s="153">
        <f t="shared" si="14"/>
        <v>0</v>
      </c>
    </row>
    <row r="56" spans="1:21" ht="13.5" thickBot="1" x14ac:dyDescent="0.25">
      <c r="A56" s="155"/>
      <c r="B56" s="156"/>
      <c r="C56" s="156"/>
      <c r="D56" s="156"/>
      <c r="E56" s="157"/>
      <c r="F56" s="158"/>
      <c r="G56" s="159"/>
      <c r="H56" s="156"/>
      <c r="I56" s="156"/>
      <c r="J56" s="156"/>
      <c r="K56" s="157"/>
      <c r="L56" s="158"/>
      <c r="M56" s="147"/>
      <c r="N56" s="147"/>
      <c r="O56" s="576"/>
      <c r="P56" s="16"/>
    </row>
    <row r="57" spans="1:21" ht="13.5" thickBot="1" x14ac:dyDescent="0.25">
      <c r="A57" s="1227">
        <v>6</v>
      </c>
      <c r="B57" s="1230" t="s">
        <v>208</v>
      </c>
      <c r="C57" s="1231"/>
      <c r="D57" s="1231"/>
      <c r="E57" s="1231"/>
      <c r="F57" s="1232"/>
      <c r="G57" s="148"/>
      <c r="H57" s="1230" t="str">
        <f>B57</f>
        <v>KOREKSI GREISINGER 34903046</v>
      </c>
      <c r="I57" s="1231"/>
      <c r="J57" s="1231"/>
      <c r="K57" s="1231"/>
      <c r="L57" s="1232"/>
      <c r="M57" s="148"/>
      <c r="N57" s="1230" t="str">
        <f>H57</f>
        <v>KOREKSI GREISINGER 34903046</v>
      </c>
      <c r="O57" s="1231"/>
      <c r="P57" s="1231"/>
      <c r="Q57" s="1231"/>
      <c r="R57" s="1232"/>
      <c r="T57" s="1260" t="s">
        <v>195</v>
      </c>
      <c r="U57" s="1261"/>
    </row>
    <row r="58" spans="1:21" ht="13.5" thickBot="1" x14ac:dyDescent="0.25">
      <c r="A58" s="1228"/>
      <c r="B58" s="1233" t="s">
        <v>196</v>
      </c>
      <c r="C58" s="1234"/>
      <c r="D58" s="1235" t="s">
        <v>197</v>
      </c>
      <c r="E58" s="1236"/>
      <c r="F58" s="1237" t="s">
        <v>198</v>
      </c>
      <c r="G58" s="147"/>
      <c r="H58" s="1233" t="s">
        <v>199</v>
      </c>
      <c r="I58" s="1234"/>
      <c r="J58" s="1235" t="s">
        <v>197</v>
      </c>
      <c r="K58" s="1236"/>
      <c r="L58" s="1237" t="s">
        <v>198</v>
      </c>
      <c r="M58" s="147"/>
      <c r="N58" s="1233" t="s">
        <v>200</v>
      </c>
      <c r="O58" s="1234"/>
      <c r="P58" s="1235" t="s">
        <v>197</v>
      </c>
      <c r="Q58" s="1236"/>
      <c r="R58" s="1237" t="s">
        <v>198</v>
      </c>
      <c r="T58" s="567" t="s">
        <v>196</v>
      </c>
      <c r="U58" s="577">
        <v>0.5</v>
      </c>
    </row>
    <row r="59" spans="1:21" ht="15.75" thickBot="1" x14ac:dyDescent="0.25">
      <c r="A59" s="1228"/>
      <c r="B59" s="1239" t="s">
        <v>201</v>
      </c>
      <c r="C59" s="1240"/>
      <c r="D59" s="307">
        <v>2018</v>
      </c>
      <c r="E59" s="307">
        <v>2017</v>
      </c>
      <c r="F59" s="1238"/>
      <c r="G59" s="147"/>
      <c r="H59" s="1241" t="s">
        <v>202</v>
      </c>
      <c r="I59" s="1242"/>
      <c r="J59" s="154">
        <f>D59</f>
        <v>2018</v>
      </c>
      <c r="K59" s="154">
        <f>E59</f>
        <v>2017</v>
      </c>
      <c r="L59" s="1238"/>
      <c r="M59" s="147"/>
      <c r="N59" s="1241" t="s">
        <v>203</v>
      </c>
      <c r="O59" s="1242"/>
      <c r="P59" s="154">
        <f>J59</f>
        <v>2018</v>
      </c>
      <c r="Q59" s="154">
        <f>K59</f>
        <v>2017</v>
      </c>
      <c r="R59" s="1238"/>
      <c r="T59" s="567" t="s">
        <v>202</v>
      </c>
      <c r="U59" s="568">
        <v>2</v>
      </c>
    </row>
    <row r="60" spans="1:21" ht="13.5" thickBot="1" x14ac:dyDescent="0.25">
      <c r="A60" s="1228"/>
      <c r="B60" s="569">
        <v>1</v>
      </c>
      <c r="C60" s="308">
        <v>15</v>
      </c>
      <c r="D60" s="310">
        <v>0.4</v>
      </c>
      <c r="E60" s="310">
        <v>-0.2</v>
      </c>
      <c r="F60" s="149">
        <f t="shared" ref="F60:F66" si="15">0.5*(MAX(D60:E60)-MIN(D60:E60))</f>
        <v>0.30000000000000004</v>
      </c>
      <c r="G60" s="147"/>
      <c r="H60" s="569">
        <v>1</v>
      </c>
      <c r="I60" s="308">
        <v>30</v>
      </c>
      <c r="J60" s="310">
        <v>1.7</v>
      </c>
      <c r="K60" s="310">
        <v>-4.9000000000000004</v>
      </c>
      <c r="L60" s="149">
        <f t="shared" ref="L60:L66" si="16">0.5*(MAX(J60:K60)-MIN(J60:K60))</f>
        <v>3.3000000000000003</v>
      </c>
      <c r="M60" s="147"/>
      <c r="N60" s="569">
        <v>1</v>
      </c>
      <c r="O60" s="308">
        <v>750</v>
      </c>
      <c r="P60" s="310">
        <v>2.1</v>
      </c>
      <c r="Q60" s="570" t="s">
        <v>109</v>
      </c>
      <c r="R60" s="149">
        <f t="shared" ref="R60:R66" si="17">0.5*(MAX(P60:Q60)-MIN(P60:Q60))</f>
        <v>0</v>
      </c>
      <c r="T60" s="571" t="s">
        <v>203</v>
      </c>
      <c r="U60" s="579">
        <v>1.8</v>
      </c>
    </row>
    <row r="61" spans="1:21" x14ac:dyDescent="0.2">
      <c r="A61" s="1228"/>
      <c r="B61" s="569">
        <v>2</v>
      </c>
      <c r="C61" s="311">
        <v>20</v>
      </c>
      <c r="D61" s="302">
        <v>0.2</v>
      </c>
      <c r="E61" s="302">
        <v>0</v>
      </c>
      <c r="F61" s="151">
        <f t="shared" si="15"/>
        <v>0.1</v>
      </c>
      <c r="G61" s="147"/>
      <c r="H61" s="569">
        <v>2</v>
      </c>
      <c r="I61" s="311">
        <v>40</v>
      </c>
      <c r="J61" s="302">
        <v>1.5</v>
      </c>
      <c r="K61" s="302">
        <v>-3.4</v>
      </c>
      <c r="L61" s="151">
        <f t="shared" si="16"/>
        <v>2.4500000000000002</v>
      </c>
      <c r="M61" s="147"/>
      <c r="N61" s="569">
        <v>2</v>
      </c>
      <c r="O61" s="311">
        <v>800</v>
      </c>
      <c r="P61" s="302">
        <v>1.6</v>
      </c>
      <c r="Q61" s="573" t="s">
        <v>109</v>
      </c>
      <c r="R61" s="151">
        <f t="shared" si="17"/>
        <v>0</v>
      </c>
    </row>
    <row r="62" spans="1:21" x14ac:dyDescent="0.2">
      <c r="A62" s="1228"/>
      <c r="B62" s="569">
        <v>3</v>
      </c>
      <c r="C62" s="311">
        <v>25</v>
      </c>
      <c r="D62" s="302">
        <v>-0.1</v>
      </c>
      <c r="E62" s="302">
        <v>0.1</v>
      </c>
      <c r="F62" s="151">
        <f t="shared" si="15"/>
        <v>0.1</v>
      </c>
      <c r="G62" s="147"/>
      <c r="H62" s="569">
        <v>3</v>
      </c>
      <c r="I62" s="311">
        <v>50</v>
      </c>
      <c r="J62" s="302">
        <v>1.2</v>
      </c>
      <c r="K62" s="302">
        <v>-2.5</v>
      </c>
      <c r="L62" s="151">
        <f t="shared" si="16"/>
        <v>1.85</v>
      </c>
      <c r="M62" s="147"/>
      <c r="N62" s="569">
        <v>3</v>
      </c>
      <c r="O62" s="311">
        <v>850</v>
      </c>
      <c r="P62" s="302">
        <v>1.1000000000000001</v>
      </c>
      <c r="Q62" s="573" t="s">
        <v>109</v>
      </c>
      <c r="R62" s="151">
        <f t="shared" si="17"/>
        <v>0</v>
      </c>
    </row>
    <row r="63" spans="1:21" x14ac:dyDescent="0.2">
      <c r="A63" s="1228"/>
      <c r="B63" s="569">
        <v>4</v>
      </c>
      <c r="C63" s="312">
        <v>30</v>
      </c>
      <c r="D63" s="304">
        <v>-0.5</v>
      </c>
      <c r="E63" s="304">
        <v>0.13</v>
      </c>
      <c r="F63" s="151">
        <f t="shared" si="15"/>
        <v>0.315</v>
      </c>
      <c r="G63" s="147"/>
      <c r="H63" s="569">
        <v>4</v>
      </c>
      <c r="I63" s="312">
        <v>60</v>
      </c>
      <c r="J63" s="304">
        <v>1.1000000000000001</v>
      </c>
      <c r="K63" s="304">
        <v>-2</v>
      </c>
      <c r="L63" s="151">
        <f t="shared" si="16"/>
        <v>1.55</v>
      </c>
      <c r="M63" s="147"/>
      <c r="N63" s="569">
        <v>4</v>
      </c>
      <c r="O63" s="312">
        <v>900</v>
      </c>
      <c r="P63" s="304">
        <v>0.7</v>
      </c>
      <c r="Q63" s="306" t="s">
        <v>109</v>
      </c>
      <c r="R63" s="151">
        <f t="shared" si="17"/>
        <v>0</v>
      </c>
    </row>
    <row r="64" spans="1:21" x14ac:dyDescent="0.2">
      <c r="A64" s="1228"/>
      <c r="B64" s="569">
        <v>5</v>
      </c>
      <c r="C64" s="312">
        <v>35</v>
      </c>
      <c r="D64" s="304">
        <v>-0.9</v>
      </c>
      <c r="E64" s="304">
        <v>0.1</v>
      </c>
      <c r="F64" s="151">
        <f t="shared" si="15"/>
        <v>0.5</v>
      </c>
      <c r="G64" s="147"/>
      <c r="H64" s="569">
        <v>5</v>
      </c>
      <c r="I64" s="312">
        <v>70</v>
      </c>
      <c r="J64" s="304">
        <v>0.9</v>
      </c>
      <c r="K64" s="304">
        <v>-2.1</v>
      </c>
      <c r="L64" s="151">
        <f t="shared" si="16"/>
        <v>1.5</v>
      </c>
      <c r="M64" s="147"/>
      <c r="N64" s="569">
        <v>5</v>
      </c>
      <c r="O64" s="312">
        <v>1000</v>
      </c>
      <c r="P64" s="304">
        <v>-0.3</v>
      </c>
      <c r="Q64" s="306" t="s">
        <v>109</v>
      </c>
      <c r="R64" s="151">
        <f t="shared" si="17"/>
        <v>0</v>
      </c>
    </row>
    <row r="65" spans="1:21" x14ac:dyDescent="0.2">
      <c r="A65" s="1228"/>
      <c r="B65" s="569">
        <v>6</v>
      </c>
      <c r="C65" s="312">
        <v>37</v>
      </c>
      <c r="D65" s="304">
        <v>-1.1000000000000001</v>
      </c>
      <c r="E65" s="304">
        <v>0</v>
      </c>
      <c r="F65" s="151">
        <f t="shared" si="15"/>
        <v>0.55000000000000004</v>
      </c>
      <c r="G65" s="147"/>
      <c r="H65" s="569">
        <v>6</v>
      </c>
      <c r="I65" s="312">
        <v>80</v>
      </c>
      <c r="J65" s="304">
        <v>0.8</v>
      </c>
      <c r="K65" s="304">
        <v>-2.6</v>
      </c>
      <c r="L65" s="151">
        <f t="shared" si="16"/>
        <v>1.7000000000000002</v>
      </c>
      <c r="M65" s="147"/>
      <c r="N65" s="569">
        <v>6</v>
      </c>
      <c r="O65" s="312">
        <v>1005</v>
      </c>
      <c r="P65" s="304">
        <v>-0.3</v>
      </c>
      <c r="Q65" s="306" t="s">
        <v>109</v>
      </c>
      <c r="R65" s="151">
        <f t="shared" si="17"/>
        <v>0</v>
      </c>
    </row>
    <row r="66" spans="1:21" ht="13.5" thickBot="1" x14ac:dyDescent="0.25">
      <c r="A66" s="1229"/>
      <c r="B66" s="574">
        <v>7</v>
      </c>
      <c r="C66" s="313">
        <v>40</v>
      </c>
      <c r="D66" s="314">
        <v>-1.4</v>
      </c>
      <c r="E66" s="314">
        <v>-0.1</v>
      </c>
      <c r="F66" s="153">
        <f t="shared" si="15"/>
        <v>0.64999999999999991</v>
      </c>
      <c r="G66" s="152"/>
      <c r="H66" s="574">
        <v>7</v>
      </c>
      <c r="I66" s="313">
        <v>90</v>
      </c>
      <c r="J66" s="314">
        <v>0.7</v>
      </c>
      <c r="K66" s="314">
        <v>-2.6</v>
      </c>
      <c r="L66" s="153">
        <f t="shared" si="16"/>
        <v>1.65</v>
      </c>
      <c r="M66" s="152"/>
      <c r="N66" s="574">
        <v>7</v>
      </c>
      <c r="O66" s="313">
        <v>1020</v>
      </c>
      <c r="P66" s="314">
        <v>0</v>
      </c>
      <c r="Q66" s="575" t="s">
        <v>109</v>
      </c>
      <c r="R66" s="153">
        <f t="shared" si="17"/>
        <v>0</v>
      </c>
    </row>
    <row r="67" spans="1:21" ht="13.5" thickBot="1" x14ac:dyDescent="0.25">
      <c r="A67" s="155"/>
      <c r="B67" s="156"/>
      <c r="C67" s="156"/>
      <c r="D67" s="156"/>
      <c r="E67" s="157"/>
      <c r="F67" s="158"/>
      <c r="G67" s="159"/>
      <c r="H67" s="156"/>
      <c r="I67" s="156"/>
      <c r="J67" s="156"/>
      <c r="K67" s="157"/>
      <c r="L67" s="158"/>
      <c r="M67" s="147"/>
      <c r="N67" s="147"/>
      <c r="O67" s="576"/>
      <c r="P67" s="16"/>
    </row>
    <row r="68" spans="1:21" ht="13.5" thickBot="1" x14ac:dyDescent="0.25">
      <c r="A68" s="1227">
        <v>7</v>
      </c>
      <c r="B68" s="1230" t="s">
        <v>209</v>
      </c>
      <c r="C68" s="1231"/>
      <c r="D68" s="1231"/>
      <c r="E68" s="1231"/>
      <c r="F68" s="1232"/>
      <c r="G68" s="148"/>
      <c r="H68" s="1230" t="str">
        <f>B68</f>
        <v>KOREKSI GREISINGER 34903053</v>
      </c>
      <c r="I68" s="1231"/>
      <c r="J68" s="1231"/>
      <c r="K68" s="1231"/>
      <c r="L68" s="1232"/>
      <c r="M68" s="148"/>
      <c r="N68" s="1230" t="str">
        <f>H68</f>
        <v>KOREKSI GREISINGER 34903053</v>
      </c>
      <c r="O68" s="1231"/>
      <c r="P68" s="1231"/>
      <c r="Q68" s="1231"/>
      <c r="R68" s="1232"/>
      <c r="T68" s="1260" t="s">
        <v>195</v>
      </c>
      <c r="U68" s="1261"/>
    </row>
    <row r="69" spans="1:21" ht="13.5" thickBot="1" x14ac:dyDescent="0.25">
      <c r="A69" s="1228"/>
      <c r="B69" s="1233" t="s">
        <v>196</v>
      </c>
      <c r="C69" s="1234"/>
      <c r="D69" s="1235" t="s">
        <v>197</v>
      </c>
      <c r="E69" s="1236"/>
      <c r="F69" s="1237" t="s">
        <v>198</v>
      </c>
      <c r="G69" s="147"/>
      <c r="H69" s="1233" t="s">
        <v>199</v>
      </c>
      <c r="I69" s="1234"/>
      <c r="J69" s="1235" t="s">
        <v>197</v>
      </c>
      <c r="K69" s="1236"/>
      <c r="L69" s="1237" t="s">
        <v>198</v>
      </c>
      <c r="M69" s="147"/>
      <c r="N69" s="1233" t="s">
        <v>200</v>
      </c>
      <c r="O69" s="1234"/>
      <c r="P69" s="1235" t="s">
        <v>197</v>
      </c>
      <c r="Q69" s="1236"/>
      <c r="R69" s="1237" t="s">
        <v>198</v>
      </c>
      <c r="T69" s="567" t="s">
        <v>196</v>
      </c>
      <c r="U69" s="577">
        <v>0.3</v>
      </c>
    </row>
    <row r="70" spans="1:21" ht="15.75" thickBot="1" x14ac:dyDescent="0.25">
      <c r="A70" s="1228"/>
      <c r="B70" s="1239" t="s">
        <v>201</v>
      </c>
      <c r="C70" s="1240"/>
      <c r="D70" s="307">
        <v>2018</v>
      </c>
      <c r="E70" s="307">
        <v>2017</v>
      </c>
      <c r="F70" s="1238"/>
      <c r="G70" s="147"/>
      <c r="H70" s="1241" t="s">
        <v>202</v>
      </c>
      <c r="I70" s="1242"/>
      <c r="J70" s="154">
        <f>D70</f>
        <v>2018</v>
      </c>
      <c r="K70" s="154">
        <f>E70</f>
        <v>2017</v>
      </c>
      <c r="L70" s="1238"/>
      <c r="M70" s="147"/>
      <c r="N70" s="1241" t="s">
        <v>203</v>
      </c>
      <c r="O70" s="1242"/>
      <c r="P70" s="154">
        <f>J70</f>
        <v>2018</v>
      </c>
      <c r="Q70" s="154">
        <f>K70</f>
        <v>2017</v>
      </c>
      <c r="R70" s="1238"/>
      <c r="T70" s="567" t="s">
        <v>202</v>
      </c>
      <c r="U70" s="577">
        <v>2.2999999999999998</v>
      </c>
    </row>
    <row r="71" spans="1:21" ht="13.5" thickBot="1" x14ac:dyDescent="0.25">
      <c r="A71" s="1228"/>
      <c r="B71" s="569">
        <v>1</v>
      </c>
      <c r="C71" s="308">
        <v>15</v>
      </c>
      <c r="D71" s="310">
        <v>0.3</v>
      </c>
      <c r="E71" s="310">
        <v>0.2</v>
      </c>
      <c r="F71" s="149">
        <f t="shared" ref="F71:F77" si="18">0.5*(MAX(D71:E71)-MIN(D71:E71))</f>
        <v>4.9999999999999989E-2</v>
      </c>
      <c r="G71" s="147"/>
      <c r="H71" s="569">
        <v>1</v>
      </c>
      <c r="I71" s="308">
        <v>30</v>
      </c>
      <c r="J71" s="310">
        <v>1.8</v>
      </c>
      <c r="K71" s="310">
        <v>-0.1</v>
      </c>
      <c r="L71" s="149">
        <f t="shared" ref="L71:L77" si="19">0.5*(MAX(J71:K71)-MIN(J71:K71))</f>
        <v>0.95000000000000007</v>
      </c>
      <c r="M71" s="147"/>
      <c r="N71" s="569">
        <v>1</v>
      </c>
      <c r="O71" s="308">
        <v>750</v>
      </c>
      <c r="P71" s="310">
        <v>3.2</v>
      </c>
      <c r="Q71" s="570" t="s">
        <v>109</v>
      </c>
      <c r="R71" s="149">
        <f t="shared" ref="R71:R77" si="20">0.5*(MAX(P71:Q71)-MIN(P71:Q71))</f>
        <v>0</v>
      </c>
      <c r="T71" s="571" t="s">
        <v>203</v>
      </c>
      <c r="U71" s="579">
        <v>1.6</v>
      </c>
    </row>
    <row r="72" spans="1:21" x14ac:dyDescent="0.2">
      <c r="A72" s="1228"/>
      <c r="B72" s="569">
        <v>2</v>
      </c>
      <c r="C72" s="311">
        <v>20</v>
      </c>
      <c r="D72" s="302">
        <v>0.1</v>
      </c>
      <c r="E72" s="302">
        <v>0.1</v>
      </c>
      <c r="F72" s="151">
        <f t="shared" si="18"/>
        <v>0</v>
      </c>
      <c r="G72" s="147"/>
      <c r="H72" s="569">
        <v>2</v>
      </c>
      <c r="I72" s="311">
        <v>40</v>
      </c>
      <c r="J72" s="302">
        <v>1.2</v>
      </c>
      <c r="K72" s="302">
        <v>0</v>
      </c>
      <c r="L72" s="151">
        <f t="shared" si="19"/>
        <v>0.6</v>
      </c>
      <c r="M72" s="147"/>
      <c r="N72" s="569">
        <v>2</v>
      </c>
      <c r="O72" s="311">
        <v>800</v>
      </c>
      <c r="P72" s="302">
        <v>2.5</v>
      </c>
      <c r="Q72" s="573" t="s">
        <v>109</v>
      </c>
      <c r="R72" s="151">
        <f t="shared" si="20"/>
        <v>0</v>
      </c>
    </row>
    <row r="73" spans="1:21" x14ac:dyDescent="0.2">
      <c r="A73" s="1228"/>
      <c r="B73" s="569">
        <v>3</v>
      </c>
      <c r="C73" s="311">
        <v>25</v>
      </c>
      <c r="D73" s="302">
        <v>-0.2</v>
      </c>
      <c r="E73" s="302">
        <v>0</v>
      </c>
      <c r="F73" s="151">
        <f t="shared" si="18"/>
        <v>0.1</v>
      </c>
      <c r="G73" s="147"/>
      <c r="H73" s="569">
        <v>3</v>
      </c>
      <c r="I73" s="311">
        <v>50</v>
      </c>
      <c r="J73" s="302">
        <v>0.8</v>
      </c>
      <c r="K73" s="302">
        <v>0.6</v>
      </c>
      <c r="L73" s="151">
        <f t="shared" si="19"/>
        <v>0.10000000000000003</v>
      </c>
      <c r="M73" s="147"/>
      <c r="N73" s="569">
        <v>3</v>
      </c>
      <c r="O73" s="311">
        <v>850</v>
      </c>
      <c r="P73" s="302">
        <v>1.7</v>
      </c>
      <c r="Q73" s="573" t="s">
        <v>109</v>
      </c>
      <c r="R73" s="151">
        <f t="shared" si="20"/>
        <v>0</v>
      </c>
    </row>
    <row r="74" spans="1:21" x14ac:dyDescent="0.2">
      <c r="A74" s="1228"/>
      <c r="B74" s="569">
        <v>4</v>
      </c>
      <c r="C74" s="312">
        <v>30</v>
      </c>
      <c r="D74" s="304">
        <v>-0.6</v>
      </c>
      <c r="E74" s="304">
        <v>-0.1</v>
      </c>
      <c r="F74" s="151">
        <f t="shared" si="18"/>
        <v>0.25</v>
      </c>
      <c r="G74" s="147"/>
      <c r="H74" s="569">
        <v>4</v>
      </c>
      <c r="I74" s="312">
        <v>60</v>
      </c>
      <c r="J74" s="304">
        <v>0.7</v>
      </c>
      <c r="K74" s="304">
        <v>1.5</v>
      </c>
      <c r="L74" s="151">
        <f t="shared" si="19"/>
        <v>0.4</v>
      </c>
      <c r="M74" s="147"/>
      <c r="N74" s="569">
        <v>4</v>
      </c>
      <c r="O74" s="312">
        <v>900</v>
      </c>
      <c r="P74" s="304">
        <v>1</v>
      </c>
      <c r="Q74" s="306" t="s">
        <v>109</v>
      </c>
      <c r="R74" s="151">
        <f t="shared" si="20"/>
        <v>0</v>
      </c>
    </row>
    <row r="75" spans="1:21" x14ac:dyDescent="0.2">
      <c r="A75" s="1228"/>
      <c r="B75" s="569">
        <v>5</v>
      </c>
      <c r="C75" s="312">
        <v>35</v>
      </c>
      <c r="D75" s="304">
        <v>-1.1000000000000001</v>
      </c>
      <c r="E75" s="304">
        <v>-0.1</v>
      </c>
      <c r="F75" s="151">
        <f t="shared" si="18"/>
        <v>0.5</v>
      </c>
      <c r="G75" s="147"/>
      <c r="H75" s="569">
        <v>5</v>
      </c>
      <c r="I75" s="312">
        <v>70</v>
      </c>
      <c r="J75" s="304">
        <v>0.9</v>
      </c>
      <c r="K75" s="304">
        <v>2.8</v>
      </c>
      <c r="L75" s="151">
        <f t="shared" si="19"/>
        <v>0.95</v>
      </c>
      <c r="M75" s="147"/>
      <c r="N75" s="569">
        <v>5</v>
      </c>
      <c r="O75" s="312">
        <v>1000</v>
      </c>
      <c r="P75" s="304">
        <v>-0.4</v>
      </c>
      <c r="Q75" s="304">
        <v>-1.6</v>
      </c>
      <c r="R75" s="151">
        <f t="shared" si="20"/>
        <v>0.60000000000000009</v>
      </c>
    </row>
    <row r="76" spans="1:21" x14ac:dyDescent="0.2">
      <c r="A76" s="1228"/>
      <c r="B76" s="569">
        <v>6</v>
      </c>
      <c r="C76" s="312">
        <v>37</v>
      </c>
      <c r="D76" s="304">
        <v>-1.4</v>
      </c>
      <c r="E76" s="304">
        <v>-0.1</v>
      </c>
      <c r="F76" s="151">
        <f t="shared" si="18"/>
        <v>0.64999999999999991</v>
      </c>
      <c r="G76" s="147"/>
      <c r="H76" s="569">
        <v>6</v>
      </c>
      <c r="I76" s="312">
        <v>80</v>
      </c>
      <c r="J76" s="304">
        <v>1.2</v>
      </c>
      <c r="K76" s="304">
        <v>4.4000000000000004</v>
      </c>
      <c r="L76" s="151">
        <f t="shared" si="19"/>
        <v>1.6</v>
      </c>
      <c r="M76" s="147"/>
      <c r="N76" s="569">
        <v>6</v>
      </c>
      <c r="O76" s="312">
        <v>1005</v>
      </c>
      <c r="P76" s="304">
        <v>-0.5</v>
      </c>
      <c r="Q76" s="304">
        <v>-1.6</v>
      </c>
      <c r="R76" s="151">
        <f t="shared" si="20"/>
        <v>0.55000000000000004</v>
      </c>
    </row>
    <row r="77" spans="1:21" ht="13.5" thickBot="1" x14ac:dyDescent="0.25">
      <c r="A77" s="1229"/>
      <c r="B77" s="574">
        <v>7</v>
      </c>
      <c r="C77" s="313">
        <v>40</v>
      </c>
      <c r="D77" s="314">
        <v>-1.7</v>
      </c>
      <c r="E77" s="314">
        <v>-0.1</v>
      </c>
      <c r="F77" s="153">
        <f t="shared" si="18"/>
        <v>0.79999999999999993</v>
      </c>
      <c r="G77" s="152"/>
      <c r="H77" s="574">
        <v>7</v>
      </c>
      <c r="I77" s="313">
        <v>90</v>
      </c>
      <c r="J77" s="314">
        <v>1.8</v>
      </c>
      <c r="K77" s="314">
        <v>4.4000000000000004</v>
      </c>
      <c r="L77" s="153">
        <f t="shared" si="19"/>
        <v>1.3000000000000003</v>
      </c>
      <c r="M77" s="152"/>
      <c r="N77" s="574">
        <v>7</v>
      </c>
      <c r="O77" s="313">
        <v>1020</v>
      </c>
      <c r="P77" s="314">
        <v>0</v>
      </c>
      <c r="Q77" s="314">
        <v>-1.5</v>
      </c>
      <c r="R77" s="153">
        <f t="shared" si="20"/>
        <v>0.75</v>
      </c>
    </row>
    <row r="78" spans="1:21" ht="13.5" thickBot="1" x14ac:dyDescent="0.25">
      <c r="A78" s="155"/>
      <c r="B78" s="156"/>
      <c r="C78" s="156"/>
      <c r="D78" s="156"/>
      <c r="E78" s="157"/>
      <c r="F78" s="158"/>
      <c r="G78" s="159"/>
      <c r="H78" s="156"/>
      <c r="I78" s="156"/>
      <c r="J78" s="156"/>
      <c r="K78" s="157"/>
      <c r="L78" s="158"/>
      <c r="M78" s="147"/>
      <c r="N78" s="147"/>
      <c r="O78" s="576"/>
      <c r="P78" s="16"/>
    </row>
    <row r="79" spans="1:21" ht="13.5" thickBot="1" x14ac:dyDescent="0.25">
      <c r="A79" s="1227">
        <v>8</v>
      </c>
      <c r="B79" s="1230" t="s">
        <v>210</v>
      </c>
      <c r="C79" s="1231"/>
      <c r="D79" s="1231"/>
      <c r="E79" s="1231"/>
      <c r="F79" s="1232"/>
      <c r="G79" s="148"/>
      <c r="H79" s="1230" t="str">
        <f>B79</f>
        <v>KOREKSI GREISINGER 34903051</v>
      </c>
      <c r="I79" s="1231"/>
      <c r="J79" s="1231"/>
      <c r="K79" s="1231"/>
      <c r="L79" s="1232"/>
      <c r="M79" s="148"/>
      <c r="N79" s="1230" t="str">
        <f>H79</f>
        <v>KOREKSI GREISINGER 34903051</v>
      </c>
      <c r="O79" s="1231"/>
      <c r="P79" s="1231"/>
      <c r="Q79" s="1231"/>
      <c r="R79" s="1232"/>
      <c r="T79" s="1260" t="s">
        <v>195</v>
      </c>
      <c r="U79" s="1261"/>
    </row>
    <row r="80" spans="1:21" ht="13.5" thickBot="1" x14ac:dyDescent="0.25">
      <c r="A80" s="1228"/>
      <c r="B80" s="1233" t="s">
        <v>196</v>
      </c>
      <c r="C80" s="1234"/>
      <c r="D80" s="1235" t="s">
        <v>197</v>
      </c>
      <c r="E80" s="1236"/>
      <c r="F80" s="1237" t="s">
        <v>198</v>
      </c>
      <c r="G80" s="147"/>
      <c r="H80" s="1233" t="s">
        <v>199</v>
      </c>
      <c r="I80" s="1234"/>
      <c r="J80" s="1235" t="s">
        <v>197</v>
      </c>
      <c r="K80" s="1236"/>
      <c r="L80" s="1237" t="s">
        <v>198</v>
      </c>
      <c r="M80" s="147"/>
      <c r="N80" s="1233" t="s">
        <v>200</v>
      </c>
      <c r="O80" s="1234"/>
      <c r="P80" s="1235" t="s">
        <v>197</v>
      </c>
      <c r="Q80" s="1236"/>
      <c r="R80" s="1237" t="s">
        <v>198</v>
      </c>
      <c r="T80" s="567" t="s">
        <v>196</v>
      </c>
      <c r="U80" s="568">
        <v>0.3</v>
      </c>
    </row>
    <row r="81" spans="1:21" ht="15.75" thickBot="1" x14ac:dyDescent="0.25">
      <c r="A81" s="1228"/>
      <c r="B81" s="1239" t="s">
        <v>201</v>
      </c>
      <c r="C81" s="1240"/>
      <c r="D81" s="307">
        <v>2019</v>
      </c>
      <c r="E81" s="307">
        <v>2017</v>
      </c>
      <c r="F81" s="1238"/>
      <c r="G81" s="147"/>
      <c r="H81" s="1241" t="s">
        <v>202</v>
      </c>
      <c r="I81" s="1242"/>
      <c r="J81" s="154">
        <f>D81</f>
        <v>2019</v>
      </c>
      <c r="K81" s="154">
        <f>E81</f>
        <v>2017</v>
      </c>
      <c r="L81" s="1238"/>
      <c r="M81" s="147"/>
      <c r="N81" s="1241" t="s">
        <v>203</v>
      </c>
      <c r="O81" s="1242"/>
      <c r="P81" s="154">
        <f>J81</f>
        <v>2019</v>
      </c>
      <c r="Q81" s="154">
        <f>K81</f>
        <v>2017</v>
      </c>
      <c r="R81" s="1238"/>
      <c r="T81" s="567" t="s">
        <v>202</v>
      </c>
      <c r="U81" s="568">
        <v>2.6</v>
      </c>
    </row>
    <row r="82" spans="1:21" ht="13.5" thickBot="1" x14ac:dyDescent="0.25">
      <c r="A82" s="1228"/>
      <c r="B82" s="569">
        <v>1</v>
      </c>
      <c r="C82" s="316">
        <v>15</v>
      </c>
      <c r="D82" s="310">
        <v>0</v>
      </c>
      <c r="E82" s="310">
        <v>-0.2</v>
      </c>
      <c r="F82" s="149">
        <f t="shared" ref="F82:F88" si="21">0.5*(MAX(D82:E82)-MIN(D82:E82))</f>
        <v>0.1</v>
      </c>
      <c r="G82" s="147"/>
      <c r="H82" s="569">
        <v>1</v>
      </c>
      <c r="I82" s="316">
        <v>30</v>
      </c>
      <c r="J82" s="310">
        <v>-1.4</v>
      </c>
      <c r="K82" s="310">
        <v>1</v>
      </c>
      <c r="L82" s="149">
        <f t="shared" ref="L82:L88" si="22">0.5*(MAX(J82:K82)-MIN(J82:K82))</f>
        <v>1.2</v>
      </c>
      <c r="M82" s="147"/>
      <c r="N82" s="569">
        <v>1</v>
      </c>
      <c r="O82" s="308">
        <v>750</v>
      </c>
      <c r="P82" s="570">
        <v>0</v>
      </c>
      <c r="Q82" s="570" t="s">
        <v>109</v>
      </c>
      <c r="R82" s="149">
        <f t="shared" ref="R82:R88" si="23">0.5*(MAX(P82:Q82)-MIN(P82:Q82))</f>
        <v>0</v>
      </c>
      <c r="T82" s="571" t="s">
        <v>203</v>
      </c>
      <c r="U82" s="572">
        <v>2.2000000000000002</v>
      </c>
    </row>
    <row r="83" spans="1:21" x14ac:dyDescent="0.2">
      <c r="A83" s="1228"/>
      <c r="B83" s="569">
        <v>2</v>
      </c>
      <c r="C83" s="317">
        <v>20</v>
      </c>
      <c r="D83" s="310">
        <v>-0.2</v>
      </c>
      <c r="E83" s="310">
        <v>-0.2</v>
      </c>
      <c r="F83" s="151">
        <f>0.5*(MAX(D83:E83)-MIN(D83:E83))</f>
        <v>0</v>
      </c>
      <c r="G83" s="147"/>
      <c r="H83" s="569">
        <v>2</v>
      </c>
      <c r="I83" s="317">
        <v>40</v>
      </c>
      <c r="J83" s="302">
        <v>-1.2</v>
      </c>
      <c r="K83" s="302">
        <v>1.1000000000000001</v>
      </c>
      <c r="L83" s="151">
        <f t="shared" si="22"/>
        <v>1.1499999999999999</v>
      </c>
      <c r="M83" s="147"/>
      <c r="N83" s="569">
        <v>2</v>
      </c>
      <c r="O83" s="311">
        <v>800</v>
      </c>
      <c r="P83" s="573">
        <v>0</v>
      </c>
      <c r="Q83" s="573" t="s">
        <v>109</v>
      </c>
      <c r="R83" s="151">
        <f t="shared" si="23"/>
        <v>0</v>
      </c>
    </row>
    <row r="84" spans="1:21" x14ac:dyDescent="0.2">
      <c r="A84" s="1228"/>
      <c r="B84" s="569">
        <v>3</v>
      </c>
      <c r="C84" s="317">
        <v>25</v>
      </c>
      <c r="D84" s="310">
        <v>-0.4</v>
      </c>
      <c r="E84" s="310">
        <v>-0.2</v>
      </c>
      <c r="F84" s="151">
        <f t="shared" si="21"/>
        <v>0.1</v>
      </c>
      <c r="G84" s="147"/>
      <c r="H84" s="569">
        <v>3</v>
      </c>
      <c r="I84" s="317">
        <v>50</v>
      </c>
      <c r="J84" s="302">
        <v>-1.2</v>
      </c>
      <c r="K84" s="302">
        <v>1.3</v>
      </c>
      <c r="L84" s="151">
        <f t="shared" si="22"/>
        <v>1.25</v>
      </c>
      <c r="M84" s="147"/>
      <c r="N84" s="569">
        <v>3</v>
      </c>
      <c r="O84" s="311">
        <v>850</v>
      </c>
      <c r="P84" s="573">
        <v>0</v>
      </c>
      <c r="Q84" s="573" t="s">
        <v>109</v>
      </c>
      <c r="R84" s="151">
        <f t="shared" si="23"/>
        <v>0</v>
      </c>
    </row>
    <row r="85" spans="1:21" x14ac:dyDescent="0.2">
      <c r="A85" s="1228"/>
      <c r="B85" s="569">
        <v>4</v>
      </c>
      <c r="C85" s="318">
        <v>30</v>
      </c>
      <c r="D85" s="310">
        <v>-0.4</v>
      </c>
      <c r="E85" s="310">
        <v>-0.2</v>
      </c>
      <c r="F85" s="151">
        <f t="shared" si="21"/>
        <v>0.1</v>
      </c>
      <c r="G85" s="147"/>
      <c r="H85" s="569">
        <v>4</v>
      </c>
      <c r="I85" s="318">
        <v>60</v>
      </c>
      <c r="J85" s="304">
        <v>-1.1000000000000001</v>
      </c>
      <c r="K85" s="304">
        <v>1.7</v>
      </c>
      <c r="L85" s="151">
        <f t="shared" si="22"/>
        <v>1.4</v>
      </c>
      <c r="M85" s="147"/>
      <c r="N85" s="569">
        <v>4</v>
      </c>
      <c r="O85" s="312">
        <v>900</v>
      </c>
      <c r="P85" s="306">
        <v>0</v>
      </c>
      <c r="Q85" s="306" t="s">
        <v>109</v>
      </c>
      <c r="R85" s="151">
        <f t="shared" si="23"/>
        <v>0</v>
      </c>
    </row>
    <row r="86" spans="1:21" x14ac:dyDescent="0.2">
      <c r="A86" s="1228"/>
      <c r="B86" s="569">
        <v>5</v>
      </c>
      <c r="C86" s="318">
        <v>35</v>
      </c>
      <c r="D86" s="304">
        <v>-0.5</v>
      </c>
      <c r="E86" s="304">
        <v>-0.3</v>
      </c>
      <c r="F86" s="151">
        <f t="shared" si="21"/>
        <v>0.1</v>
      </c>
      <c r="G86" s="147"/>
      <c r="H86" s="569">
        <v>5</v>
      </c>
      <c r="I86" s="318">
        <v>70</v>
      </c>
      <c r="J86" s="304">
        <v>-1.2</v>
      </c>
      <c r="K86" s="304">
        <v>2.1</v>
      </c>
      <c r="L86" s="151">
        <f t="shared" si="22"/>
        <v>1.65</v>
      </c>
      <c r="M86" s="147"/>
      <c r="N86" s="569">
        <v>5</v>
      </c>
      <c r="O86" s="312">
        <v>1000</v>
      </c>
      <c r="P86" s="306">
        <v>0.2</v>
      </c>
      <c r="Q86" s="306" t="s">
        <v>109</v>
      </c>
      <c r="R86" s="151">
        <f t="shared" si="23"/>
        <v>0</v>
      </c>
    </row>
    <row r="87" spans="1:21" x14ac:dyDescent="0.2">
      <c r="A87" s="1228"/>
      <c r="B87" s="569">
        <v>6</v>
      </c>
      <c r="C87" s="318">
        <v>37</v>
      </c>
      <c r="D87" s="304">
        <v>-0.5</v>
      </c>
      <c r="E87" s="304">
        <v>-0.3</v>
      </c>
      <c r="F87" s="151">
        <f t="shared" si="21"/>
        <v>0.1</v>
      </c>
      <c r="G87" s="147"/>
      <c r="H87" s="569">
        <v>6</v>
      </c>
      <c r="I87" s="318">
        <v>80</v>
      </c>
      <c r="J87" s="304">
        <v>-1.2</v>
      </c>
      <c r="K87" s="304">
        <v>2.6</v>
      </c>
      <c r="L87" s="151">
        <f t="shared" si="22"/>
        <v>1.9</v>
      </c>
      <c r="M87" s="147"/>
      <c r="N87" s="569">
        <v>6</v>
      </c>
      <c r="O87" s="312">
        <v>1005</v>
      </c>
      <c r="P87" s="306">
        <v>0.2</v>
      </c>
      <c r="Q87" s="306" t="s">
        <v>109</v>
      </c>
      <c r="R87" s="151">
        <f t="shared" si="23"/>
        <v>0</v>
      </c>
    </row>
    <row r="88" spans="1:21" ht="13.5" thickBot="1" x14ac:dyDescent="0.25">
      <c r="A88" s="1229"/>
      <c r="B88" s="574">
        <v>7</v>
      </c>
      <c r="C88" s="319">
        <v>40</v>
      </c>
      <c r="D88" s="314">
        <v>-0.4</v>
      </c>
      <c r="E88" s="314">
        <v>-0.4</v>
      </c>
      <c r="F88" s="153">
        <f t="shared" si="21"/>
        <v>0</v>
      </c>
      <c r="G88" s="152"/>
      <c r="H88" s="574">
        <v>7</v>
      </c>
      <c r="I88" s="319">
        <v>90</v>
      </c>
      <c r="J88" s="314">
        <v>-1.3</v>
      </c>
      <c r="K88" s="314">
        <v>2.6</v>
      </c>
      <c r="L88" s="153">
        <f t="shared" si="22"/>
        <v>1.9500000000000002</v>
      </c>
      <c r="M88" s="152"/>
      <c r="N88" s="574">
        <v>7</v>
      </c>
      <c r="O88" s="313">
        <v>1020</v>
      </c>
      <c r="P88" s="580">
        <v>0</v>
      </c>
      <c r="Q88" s="580" t="s">
        <v>109</v>
      </c>
      <c r="R88" s="153">
        <f t="shared" si="23"/>
        <v>0</v>
      </c>
    </row>
    <row r="89" spans="1:21" ht="13.5" thickBot="1" x14ac:dyDescent="0.25">
      <c r="A89" s="155"/>
      <c r="B89" s="156"/>
      <c r="C89" s="156"/>
      <c r="D89" s="156"/>
      <c r="E89" s="157"/>
      <c r="F89" s="160"/>
      <c r="G89" s="159"/>
      <c r="H89" s="156"/>
      <c r="I89" s="156"/>
      <c r="J89" s="156"/>
      <c r="K89" s="157"/>
      <c r="L89" s="160"/>
      <c r="M89" s="147"/>
      <c r="N89" s="147"/>
      <c r="O89" s="148"/>
      <c r="P89" s="16"/>
    </row>
    <row r="90" spans="1:21" ht="13.5" thickBot="1" x14ac:dyDescent="0.25">
      <c r="A90" s="1227">
        <v>9</v>
      </c>
      <c r="B90" s="1230" t="s">
        <v>211</v>
      </c>
      <c r="C90" s="1231"/>
      <c r="D90" s="1231"/>
      <c r="E90" s="1231"/>
      <c r="F90" s="1232"/>
      <c r="G90" s="148"/>
      <c r="H90" s="1230" t="str">
        <f>B90</f>
        <v>KOREKSI GREISINGER 34904091</v>
      </c>
      <c r="I90" s="1231"/>
      <c r="J90" s="1231"/>
      <c r="K90" s="1231"/>
      <c r="L90" s="1232"/>
      <c r="M90" s="148"/>
      <c r="N90" s="1230" t="str">
        <f>H90</f>
        <v>KOREKSI GREISINGER 34904091</v>
      </c>
      <c r="O90" s="1231"/>
      <c r="P90" s="1231"/>
      <c r="Q90" s="1231"/>
      <c r="R90" s="1232"/>
      <c r="T90" s="1260" t="s">
        <v>195</v>
      </c>
      <c r="U90" s="1261"/>
    </row>
    <row r="91" spans="1:21" ht="13.5" thickBot="1" x14ac:dyDescent="0.25">
      <c r="A91" s="1228"/>
      <c r="B91" s="1233" t="s">
        <v>196</v>
      </c>
      <c r="C91" s="1234"/>
      <c r="D91" s="1235" t="s">
        <v>197</v>
      </c>
      <c r="E91" s="1236"/>
      <c r="F91" s="1237" t="s">
        <v>198</v>
      </c>
      <c r="G91" s="147"/>
      <c r="H91" s="1233" t="s">
        <v>199</v>
      </c>
      <c r="I91" s="1234"/>
      <c r="J91" s="1235" t="s">
        <v>197</v>
      </c>
      <c r="K91" s="1236"/>
      <c r="L91" s="1237" t="s">
        <v>198</v>
      </c>
      <c r="M91" s="147"/>
      <c r="N91" s="1233" t="s">
        <v>200</v>
      </c>
      <c r="O91" s="1234"/>
      <c r="P91" s="1235" t="s">
        <v>197</v>
      </c>
      <c r="Q91" s="1236"/>
      <c r="R91" s="1237" t="s">
        <v>198</v>
      </c>
      <c r="T91" s="567" t="s">
        <v>196</v>
      </c>
      <c r="U91" s="568">
        <v>0.3</v>
      </c>
    </row>
    <row r="92" spans="1:21" ht="15.75" thickBot="1" x14ac:dyDescent="0.25">
      <c r="A92" s="1228"/>
      <c r="B92" s="1239" t="s">
        <v>201</v>
      </c>
      <c r="C92" s="1240"/>
      <c r="D92" s="307">
        <v>2019</v>
      </c>
      <c r="E92" s="320" t="s">
        <v>109</v>
      </c>
      <c r="F92" s="1238"/>
      <c r="G92" s="147"/>
      <c r="H92" s="1241" t="s">
        <v>202</v>
      </c>
      <c r="I92" s="1242"/>
      <c r="J92" s="154">
        <f>D92</f>
        <v>2019</v>
      </c>
      <c r="K92" s="154" t="str">
        <f>E92</f>
        <v>-</v>
      </c>
      <c r="L92" s="1238"/>
      <c r="M92" s="147"/>
      <c r="N92" s="1241" t="s">
        <v>203</v>
      </c>
      <c r="O92" s="1242"/>
      <c r="P92" s="154">
        <f>J92</f>
        <v>2019</v>
      </c>
      <c r="Q92" s="154" t="str">
        <f>K92</f>
        <v>-</v>
      </c>
      <c r="R92" s="1238"/>
      <c r="T92" s="567" t="s">
        <v>202</v>
      </c>
      <c r="U92" s="568">
        <v>2.4</v>
      </c>
    </row>
    <row r="93" spans="1:21" ht="13.5" thickBot="1" x14ac:dyDescent="0.25">
      <c r="A93" s="1228"/>
      <c r="B93" s="569">
        <v>1</v>
      </c>
      <c r="C93" s="316">
        <v>15</v>
      </c>
      <c r="D93" s="309">
        <v>0</v>
      </c>
      <c r="E93" s="321" t="s">
        <v>109</v>
      </c>
      <c r="F93" s="149">
        <f t="shared" ref="F93" si="24">0.5*(MAX(D93:E93)-MIN(D93:E93))</f>
        <v>0</v>
      </c>
      <c r="G93" s="147"/>
      <c r="H93" s="569">
        <v>1</v>
      </c>
      <c r="I93" s="316">
        <v>30</v>
      </c>
      <c r="J93" s="309">
        <v>-1.2</v>
      </c>
      <c r="K93" s="321" t="s">
        <v>109</v>
      </c>
      <c r="L93" s="149">
        <f t="shared" ref="L93:L99" si="25">0.5*(MAX(J93:K93)-MIN(J93:K93))</f>
        <v>0</v>
      </c>
      <c r="M93" s="147"/>
      <c r="N93" s="569">
        <v>1</v>
      </c>
      <c r="O93" s="308">
        <v>750</v>
      </c>
      <c r="P93" s="570">
        <v>0</v>
      </c>
      <c r="Q93" s="570" t="s">
        <v>109</v>
      </c>
      <c r="R93" s="149">
        <f t="shared" ref="R93:R99" si="26">0.5*(MAX(P93:Q93)-MIN(P93:Q93))</f>
        <v>0</v>
      </c>
      <c r="T93" s="571" t="s">
        <v>203</v>
      </c>
      <c r="U93" s="572">
        <v>2.2000000000000002</v>
      </c>
    </row>
    <row r="94" spans="1:21" x14ac:dyDescent="0.2">
      <c r="A94" s="1228"/>
      <c r="B94" s="569">
        <v>2</v>
      </c>
      <c r="C94" s="317">
        <v>20</v>
      </c>
      <c r="D94" s="309">
        <v>-0.2</v>
      </c>
      <c r="E94" s="322" t="s">
        <v>109</v>
      </c>
      <c r="F94" s="151">
        <f>0.5*(MAX(D94:E94)-MIN(D94:E94))</f>
        <v>0</v>
      </c>
      <c r="G94" s="147"/>
      <c r="H94" s="569">
        <v>2</v>
      </c>
      <c r="I94" s="317">
        <v>40</v>
      </c>
      <c r="J94" s="309">
        <v>-1</v>
      </c>
      <c r="K94" s="322" t="s">
        <v>109</v>
      </c>
      <c r="L94" s="151">
        <f t="shared" si="25"/>
        <v>0</v>
      </c>
      <c r="M94" s="147"/>
      <c r="N94" s="569">
        <v>2</v>
      </c>
      <c r="O94" s="311">
        <v>800</v>
      </c>
      <c r="P94" s="573">
        <v>0</v>
      </c>
      <c r="Q94" s="573" t="s">
        <v>109</v>
      </c>
      <c r="R94" s="151">
        <f t="shared" si="26"/>
        <v>0</v>
      </c>
    </row>
    <row r="95" spans="1:21" x14ac:dyDescent="0.2">
      <c r="A95" s="1228"/>
      <c r="B95" s="569">
        <v>3</v>
      </c>
      <c r="C95" s="317">
        <v>25</v>
      </c>
      <c r="D95" s="309">
        <v>-0.4</v>
      </c>
      <c r="E95" s="322" t="s">
        <v>109</v>
      </c>
      <c r="F95" s="151">
        <f t="shared" ref="F95:F99" si="27">0.5*(MAX(D95:E95)-MIN(D95:E95))</f>
        <v>0</v>
      </c>
      <c r="G95" s="147"/>
      <c r="H95" s="569">
        <v>3</v>
      </c>
      <c r="I95" s="317">
        <v>50</v>
      </c>
      <c r="J95" s="309">
        <v>-0.9</v>
      </c>
      <c r="K95" s="322" t="s">
        <v>109</v>
      </c>
      <c r="L95" s="151">
        <f t="shared" si="25"/>
        <v>0</v>
      </c>
      <c r="M95" s="147"/>
      <c r="N95" s="569">
        <v>3</v>
      </c>
      <c r="O95" s="311">
        <v>850</v>
      </c>
      <c r="P95" s="573">
        <v>0</v>
      </c>
      <c r="Q95" s="573" t="s">
        <v>109</v>
      </c>
      <c r="R95" s="151">
        <f t="shared" si="26"/>
        <v>0</v>
      </c>
    </row>
    <row r="96" spans="1:21" x14ac:dyDescent="0.2">
      <c r="A96" s="1228"/>
      <c r="B96" s="569">
        <v>4</v>
      </c>
      <c r="C96" s="318">
        <v>30</v>
      </c>
      <c r="D96" s="309">
        <v>-0.5</v>
      </c>
      <c r="E96" s="305" t="s">
        <v>109</v>
      </c>
      <c r="F96" s="151">
        <f t="shared" si="27"/>
        <v>0</v>
      </c>
      <c r="G96" s="147"/>
      <c r="H96" s="569">
        <v>4</v>
      </c>
      <c r="I96" s="318">
        <v>60</v>
      </c>
      <c r="J96" s="309">
        <v>-0.8</v>
      </c>
      <c r="K96" s="305" t="s">
        <v>109</v>
      </c>
      <c r="L96" s="151">
        <f t="shared" si="25"/>
        <v>0</v>
      </c>
      <c r="M96" s="147"/>
      <c r="N96" s="569">
        <v>4</v>
      </c>
      <c r="O96" s="312">
        <v>900</v>
      </c>
      <c r="P96" s="306">
        <v>0</v>
      </c>
      <c r="Q96" s="306" t="s">
        <v>109</v>
      </c>
      <c r="R96" s="151">
        <f t="shared" si="26"/>
        <v>0</v>
      </c>
    </row>
    <row r="97" spans="1:21" x14ac:dyDescent="0.2">
      <c r="A97" s="1228"/>
      <c r="B97" s="569">
        <v>5</v>
      </c>
      <c r="C97" s="318">
        <v>35</v>
      </c>
      <c r="D97" s="309">
        <v>-0.5</v>
      </c>
      <c r="E97" s="305" t="s">
        <v>109</v>
      </c>
      <c r="F97" s="151">
        <f t="shared" si="27"/>
        <v>0</v>
      </c>
      <c r="G97" s="147"/>
      <c r="H97" s="569">
        <v>5</v>
      </c>
      <c r="I97" s="318">
        <v>70</v>
      </c>
      <c r="J97" s="309">
        <v>-0.6</v>
      </c>
      <c r="K97" s="305" t="s">
        <v>109</v>
      </c>
      <c r="L97" s="151">
        <f t="shared" si="25"/>
        <v>0</v>
      </c>
      <c r="M97" s="147"/>
      <c r="N97" s="569">
        <v>5</v>
      </c>
      <c r="O97" s="312">
        <v>1000</v>
      </c>
      <c r="P97" s="306">
        <v>0.2</v>
      </c>
      <c r="Q97" s="306" t="s">
        <v>109</v>
      </c>
      <c r="R97" s="151">
        <f t="shared" si="26"/>
        <v>0</v>
      </c>
    </row>
    <row r="98" spans="1:21" x14ac:dyDescent="0.2">
      <c r="A98" s="1228"/>
      <c r="B98" s="569">
        <v>6</v>
      </c>
      <c r="C98" s="318">
        <v>37</v>
      </c>
      <c r="D98" s="309">
        <v>-0.5</v>
      </c>
      <c r="E98" s="305" t="s">
        <v>109</v>
      </c>
      <c r="F98" s="151">
        <f t="shared" si="27"/>
        <v>0</v>
      </c>
      <c r="G98" s="147"/>
      <c r="H98" s="569">
        <v>6</v>
      </c>
      <c r="I98" s="318">
        <v>80</v>
      </c>
      <c r="J98" s="309">
        <v>-0.5</v>
      </c>
      <c r="K98" s="305" t="s">
        <v>109</v>
      </c>
      <c r="L98" s="151">
        <f t="shared" si="25"/>
        <v>0</v>
      </c>
      <c r="M98" s="147"/>
      <c r="N98" s="569">
        <v>6</v>
      </c>
      <c r="O98" s="312">
        <v>1005</v>
      </c>
      <c r="P98" s="306">
        <v>0.2</v>
      </c>
      <c r="Q98" s="306" t="s">
        <v>109</v>
      </c>
      <c r="R98" s="151">
        <f t="shared" si="26"/>
        <v>0</v>
      </c>
    </row>
    <row r="99" spans="1:21" ht="13.5" thickBot="1" x14ac:dyDescent="0.25">
      <c r="A99" s="1229"/>
      <c r="B99" s="574">
        <v>7</v>
      </c>
      <c r="C99" s="319">
        <v>40</v>
      </c>
      <c r="D99" s="323">
        <v>-0.4</v>
      </c>
      <c r="E99" s="315" t="s">
        <v>109</v>
      </c>
      <c r="F99" s="153">
        <f t="shared" si="27"/>
        <v>0</v>
      </c>
      <c r="G99" s="152"/>
      <c r="H99" s="574">
        <v>7</v>
      </c>
      <c r="I99" s="319">
        <v>90</v>
      </c>
      <c r="J99" s="323">
        <v>-0.2</v>
      </c>
      <c r="K99" s="315" t="s">
        <v>109</v>
      </c>
      <c r="L99" s="153">
        <f t="shared" si="25"/>
        <v>0</v>
      </c>
      <c r="M99" s="152"/>
      <c r="N99" s="574">
        <v>7</v>
      </c>
      <c r="O99" s="313">
        <v>1020</v>
      </c>
      <c r="P99" s="580">
        <v>0</v>
      </c>
      <c r="Q99" s="580" t="s">
        <v>109</v>
      </c>
      <c r="R99" s="153">
        <f t="shared" si="26"/>
        <v>0</v>
      </c>
    </row>
    <row r="100" spans="1:21" ht="13.5" thickBot="1" x14ac:dyDescent="0.25">
      <c r="A100" s="155"/>
      <c r="B100" s="156"/>
      <c r="C100" s="156"/>
      <c r="D100" s="156"/>
      <c r="E100" s="157"/>
      <c r="F100" s="160"/>
      <c r="G100" s="159"/>
      <c r="H100" s="156"/>
      <c r="I100" s="156"/>
      <c r="J100" s="156"/>
      <c r="K100" s="157"/>
      <c r="L100" s="160"/>
      <c r="M100" s="159"/>
      <c r="N100" s="147"/>
      <c r="O100" s="148"/>
      <c r="P100" s="16"/>
    </row>
    <row r="101" spans="1:21" ht="13.5" thickBot="1" x14ac:dyDescent="0.25">
      <c r="A101" s="1227">
        <v>10</v>
      </c>
      <c r="B101" s="1230" t="s">
        <v>212</v>
      </c>
      <c r="C101" s="1231"/>
      <c r="D101" s="1231"/>
      <c r="E101" s="1231"/>
      <c r="F101" s="1232"/>
      <c r="G101" s="148"/>
      <c r="H101" s="1243" t="str">
        <f>B101</f>
        <v>KOREKSI Sekonic HE-21.000669</v>
      </c>
      <c r="I101" s="1244"/>
      <c r="J101" s="1244"/>
      <c r="K101" s="1244"/>
      <c r="L101" s="1245"/>
      <c r="M101" s="148"/>
      <c r="N101" s="1243" t="str">
        <f>H101</f>
        <v>KOREKSI Sekonic HE-21.000669</v>
      </c>
      <c r="O101" s="1244"/>
      <c r="P101" s="1244"/>
      <c r="Q101" s="1244"/>
      <c r="R101" s="1245"/>
      <c r="T101" s="1260" t="s">
        <v>195</v>
      </c>
      <c r="U101" s="1261"/>
    </row>
    <row r="102" spans="1:21" ht="13.5" thickBot="1" x14ac:dyDescent="0.25">
      <c r="A102" s="1228"/>
      <c r="B102" s="1233" t="s">
        <v>196</v>
      </c>
      <c r="C102" s="1234"/>
      <c r="D102" s="1235" t="s">
        <v>197</v>
      </c>
      <c r="E102" s="1236"/>
      <c r="F102" s="1237" t="s">
        <v>198</v>
      </c>
      <c r="G102" s="147"/>
      <c r="H102" s="1233" t="s">
        <v>199</v>
      </c>
      <c r="I102" s="1234"/>
      <c r="J102" s="1235" t="s">
        <v>197</v>
      </c>
      <c r="K102" s="1236"/>
      <c r="L102" s="1237" t="s">
        <v>198</v>
      </c>
      <c r="M102" s="147"/>
      <c r="N102" s="1233" t="s">
        <v>200</v>
      </c>
      <c r="O102" s="1234"/>
      <c r="P102" s="1235" t="s">
        <v>197</v>
      </c>
      <c r="Q102" s="1236"/>
      <c r="R102" s="1237" t="s">
        <v>198</v>
      </c>
      <c r="T102" s="567" t="s">
        <v>196</v>
      </c>
      <c r="U102" s="568">
        <v>0.3</v>
      </c>
    </row>
    <row r="103" spans="1:21" ht="15.75" thickBot="1" x14ac:dyDescent="0.25">
      <c r="A103" s="1228"/>
      <c r="B103" s="1239" t="s">
        <v>201</v>
      </c>
      <c r="C103" s="1240"/>
      <c r="D103" s="307">
        <v>2019</v>
      </c>
      <c r="E103" s="307">
        <v>2016</v>
      </c>
      <c r="F103" s="1238"/>
      <c r="G103" s="147"/>
      <c r="H103" s="1241" t="s">
        <v>202</v>
      </c>
      <c r="I103" s="1242"/>
      <c r="J103" s="154">
        <f>D103</f>
        <v>2019</v>
      </c>
      <c r="K103" s="154">
        <f>E103</f>
        <v>2016</v>
      </c>
      <c r="L103" s="1238"/>
      <c r="M103" s="147"/>
      <c r="N103" s="1241" t="s">
        <v>203</v>
      </c>
      <c r="O103" s="1242"/>
      <c r="P103" s="154">
        <f>J103</f>
        <v>2019</v>
      </c>
      <c r="Q103" s="154">
        <f>K103</f>
        <v>2016</v>
      </c>
      <c r="R103" s="1238"/>
      <c r="T103" s="567" t="s">
        <v>202</v>
      </c>
      <c r="U103" s="568">
        <v>1.5</v>
      </c>
    </row>
    <row r="104" spans="1:21" ht="13.5" thickBot="1" x14ac:dyDescent="0.25">
      <c r="A104" s="1228"/>
      <c r="B104" s="569">
        <v>1</v>
      </c>
      <c r="C104" s="316">
        <v>15</v>
      </c>
      <c r="D104" s="310">
        <v>0.2</v>
      </c>
      <c r="E104" s="310">
        <v>0.2</v>
      </c>
      <c r="F104" s="149">
        <f t="shared" ref="F104:F110" si="28">0.5*(MAX(D104:E104)-MIN(D104:E104))</f>
        <v>0</v>
      </c>
      <c r="G104" s="147"/>
      <c r="H104" s="569">
        <v>1</v>
      </c>
      <c r="I104" s="324">
        <v>30</v>
      </c>
      <c r="J104" s="310">
        <v>-2.9</v>
      </c>
      <c r="K104" s="310">
        <v>-5.8</v>
      </c>
      <c r="L104" s="149">
        <f t="shared" ref="L104:L107" si="29">0.5*(MAX(J104:K104)-MIN(J104:K104))</f>
        <v>1.45</v>
      </c>
      <c r="M104" s="147"/>
      <c r="N104" s="569">
        <v>1</v>
      </c>
      <c r="O104" s="308">
        <v>750</v>
      </c>
      <c r="P104" s="570" t="s">
        <v>109</v>
      </c>
      <c r="Q104" s="570" t="s">
        <v>109</v>
      </c>
      <c r="R104" s="149">
        <f t="shared" ref="R104:R107" si="30">0.5*(MAX(P104:Q104)-MIN(P104:Q104))</f>
        <v>0</v>
      </c>
      <c r="T104" s="571" t="s">
        <v>203</v>
      </c>
      <c r="U104" s="572">
        <v>0</v>
      </c>
    </row>
    <row r="105" spans="1:21" x14ac:dyDescent="0.2">
      <c r="A105" s="1228"/>
      <c r="B105" s="569">
        <v>2</v>
      </c>
      <c r="C105" s="317">
        <v>20</v>
      </c>
      <c r="D105" s="302">
        <v>0.2</v>
      </c>
      <c r="E105" s="302">
        <v>-0.7</v>
      </c>
      <c r="F105" s="151">
        <f t="shared" si="28"/>
        <v>0.44999999999999996</v>
      </c>
      <c r="G105" s="147"/>
      <c r="H105" s="569">
        <v>2</v>
      </c>
      <c r="I105" s="325">
        <v>40</v>
      </c>
      <c r="J105" s="302">
        <v>-3.3</v>
      </c>
      <c r="K105" s="302">
        <v>-6.4</v>
      </c>
      <c r="L105" s="151">
        <f t="shared" si="29"/>
        <v>1.5500000000000003</v>
      </c>
      <c r="M105" s="147"/>
      <c r="N105" s="569">
        <v>2</v>
      </c>
      <c r="O105" s="311">
        <v>800</v>
      </c>
      <c r="P105" s="573" t="s">
        <v>109</v>
      </c>
      <c r="Q105" s="573" t="s">
        <v>109</v>
      </c>
      <c r="R105" s="151">
        <f t="shared" si="30"/>
        <v>0</v>
      </c>
    </row>
    <row r="106" spans="1:21" x14ac:dyDescent="0.2">
      <c r="A106" s="1228"/>
      <c r="B106" s="569">
        <v>3</v>
      </c>
      <c r="C106" s="317">
        <v>25</v>
      </c>
      <c r="D106" s="302">
        <v>0.1</v>
      </c>
      <c r="E106" s="302">
        <v>-0.5</v>
      </c>
      <c r="F106" s="151">
        <f t="shared" si="28"/>
        <v>0.3</v>
      </c>
      <c r="G106" s="147"/>
      <c r="H106" s="569">
        <v>3</v>
      </c>
      <c r="I106" s="325">
        <v>50</v>
      </c>
      <c r="J106" s="302">
        <v>-3.1</v>
      </c>
      <c r="K106" s="302">
        <v>-6.1</v>
      </c>
      <c r="L106" s="151">
        <f t="shared" si="29"/>
        <v>1.4999999999999998</v>
      </c>
      <c r="M106" s="147"/>
      <c r="N106" s="569">
        <v>3</v>
      </c>
      <c r="O106" s="311">
        <v>850</v>
      </c>
      <c r="P106" s="573" t="s">
        <v>109</v>
      </c>
      <c r="Q106" s="573" t="s">
        <v>109</v>
      </c>
      <c r="R106" s="151">
        <f t="shared" si="30"/>
        <v>0</v>
      </c>
    </row>
    <row r="107" spans="1:21" x14ac:dyDescent="0.2">
      <c r="A107" s="1228"/>
      <c r="B107" s="569">
        <v>4</v>
      </c>
      <c r="C107" s="318">
        <v>30</v>
      </c>
      <c r="D107" s="304">
        <v>0.1</v>
      </c>
      <c r="E107" s="304">
        <v>0.2</v>
      </c>
      <c r="F107" s="151">
        <f t="shared" si="28"/>
        <v>0.05</v>
      </c>
      <c r="G107" s="147"/>
      <c r="H107" s="569">
        <v>4</v>
      </c>
      <c r="I107" s="326">
        <v>60</v>
      </c>
      <c r="J107" s="304">
        <v>-2.1</v>
      </c>
      <c r="K107" s="304">
        <v>-5.6</v>
      </c>
      <c r="L107" s="151">
        <f t="shared" si="29"/>
        <v>1.7499999999999998</v>
      </c>
      <c r="M107" s="147"/>
      <c r="N107" s="569">
        <v>4</v>
      </c>
      <c r="O107" s="312">
        <v>900</v>
      </c>
      <c r="P107" s="306" t="s">
        <v>109</v>
      </c>
      <c r="Q107" s="306" t="s">
        <v>109</v>
      </c>
      <c r="R107" s="151">
        <f t="shared" si="30"/>
        <v>0</v>
      </c>
    </row>
    <row r="108" spans="1:21" x14ac:dyDescent="0.2">
      <c r="A108" s="1228"/>
      <c r="B108" s="569">
        <v>5</v>
      </c>
      <c r="C108" s="318">
        <v>35</v>
      </c>
      <c r="D108" s="304">
        <v>0.2</v>
      </c>
      <c r="E108" s="304">
        <v>0.8</v>
      </c>
      <c r="F108" s="151">
        <f t="shared" si="28"/>
        <v>0.30000000000000004</v>
      </c>
      <c r="G108" s="147"/>
      <c r="H108" s="569">
        <v>5</v>
      </c>
      <c r="I108" s="326">
        <v>70</v>
      </c>
      <c r="J108" s="304">
        <v>-0.3</v>
      </c>
      <c r="K108" s="304">
        <v>-5.0999999999999996</v>
      </c>
      <c r="L108" s="151">
        <f>0.5*(MAX(J108:K108)-MIN(J108:K108))</f>
        <v>2.4</v>
      </c>
      <c r="M108" s="147"/>
      <c r="N108" s="569">
        <v>5</v>
      </c>
      <c r="O108" s="312">
        <v>1000</v>
      </c>
      <c r="P108" s="306" t="s">
        <v>109</v>
      </c>
      <c r="Q108" s="306" t="s">
        <v>109</v>
      </c>
      <c r="R108" s="151">
        <f>0.5*(MAX(P108:Q108)-MIN(P108:Q108))</f>
        <v>0</v>
      </c>
    </row>
    <row r="109" spans="1:21" x14ac:dyDescent="0.2">
      <c r="A109" s="1228"/>
      <c r="B109" s="569">
        <v>6</v>
      </c>
      <c r="C109" s="318">
        <v>37</v>
      </c>
      <c r="D109" s="304">
        <v>0.2</v>
      </c>
      <c r="E109" s="304">
        <v>0.4</v>
      </c>
      <c r="F109" s="151">
        <f t="shared" si="28"/>
        <v>0.1</v>
      </c>
      <c r="G109" s="147"/>
      <c r="H109" s="569">
        <v>6</v>
      </c>
      <c r="I109" s="326">
        <v>80</v>
      </c>
      <c r="J109" s="304">
        <v>2.2000000000000002</v>
      </c>
      <c r="K109" s="304">
        <v>-4.7</v>
      </c>
      <c r="L109" s="151">
        <f t="shared" ref="L109:L110" si="31">0.5*(MAX(J109:K109)-MIN(J109:K109))</f>
        <v>3.45</v>
      </c>
      <c r="M109" s="147"/>
      <c r="N109" s="569">
        <v>6</v>
      </c>
      <c r="O109" s="312">
        <v>1005</v>
      </c>
      <c r="P109" s="306" t="s">
        <v>109</v>
      </c>
      <c r="Q109" s="306" t="s">
        <v>109</v>
      </c>
      <c r="R109" s="151">
        <f t="shared" ref="R109:R110" si="32">0.5*(MAX(P109:Q109)-MIN(P109:Q109))</f>
        <v>0</v>
      </c>
    </row>
    <row r="110" spans="1:21" ht="13.5" thickBot="1" x14ac:dyDescent="0.25">
      <c r="A110" s="1229"/>
      <c r="B110" s="574">
        <v>7</v>
      </c>
      <c r="C110" s="327">
        <v>40</v>
      </c>
      <c r="D110" s="328">
        <v>0.2</v>
      </c>
      <c r="E110" s="328">
        <v>0</v>
      </c>
      <c r="F110" s="153">
        <f t="shared" si="28"/>
        <v>0.1</v>
      </c>
      <c r="G110" s="152"/>
      <c r="H110" s="574">
        <v>7</v>
      </c>
      <c r="I110" s="327">
        <v>90</v>
      </c>
      <c r="J110" s="329">
        <v>5.4</v>
      </c>
      <c r="K110" s="329">
        <v>0</v>
      </c>
      <c r="L110" s="153">
        <f t="shared" si="31"/>
        <v>2.7</v>
      </c>
      <c r="M110" s="152"/>
      <c r="N110" s="574">
        <v>7</v>
      </c>
      <c r="O110" s="313">
        <v>1020</v>
      </c>
      <c r="P110" s="580" t="s">
        <v>109</v>
      </c>
      <c r="Q110" s="580" t="s">
        <v>109</v>
      </c>
      <c r="R110" s="153">
        <f t="shared" si="32"/>
        <v>0</v>
      </c>
    </row>
    <row r="111" spans="1:21" ht="13.5" thickBot="1" x14ac:dyDescent="0.25">
      <c r="A111" s="155"/>
      <c r="B111" s="156"/>
      <c r="C111" s="156"/>
      <c r="D111" s="156"/>
      <c r="E111" s="157"/>
      <c r="F111" s="160"/>
      <c r="G111" s="159"/>
      <c r="H111" s="156"/>
      <c r="I111" s="156"/>
      <c r="J111" s="156"/>
      <c r="K111" s="157"/>
      <c r="L111" s="160"/>
      <c r="M111" s="159"/>
      <c r="N111" s="147"/>
      <c r="O111" s="148"/>
      <c r="P111" s="16"/>
    </row>
    <row r="112" spans="1:21" ht="13.5" thickBot="1" x14ac:dyDescent="0.25">
      <c r="A112" s="1227">
        <v>11</v>
      </c>
      <c r="B112" s="1230" t="s">
        <v>213</v>
      </c>
      <c r="C112" s="1231"/>
      <c r="D112" s="1231"/>
      <c r="E112" s="1231"/>
      <c r="F112" s="1232"/>
      <c r="G112" s="148"/>
      <c r="H112" s="1243" t="str">
        <f>B112</f>
        <v>KOREKSI Sekonic HE-21.000670</v>
      </c>
      <c r="I112" s="1244"/>
      <c r="J112" s="1244"/>
      <c r="K112" s="1244"/>
      <c r="L112" s="1245"/>
      <c r="M112" s="148"/>
      <c r="N112" s="1243" t="str">
        <f>H112</f>
        <v>KOREKSI Sekonic HE-21.000670</v>
      </c>
      <c r="O112" s="1244"/>
      <c r="P112" s="1244"/>
      <c r="Q112" s="1244"/>
      <c r="R112" s="1245"/>
      <c r="T112" s="1260" t="s">
        <v>195</v>
      </c>
      <c r="U112" s="1261"/>
    </row>
    <row r="113" spans="1:21" ht="13.5" thickBot="1" x14ac:dyDescent="0.25">
      <c r="A113" s="1228"/>
      <c r="B113" s="1233" t="s">
        <v>196</v>
      </c>
      <c r="C113" s="1234"/>
      <c r="D113" s="1235" t="s">
        <v>197</v>
      </c>
      <c r="E113" s="1236"/>
      <c r="F113" s="1237" t="s">
        <v>198</v>
      </c>
      <c r="G113" s="147"/>
      <c r="H113" s="1233" t="s">
        <v>199</v>
      </c>
      <c r="I113" s="1234"/>
      <c r="J113" s="1235" t="s">
        <v>197</v>
      </c>
      <c r="K113" s="1236"/>
      <c r="L113" s="1237" t="s">
        <v>198</v>
      </c>
      <c r="M113" s="147"/>
      <c r="N113" s="1233" t="s">
        <v>200</v>
      </c>
      <c r="O113" s="1234"/>
      <c r="P113" s="1235" t="s">
        <v>197</v>
      </c>
      <c r="Q113" s="1236"/>
      <c r="R113" s="1237" t="s">
        <v>198</v>
      </c>
      <c r="T113" s="567" t="s">
        <v>196</v>
      </c>
      <c r="U113" s="568">
        <v>0.3</v>
      </c>
    </row>
    <row r="114" spans="1:21" ht="15.75" thickBot="1" x14ac:dyDescent="0.25">
      <c r="A114" s="1228"/>
      <c r="B114" s="1239" t="s">
        <v>201</v>
      </c>
      <c r="C114" s="1240"/>
      <c r="D114" s="307">
        <v>2016</v>
      </c>
      <c r="E114" s="320" t="s">
        <v>109</v>
      </c>
      <c r="F114" s="1238"/>
      <c r="G114" s="147"/>
      <c r="H114" s="1241" t="s">
        <v>202</v>
      </c>
      <c r="I114" s="1242"/>
      <c r="J114" s="154">
        <f>D114</f>
        <v>2016</v>
      </c>
      <c r="K114" s="154" t="str">
        <f>E114</f>
        <v>-</v>
      </c>
      <c r="L114" s="1238"/>
      <c r="M114" s="147"/>
      <c r="N114" s="1241" t="s">
        <v>203</v>
      </c>
      <c r="O114" s="1242"/>
      <c r="P114" s="154">
        <f>J114</f>
        <v>2016</v>
      </c>
      <c r="Q114" s="154" t="str">
        <f>K114</f>
        <v>-</v>
      </c>
      <c r="R114" s="1238"/>
      <c r="T114" s="567" t="s">
        <v>202</v>
      </c>
      <c r="U114" s="568">
        <v>2.5</v>
      </c>
    </row>
    <row r="115" spans="1:21" ht="13.5" thickBot="1" x14ac:dyDescent="0.25">
      <c r="A115" s="1228"/>
      <c r="B115" s="569">
        <v>1</v>
      </c>
      <c r="C115" s="308">
        <v>14.8</v>
      </c>
      <c r="D115" s="310">
        <v>0.3</v>
      </c>
      <c r="E115" s="321" t="s">
        <v>109</v>
      </c>
      <c r="F115" s="149">
        <f t="shared" ref="F115:F121" si="33">0.5*(MAX(D115:E115)-MIN(D115:E115))</f>
        <v>0</v>
      </c>
      <c r="G115" s="147"/>
      <c r="H115" s="569">
        <v>1</v>
      </c>
      <c r="I115" s="308">
        <v>45.7</v>
      </c>
      <c r="J115" s="310">
        <v>-6.4</v>
      </c>
      <c r="K115" s="321" t="s">
        <v>109</v>
      </c>
      <c r="L115" s="149">
        <f t="shared" ref="L115:L121" si="34">0.5*(MAX(J115:K115)-MIN(J115:K115))</f>
        <v>0</v>
      </c>
      <c r="M115" s="147"/>
      <c r="N115" s="569">
        <v>1</v>
      </c>
      <c r="O115" s="308">
        <v>750</v>
      </c>
      <c r="P115" s="570" t="s">
        <v>109</v>
      </c>
      <c r="Q115" s="321" t="s">
        <v>109</v>
      </c>
      <c r="R115" s="149">
        <f t="shared" ref="R115:R121" si="35">0.5*(MAX(P115:Q115)-MIN(P115:Q115))</f>
        <v>0</v>
      </c>
      <c r="T115" s="571" t="s">
        <v>203</v>
      </c>
      <c r="U115" s="572">
        <v>0</v>
      </c>
    </row>
    <row r="116" spans="1:21" x14ac:dyDescent="0.2">
      <c r="A116" s="1228"/>
      <c r="B116" s="569">
        <v>2</v>
      </c>
      <c r="C116" s="311">
        <v>19.7</v>
      </c>
      <c r="D116" s="302">
        <v>0.5</v>
      </c>
      <c r="E116" s="322" t="s">
        <v>109</v>
      </c>
      <c r="F116" s="151">
        <f t="shared" si="33"/>
        <v>0</v>
      </c>
      <c r="G116" s="147"/>
      <c r="H116" s="569">
        <v>2</v>
      </c>
      <c r="I116" s="311">
        <v>54.3</v>
      </c>
      <c r="J116" s="302">
        <v>-5.9</v>
      </c>
      <c r="K116" s="322" t="s">
        <v>109</v>
      </c>
      <c r="L116" s="151">
        <f t="shared" si="34"/>
        <v>0</v>
      </c>
      <c r="M116" s="147"/>
      <c r="N116" s="569">
        <v>2</v>
      </c>
      <c r="O116" s="311">
        <v>800</v>
      </c>
      <c r="P116" s="573" t="s">
        <v>109</v>
      </c>
      <c r="Q116" s="322" t="s">
        <v>109</v>
      </c>
      <c r="R116" s="151">
        <f t="shared" si="35"/>
        <v>0</v>
      </c>
    </row>
    <row r="117" spans="1:21" x14ac:dyDescent="0.2">
      <c r="A117" s="1228"/>
      <c r="B117" s="569">
        <v>3</v>
      </c>
      <c r="C117" s="311">
        <v>24.6</v>
      </c>
      <c r="D117" s="302">
        <v>0.5</v>
      </c>
      <c r="E117" s="322" t="s">
        <v>109</v>
      </c>
      <c r="F117" s="151">
        <f t="shared" si="33"/>
        <v>0</v>
      </c>
      <c r="G117" s="147"/>
      <c r="H117" s="569">
        <v>3</v>
      </c>
      <c r="I117" s="311">
        <v>62.5</v>
      </c>
      <c r="J117" s="302">
        <v>-5.6</v>
      </c>
      <c r="K117" s="322" t="s">
        <v>109</v>
      </c>
      <c r="L117" s="151">
        <f t="shared" si="34"/>
        <v>0</v>
      </c>
      <c r="M117" s="147"/>
      <c r="N117" s="569">
        <v>3</v>
      </c>
      <c r="O117" s="311">
        <v>850</v>
      </c>
      <c r="P117" s="573" t="s">
        <v>109</v>
      </c>
      <c r="Q117" s="322" t="s">
        <v>109</v>
      </c>
      <c r="R117" s="151">
        <f t="shared" si="35"/>
        <v>0</v>
      </c>
    </row>
    <row r="118" spans="1:21" x14ac:dyDescent="0.2">
      <c r="A118" s="1228"/>
      <c r="B118" s="569">
        <v>4</v>
      </c>
      <c r="C118" s="312">
        <v>29.5</v>
      </c>
      <c r="D118" s="304">
        <v>0.4</v>
      </c>
      <c r="E118" s="305" t="s">
        <v>109</v>
      </c>
      <c r="F118" s="151">
        <f t="shared" si="33"/>
        <v>0</v>
      </c>
      <c r="G118" s="147"/>
      <c r="H118" s="569">
        <v>4</v>
      </c>
      <c r="I118" s="312">
        <v>71.5</v>
      </c>
      <c r="J118" s="304">
        <v>-4.5</v>
      </c>
      <c r="K118" s="305" t="s">
        <v>109</v>
      </c>
      <c r="L118" s="151">
        <f t="shared" si="34"/>
        <v>0</v>
      </c>
      <c r="M118" s="147"/>
      <c r="N118" s="569">
        <v>4</v>
      </c>
      <c r="O118" s="312">
        <v>900</v>
      </c>
      <c r="P118" s="306" t="s">
        <v>109</v>
      </c>
      <c r="Q118" s="305" t="s">
        <v>109</v>
      </c>
      <c r="R118" s="151">
        <f t="shared" si="35"/>
        <v>0</v>
      </c>
    </row>
    <row r="119" spans="1:21" x14ac:dyDescent="0.2">
      <c r="A119" s="1228"/>
      <c r="B119" s="569">
        <v>5</v>
      </c>
      <c r="C119" s="312">
        <v>34.5</v>
      </c>
      <c r="D119" s="304">
        <v>0.4</v>
      </c>
      <c r="E119" s="305" t="s">
        <v>109</v>
      </c>
      <c r="F119" s="151">
        <f t="shared" si="33"/>
        <v>0</v>
      </c>
      <c r="G119" s="147"/>
      <c r="H119" s="569">
        <v>5</v>
      </c>
      <c r="I119" s="312">
        <v>80.8</v>
      </c>
      <c r="J119" s="304">
        <v>-1.7</v>
      </c>
      <c r="K119" s="305" t="s">
        <v>109</v>
      </c>
      <c r="L119" s="151">
        <f t="shared" si="34"/>
        <v>0</v>
      </c>
      <c r="M119" s="147"/>
      <c r="N119" s="569">
        <v>5</v>
      </c>
      <c r="O119" s="312">
        <v>1000</v>
      </c>
      <c r="P119" s="306" t="s">
        <v>109</v>
      </c>
      <c r="Q119" s="305" t="s">
        <v>109</v>
      </c>
      <c r="R119" s="151">
        <f t="shared" si="35"/>
        <v>0</v>
      </c>
    </row>
    <row r="120" spans="1:21" x14ac:dyDescent="0.2">
      <c r="A120" s="1228"/>
      <c r="B120" s="569">
        <v>6</v>
      </c>
      <c r="C120" s="312">
        <v>39.5</v>
      </c>
      <c r="D120" s="304">
        <v>0.5</v>
      </c>
      <c r="E120" s="305" t="s">
        <v>109</v>
      </c>
      <c r="F120" s="151">
        <f t="shared" si="33"/>
        <v>0</v>
      </c>
      <c r="G120" s="147"/>
      <c r="H120" s="569">
        <v>6</v>
      </c>
      <c r="I120" s="312">
        <v>88.7</v>
      </c>
      <c r="J120" s="304">
        <v>2.6</v>
      </c>
      <c r="K120" s="305" t="s">
        <v>109</v>
      </c>
      <c r="L120" s="151">
        <f t="shared" si="34"/>
        <v>0</v>
      </c>
      <c r="M120" s="147"/>
      <c r="N120" s="569">
        <v>6</v>
      </c>
      <c r="O120" s="312">
        <v>1005</v>
      </c>
      <c r="P120" s="306" t="s">
        <v>109</v>
      </c>
      <c r="Q120" s="305" t="s">
        <v>109</v>
      </c>
      <c r="R120" s="151">
        <f t="shared" si="35"/>
        <v>0</v>
      </c>
    </row>
    <row r="121" spans="1:21" ht="13.5" thickBot="1" x14ac:dyDescent="0.25">
      <c r="A121" s="1229"/>
      <c r="B121" s="574">
        <v>7</v>
      </c>
      <c r="C121" s="329">
        <v>40</v>
      </c>
      <c r="D121" s="330">
        <v>0</v>
      </c>
      <c r="E121" s="315" t="s">
        <v>109</v>
      </c>
      <c r="F121" s="153">
        <f t="shared" si="33"/>
        <v>0</v>
      </c>
      <c r="G121" s="152"/>
      <c r="H121" s="574">
        <v>7</v>
      </c>
      <c r="I121" s="329">
        <v>90</v>
      </c>
      <c r="J121" s="330">
        <v>0</v>
      </c>
      <c r="K121" s="315" t="s">
        <v>109</v>
      </c>
      <c r="L121" s="153">
        <f t="shared" si="34"/>
        <v>0</v>
      </c>
      <c r="M121" s="152"/>
      <c r="N121" s="574">
        <v>7</v>
      </c>
      <c r="O121" s="313">
        <v>1020</v>
      </c>
      <c r="P121" s="575" t="s">
        <v>109</v>
      </c>
      <c r="Q121" s="315" t="s">
        <v>109</v>
      </c>
      <c r="R121" s="153">
        <f t="shared" si="35"/>
        <v>0</v>
      </c>
    </row>
    <row r="122" spans="1:21" ht="13.5" thickBot="1" x14ac:dyDescent="0.25">
      <c r="A122" s="155"/>
      <c r="B122" s="156"/>
      <c r="C122" s="156"/>
      <c r="D122" s="156"/>
      <c r="E122" s="157"/>
      <c r="F122" s="160"/>
      <c r="G122" s="159"/>
      <c r="H122" s="156"/>
      <c r="I122" s="156"/>
      <c r="J122" s="156"/>
      <c r="K122" s="157"/>
      <c r="L122" s="160"/>
      <c r="M122" s="147"/>
      <c r="N122" s="147"/>
      <c r="O122" s="148"/>
      <c r="P122" s="16"/>
    </row>
    <row r="123" spans="1:21" ht="13.5" thickBot="1" x14ac:dyDescent="0.25">
      <c r="A123" s="1227">
        <v>12</v>
      </c>
      <c r="B123" s="1230" t="s">
        <v>214</v>
      </c>
      <c r="C123" s="1231"/>
      <c r="D123" s="1231"/>
      <c r="E123" s="1231"/>
      <c r="F123" s="1232"/>
      <c r="G123" s="148"/>
      <c r="H123" s="1230" t="str">
        <f>B123</f>
        <v>KOREKSI EXTECH A.100586</v>
      </c>
      <c r="I123" s="1231"/>
      <c r="J123" s="1231"/>
      <c r="K123" s="1231"/>
      <c r="L123" s="1232"/>
      <c r="M123" s="148"/>
      <c r="N123" s="1230" t="str">
        <f>H123</f>
        <v>KOREKSI EXTECH A.100586</v>
      </c>
      <c r="O123" s="1231"/>
      <c r="P123" s="1231"/>
      <c r="Q123" s="1231"/>
      <c r="R123" s="1232"/>
      <c r="T123" s="1260" t="s">
        <v>195</v>
      </c>
      <c r="U123" s="1261"/>
    </row>
    <row r="124" spans="1:21" ht="13.5" thickBot="1" x14ac:dyDescent="0.25">
      <c r="A124" s="1228"/>
      <c r="B124" s="1233" t="s">
        <v>196</v>
      </c>
      <c r="C124" s="1234"/>
      <c r="D124" s="1235" t="s">
        <v>197</v>
      </c>
      <c r="E124" s="1236"/>
      <c r="F124" s="1237" t="s">
        <v>198</v>
      </c>
      <c r="G124" s="147"/>
      <c r="H124" s="1233" t="s">
        <v>199</v>
      </c>
      <c r="I124" s="1234"/>
      <c r="J124" s="1235" t="s">
        <v>197</v>
      </c>
      <c r="K124" s="1236"/>
      <c r="L124" s="1237" t="s">
        <v>198</v>
      </c>
      <c r="M124" s="147"/>
      <c r="N124" s="1233" t="s">
        <v>200</v>
      </c>
      <c r="O124" s="1234"/>
      <c r="P124" s="1235" t="s">
        <v>197</v>
      </c>
      <c r="Q124" s="1236"/>
      <c r="R124" s="1237" t="s">
        <v>198</v>
      </c>
      <c r="T124" s="567" t="s">
        <v>196</v>
      </c>
      <c r="U124" s="568">
        <v>0.3</v>
      </c>
    </row>
    <row r="125" spans="1:21" ht="15.75" thickBot="1" x14ac:dyDescent="0.25">
      <c r="A125" s="1228"/>
      <c r="B125" s="1239" t="s">
        <v>201</v>
      </c>
      <c r="C125" s="1240"/>
      <c r="D125" s="307">
        <v>2020</v>
      </c>
      <c r="E125" s="320" t="s">
        <v>109</v>
      </c>
      <c r="F125" s="1238"/>
      <c r="G125" s="147"/>
      <c r="H125" s="1241" t="s">
        <v>202</v>
      </c>
      <c r="I125" s="1242"/>
      <c r="J125" s="154">
        <f>D125</f>
        <v>2020</v>
      </c>
      <c r="K125" s="154" t="str">
        <f>E125</f>
        <v>-</v>
      </c>
      <c r="L125" s="1238"/>
      <c r="M125" s="147"/>
      <c r="N125" s="1241" t="s">
        <v>203</v>
      </c>
      <c r="O125" s="1242"/>
      <c r="P125" s="154">
        <f>J125</f>
        <v>2020</v>
      </c>
      <c r="Q125" s="154" t="str">
        <f>K125</f>
        <v>-</v>
      </c>
      <c r="R125" s="1238"/>
      <c r="T125" s="567" t="s">
        <v>202</v>
      </c>
      <c r="U125" s="568">
        <v>2</v>
      </c>
    </row>
    <row r="126" spans="1:21" ht="13.5" thickBot="1" x14ac:dyDescent="0.25">
      <c r="A126" s="1228"/>
      <c r="B126" s="569">
        <v>1</v>
      </c>
      <c r="C126" s="308">
        <v>15</v>
      </c>
      <c r="D126" s="310">
        <v>0</v>
      </c>
      <c r="E126" s="321" t="s">
        <v>109</v>
      </c>
      <c r="F126" s="149">
        <f t="shared" ref="F126:F132" si="36">0.5*(MAX(D126:E126)-MIN(D126:E126))</f>
        <v>0</v>
      </c>
      <c r="G126" s="147"/>
      <c r="H126" s="569">
        <v>1</v>
      </c>
      <c r="I126" s="308">
        <v>30</v>
      </c>
      <c r="J126" s="310">
        <v>-0.4</v>
      </c>
      <c r="K126" s="321" t="s">
        <v>109</v>
      </c>
      <c r="L126" s="149">
        <f t="shared" ref="L126:L132" si="37">0.5*(MAX(J126:K126)-MIN(J126:K126))</f>
        <v>0</v>
      </c>
      <c r="M126" s="147"/>
      <c r="N126" s="569">
        <v>1</v>
      </c>
      <c r="O126" s="311">
        <v>800</v>
      </c>
      <c r="P126" s="573">
        <v>-0.4</v>
      </c>
      <c r="Q126" s="321" t="s">
        <v>109</v>
      </c>
      <c r="R126" s="149">
        <f t="shared" ref="R126:R132" si="38">0.5*(MAX(P126:Q126)-MIN(P126:Q126))</f>
        <v>0</v>
      </c>
      <c r="T126" s="571" t="s">
        <v>203</v>
      </c>
      <c r="U126" s="572">
        <v>2.4</v>
      </c>
    </row>
    <row r="127" spans="1:21" x14ac:dyDescent="0.2">
      <c r="A127" s="1228"/>
      <c r="B127" s="569">
        <v>2</v>
      </c>
      <c r="C127" s="311">
        <v>20</v>
      </c>
      <c r="D127" s="302">
        <v>0</v>
      </c>
      <c r="E127" s="322" t="s">
        <v>109</v>
      </c>
      <c r="F127" s="151">
        <f t="shared" si="36"/>
        <v>0</v>
      </c>
      <c r="G127" s="147"/>
      <c r="H127" s="569">
        <v>2</v>
      </c>
      <c r="I127" s="311">
        <v>40</v>
      </c>
      <c r="J127" s="302">
        <v>-0.1</v>
      </c>
      <c r="K127" s="322" t="s">
        <v>109</v>
      </c>
      <c r="L127" s="151">
        <f t="shared" si="37"/>
        <v>0</v>
      </c>
      <c r="M127" s="147"/>
      <c r="N127" s="569">
        <v>2</v>
      </c>
      <c r="O127" s="311">
        <v>850</v>
      </c>
      <c r="P127" s="573">
        <v>-0.5</v>
      </c>
      <c r="Q127" s="322" t="s">
        <v>109</v>
      </c>
      <c r="R127" s="151">
        <f t="shared" si="38"/>
        <v>0</v>
      </c>
    </row>
    <row r="128" spans="1:21" x14ac:dyDescent="0.2">
      <c r="A128" s="1228"/>
      <c r="B128" s="569">
        <v>3</v>
      </c>
      <c r="C128" s="311">
        <v>25</v>
      </c>
      <c r="D128" s="302">
        <v>0</v>
      </c>
      <c r="E128" s="322" t="s">
        <v>109</v>
      </c>
      <c r="F128" s="151">
        <f t="shared" si="36"/>
        <v>0</v>
      </c>
      <c r="G128" s="147"/>
      <c r="H128" s="569">
        <v>3</v>
      </c>
      <c r="I128" s="311">
        <v>50</v>
      </c>
      <c r="J128" s="302">
        <v>0</v>
      </c>
      <c r="K128" s="322" t="s">
        <v>109</v>
      </c>
      <c r="L128" s="151">
        <f t="shared" si="37"/>
        <v>0</v>
      </c>
      <c r="M128" s="147"/>
      <c r="N128" s="569">
        <v>3</v>
      </c>
      <c r="O128" s="312">
        <v>900</v>
      </c>
      <c r="P128" s="306">
        <v>-0.6</v>
      </c>
      <c r="Q128" s="322" t="s">
        <v>109</v>
      </c>
      <c r="R128" s="151">
        <f t="shared" si="38"/>
        <v>0</v>
      </c>
    </row>
    <row r="129" spans="1:21" x14ac:dyDescent="0.2">
      <c r="A129" s="1228"/>
      <c r="B129" s="569">
        <v>4</v>
      </c>
      <c r="C129" s="312">
        <v>30</v>
      </c>
      <c r="D129" s="304">
        <v>-0.1</v>
      </c>
      <c r="E129" s="305" t="s">
        <v>109</v>
      </c>
      <c r="F129" s="151">
        <f t="shared" si="36"/>
        <v>0</v>
      </c>
      <c r="G129" s="147"/>
      <c r="H129" s="569">
        <v>4</v>
      </c>
      <c r="I129" s="312">
        <v>60</v>
      </c>
      <c r="J129" s="304">
        <v>0</v>
      </c>
      <c r="K129" s="305" t="s">
        <v>109</v>
      </c>
      <c r="L129" s="151">
        <f t="shared" si="37"/>
        <v>0</v>
      </c>
      <c r="M129" s="147"/>
      <c r="N129" s="569">
        <v>4</v>
      </c>
      <c r="O129" s="312">
        <v>950</v>
      </c>
      <c r="P129" s="306">
        <v>-0.7</v>
      </c>
      <c r="Q129" s="305" t="s">
        <v>109</v>
      </c>
      <c r="R129" s="151">
        <f t="shared" si="38"/>
        <v>0</v>
      </c>
    </row>
    <row r="130" spans="1:21" x14ac:dyDescent="0.2">
      <c r="A130" s="1228"/>
      <c r="B130" s="569">
        <v>5</v>
      </c>
      <c r="C130" s="312">
        <v>35</v>
      </c>
      <c r="D130" s="304">
        <v>-0.2</v>
      </c>
      <c r="E130" s="305" t="s">
        <v>109</v>
      </c>
      <c r="F130" s="151">
        <f t="shared" si="36"/>
        <v>0</v>
      </c>
      <c r="G130" s="147"/>
      <c r="H130" s="569">
        <v>5</v>
      </c>
      <c r="I130" s="312">
        <v>70</v>
      </c>
      <c r="J130" s="304">
        <v>-0.1</v>
      </c>
      <c r="K130" s="305" t="s">
        <v>109</v>
      </c>
      <c r="L130" s="151">
        <f t="shared" si="37"/>
        <v>0</v>
      </c>
      <c r="M130" s="147"/>
      <c r="N130" s="569">
        <v>5</v>
      </c>
      <c r="O130" s="312">
        <v>1000</v>
      </c>
      <c r="P130" s="306">
        <v>-0.8</v>
      </c>
      <c r="Q130" s="305" t="s">
        <v>109</v>
      </c>
      <c r="R130" s="151">
        <f t="shared" si="38"/>
        <v>0</v>
      </c>
    </row>
    <row r="131" spans="1:21" ht="13.5" thickBot="1" x14ac:dyDescent="0.25">
      <c r="A131" s="1228"/>
      <c r="B131" s="569">
        <v>6</v>
      </c>
      <c r="C131" s="312">
        <v>37</v>
      </c>
      <c r="D131" s="304">
        <v>-0.3</v>
      </c>
      <c r="E131" s="305" t="s">
        <v>109</v>
      </c>
      <c r="F131" s="151">
        <f t="shared" si="36"/>
        <v>0</v>
      </c>
      <c r="G131" s="147"/>
      <c r="H131" s="569">
        <v>6</v>
      </c>
      <c r="I131" s="312">
        <v>80</v>
      </c>
      <c r="J131" s="304">
        <v>-0.5</v>
      </c>
      <c r="K131" s="305" t="s">
        <v>109</v>
      </c>
      <c r="L131" s="151">
        <f t="shared" si="37"/>
        <v>0</v>
      </c>
      <c r="M131" s="147"/>
      <c r="N131" s="569">
        <v>6</v>
      </c>
      <c r="O131" s="313">
        <v>1005</v>
      </c>
      <c r="P131" s="575">
        <v>-0.8</v>
      </c>
      <c r="Q131" s="305" t="s">
        <v>109</v>
      </c>
      <c r="R131" s="151">
        <f t="shared" si="38"/>
        <v>0</v>
      </c>
    </row>
    <row r="132" spans="1:21" ht="13.5" thickBot="1" x14ac:dyDescent="0.25">
      <c r="A132" s="1229"/>
      <c r="B132" s="574">
        <v>7</v>
      </c>
      <c r="C132" s="329">
        <v>40</v>
      </c>
      <c r="D132" s="314">
        <v>-0.4</v>
      </c>
      <c r="E132" s="315" t="s">
        <v>109</v>
      </c>
      <c r="F132" s="153">
        <f t="shared" si="36"/>
        <v>0</v>
      </c>
      <c r="G132" s="152"/>
      <c r="H132" s="574">
        <v>7</v>
      </c>
      <c r="I132" s="329">
        <v>90</v>
      </c>
      <c r="J132" s="314">
        <v>-0.9</v>
      </c>
      <c r="K132" s="315" t="s">
        <v>109</v>
      </c>
      <c r="L132" s="153">
        <f t="shared" si="37"/>
        <v>0</v>
      </c>
      <c r="M132" s="152"/>
      <c r="N132" s="574">
        <v>7</v>
      </c>
      <c r="O132" s="313">
        <v>1020</v>
      </c>
      <c r="P132" s="575">
        <v>0</v>
      </c>
      <c r="Q132" s="315" t="s">
        <v>109</v>
      </c>
      <c r="R132" s="153">
        <f t="shared" si="38"/>
        <v>0</v>
      </c>
    </row>
    <row r="133" spans="1:21" ht="13.5" thickBot="1" x14ac:dyDescent="0.25">
      <c r="A133" s="550"/>
      <c r="B133" s="147"/>
      <c r="C133" s="581"/>
      <c r="D133" s="582"/>
      <c r="E133" s="583"/>
      <c r="F133" s="584"/>
      <c r="G133" s="147"/>
      <c r="H133" s="147"/>
      <c r="I133" s="581"/>
      <c r="J133" s="582"/>
      <c r="K133" s="583"/>
      <c r="L133" s="584"/>
      <c r="M133" s="147"/>
      <c r="N133" s="147"/>
      <c r="O133" s="582"/>
      <c r="P133" s="585"/>
      <c r="Q133" s="583"/>
      <c r="R133" s="584"/>
    </row>
    <row r="134" spans="1:21" ht="13.5" thickBot="1" x14ac:dyDescent="0.25">
      <c r="A134" s="1227">
        <v>13</v>
      </c>
      <c r="B134" s="1230" t="s">
        <v>215</v>
      </c>
      <c r="C134" s="1231"/>
      <c r="D134" s="1231"/>
      <c r="E134" s="1231"/>
      <c r="F134" s="1232"/>
      <c r="G134" s="148"/>
      <c r="H134" s="1230" t="str">
        <f>B134</f>
        <v>KOREKSI EXTECH A.100605</v>
      </c>
      <c r="I134" s="1231"/>
      <c r="J134" s="1231"/>
      <c r="K134" s="1231"/>
      <c r="L134" s="1232"/>
      <c r="M134" s="148"/>
      <c r="N134" s="1230" t="str">
        <f>H134</f>
        <v>KOREKSI EXTECH A.100605</v>
      </c>
      <c r="O134" s="1231"/>
      <c r="P134" s="1231"/>
      <c r="Q134" s="1231"/>
      <c r="R134" s="1232"/>
      <c r="T134" s="1260" t="s">
        <v>195</v>
      </c>
      <c r="U134" s="1261"/>
    </row>
    <row r="135" spans="1:21" ht="13.5" thickBot="1" x14ac:dyDescent="0.25">
      <c r="A135" s="1228"/>
      <c r="B135" s="1233" t="s">
        <v>196</v>
      </c>
      <c r="C135" s="1234"/>
      <c r="D135" s="1235" t="s">
        <v>197</v>
      </c>
      <c r="E135" s="1236"/>
      <c r="F135" s="1237" t="s">
        <v>198</v>
      </c>
      <c r="G135" s="147"/>
      <c r="H135" s="1233" t="s">
        <v>199</v>
      </c>
      <c r="I135" s="1234"/>
      <c r="J135" s="1235" t="s">
        <v>197</v>
      </c>
      <c r="K135" s="1236"/>
      <c r="L135" s="1237" t="s">
        <v>198</v>
      </c>
      <c r="M135" s="147"/>
      <c r="N135" s="1233" t="s">
        <v>200</v>
      </c>
      <c r="O135" s="1234"/>
      <c r="P135" s="1235" t="s">
        <v>197</v>
      </c>
      <c r="Q135" s="1236"/>
      <c r="R135" s="1237" t="s">
        <v>198</v>
      </c>
      <c r="T135" s="567" t="s">
        <v>196</v>
      </c>
      <c r="U135" s="568">
        <v>0.3</v>
      </c>
    </row>
    <row r="136" spans="1:21" ht="15.75" thickBot="1" x14ac:dyDescent="0.25">
      <c r="A136" s="1228"/>
      <c r="B136" s="1239" t="s">
        <v>201</v>
      </c>
      <c r="C136" s="1240"/>
      <c r="D136" s="307">
        <v>2020</v>
      </c>
      <c r="E136" s="320" t="s">
        <v>109</v>
      </c>
      <c r="F136" s="1238"/>
      <c r="G136" s="147"/>
      <c r="H136" s="1241" t="s">
        <v>202</v>
      </c>
      <c r="I136" s="1242"/>
      <c r="J136" s="154">
        <f>D136</f>
        <v>2020</v>
      </c>
      <c r="K136" s="154" t="str">
        <f>E136</f>
        <v>-</v>
      </c>
      <c r="L136" s="1238"/>
      <c r="M136" s="147"/>
      <c r="N136" s="1241" t="s">
        <v>203</v>
      </c>
      <c r="O136" s="1242"/>
      <c r="P136" s="154">
        <f>J136</f>
        <v>2020</v>
      </c>
      <c r="Q136" s="154" t="str">
        <f>K136</f>
        <v>-</v>
      </c>
      <c r="R136" s="1238"/>
      <c r="T136" s="567" t="s">
        <v>202</v>
      </c>
      <c r="U136" s="568">
        <v>2.7</v>
      </c>
    </row>
    <row r="137" spans="1:21" ht="13.5" thickBot="1" x14ac:dyDescent="0.25">
      <c r="A137" s="1228"/>
      <c r="B137" s="569">
        <v>1</v>
      </c>
      <c r="C137" s="308">
        <v>15</v>
      </c>
      <c r="D137" s="310">
        <v>-0.7</v>
      </c>
      <c r="E137" s="321" t="s">
        <v>109</v>
      </c>
      <c r="F137" s="149">
        <f t="shared" ref="F137:F143" si="39">0.5*(MAX(D137:E137)-MIN(D137:E137))</f>
        <v>0</v>
      </c>
      <c r="G137" s="147"/>
      <c r="H137" s="569">
        <v>1</v>
      </c>
      <c r="I137" s="308">
        <v>35</v>
      </c>
      <c r="J137" s="310">
        <v>-1.4</v>
      </c>
      <c r="K137" s="321" t="s">
        <v>109</v>
      </c>
      <c r="L137" s="149">
        <f t="shared" ref="L137:L143" si="40">0.5*(MAX(J137:K137)-MIN(J137:K137))</f>
        <v>0</v>
      </c>
      <c r="M137" s="147"/>
      <c r="N137" s="569">
        <v>1</v>
      </c>
      <c r="O137" s="311">
        <v>960</v>
      </c>
      <c r="P137" s="573">
        <v>0.9</v>
      </c>
      <c r="Q137" s="321" t="s">
        <v>109</v>
      </c>
      <c r="R137" s="149">
        <f t="shared" ref="R137:R143" si="41">0.5*(MAX(P137:Q137)-MIN(P137:Q137))</f>
        <v>0</v>
      </c>
      <c r="T137" s="571" t="s">
        <v>203</v>
      </c>
      <c r="U137" s="572">
        <v>1.5</v>
      </c>
    </row>
    <row r="138" spans="1:21" x14ac:dyDescent="0.2">
      <c r="A138" s="1228"/>
      <c r="B138" s="569">
        <v>2</v>
      </c>
      <c r="C138" s="311">
        <v>20</v>
      </c>
      <c r="D138" s="302">
        <v>-0.4</v>
      </c>
      <c r="E138" s="322" t="s">
        <v>109</v>
      </c>
      <c r="F138" s="151">
        <f t="shared" si="39"/>
        <v>0</v>
      </c>
      <c r="G138" s="147"/>
      <c r="H138" s="569">
        <v>2</v>
      </c>
      <c r="I138" s="311">
        <v>40</v>
      </c>
      <c r="J138" s="302">
        <v>-1.3</v>
      </c>
      <c r="K138" s="322" t="s">
        <v>109</v>
      </c>
      <c r="L138" s="151">
        <f t="shared" si="40"/>
        <v>0</v>
      </c>
      <c r="M138" s="147"/>
      <c r="N138" s="569">
        <v>2</v>
      </c>
      <c r="O138" s="311">
        <v>970</v>
      </c>
      <c r="P138" s="573">
        <v>1</v>
      </c>
      <c r="Q138" s="322" t="s">
        <v>109</v>
      </c>
      <c r="R138" s="151">
        <f t="shared" si="41"/>
        <v>0</v>
      </c>
    </row>
    <row r="139" spans="1:21" x14ac:dyDescent="0.2">
      <c r="A139" s="1228"/>
      <c r="B139" s="569">
        <v>3</v>
      </c>
      <c r="C139" s="311">
        <v>25</v>
      </c>
      <c r="D139" s="302">
        <v>-0.2</v>
      </c>
      <c r="E139" s="322" t="s">
        <v>109</v>
      </c>
      <c r="F139" s="151">
        <f t="shared" si="39"/>
        <v>0</v>
      </c>
      <c r="G139" s="147"/>
      <c r="H139" s="569">
        <v>3</v>
      </c>
      <c r="I139" s="311">
        <v>50</v>
      </c>
      <c r="J139" s="302">
        <v>-1.3</v>
      </c>
      <c r="K139" s="322" t="s">
        <v>109</v>
      </c>
      <c r="L139" s="151">
        <f t="shared" si="40"/>
        <v>0</v>
      </c>
      <c r="M139" s="147"/>
      <c r="N139" s="569">
        <v>3</v>
      </c>
      <c r="O139" s="312">
        <v>980</v>
      </c>
      <c r="P139" s="306">
        <v>1</v>
      </c>
      <c r="Q139" s="322" t="s">
        <v>109</v>
      </c>
      <c r="R139" s="151">
        <f t="shared" si="41"/>
        <v>0</v>
      </c>
    </row>
    <row r="140" spans="1:21" x14ac:dyDescent="0.2">
      <c r="A140" s="1228"/>
      <c r="B140" s="569">
        <v>4</v>
      </c>
      <c r="C140" s="312">
        <v>30</v>
      </c>
      <c r="D140" s="304">
        <v>0.1</v>
      </c>
      <c r="E140" s="305" t="s">
        <v>109</v>
      </c>
      <c r="F140" s="151">
        <f t="shared" si="39"/>
        <v>0</v>
      </c>
      <c r="G140" s="147"/>
      <c r="H140" s="569">
        <v>4</v>
      </c>
      <c r="I140" s="312">
        <v>60</v>
      </c>
      <c r="J140" s="304">
        <v>-1.5</v>
      </c>
      <c r="K140" s="305" t="s">
        <v>109</v>
      </c>
      <c r="L140" s="151">
        <f t="shared" si="40"/>
        <v>0</v>
      </c>
      <c r="M140" s="147"/>
      <c r="N140" s="569">
        <v>4</v>
      </c>
      <c r="O140" s="312">
        <v>990</v>
      </c>
      <c r="P140" s="306">
        <v>1.1000000000000001</v>
      </c>
      <c r="Q140" s="305" t="s">
        <v>109</v>
      </c>
      <c r="R140" s="151">
        <f t="shared" si="41"/>
        <v>0</v>
      </c>
    </row>
    <row r="141" spans="1:21" x14ac:dyDescent="0.2">
      <c r="A141" s="1228"/>
      <c r="B141" s="569">
        <v>5</v>
      </c>
      <c r="C141" s="312">
        <v>35</v>
      </c>
      <c r="D141" s="304">
        <v>0.3</v>
      </c>
      <c r="E141" s="305" t="s">
        <v>109</v>
      </c>
      <c r="F141" s="151">
        <f t="shared" si="39"/>
        <v>0</v>
      </c>
      <c r="G141" s="147"/>
      <c r="H141" s="569">
        <v>5</v>
      </c>
      <c r="I141" s="312">
        <v>70</v>
      </c>
      <c r="J141" s="304">
        <v>-1.9</v>
      </c>
      <c r="K141" s="305" t="s">
        <v>109</v>
      </c>
      <c r="L141" s="151">
        <f t="shared" si="40"/>
        <v>0</v>
      </c>
      <c r="M141" s="147"/>
      <c r="N141" s="569">
        <v>5</v>
      </c>
      <c r="O141" s="312">
        <v>1000</v>
      </c>
      <c r="P141" s="306">
        <v>1.1000000000000001</v>
      </c>
      <c r="Q141" s="305" t="s">
        <v>109</v>
      </c>
      <c r="R141" s="151">
        <f t="shared" si="41"/>
        <v>0</v>
      </c>
    </row>
    <row r="142" spans="1:21" ht="13.5" thickBot="1" x14ac:dyDescent="0.25">
      <c r="A142" s="1228"/>
      <c r="B142" s="569">
        <v>6</v>
      </c>
      <c r="C142" s="312">
        <v>37</v>
      </c>
      <c r="D142" s="304">
        <v>0.4</v>
      </c>
      <c r="E142" s="305" t="s">
        <v>109</v>
      </c>
      <c r="F142" s="151">
        <f t="shared" si="39"/>
        <v>0</v>
      </c>
      <c r="G142" s="147"/>
      <c r="H142" s="569">
        <v>6</v>
      </c>
      <c r="I142" s="312">
        <v>80</v>
      </c>
      <c r="J142" s="304">
        <v>-2.5</v>
      </c>
      <c r="K142" s="305" t="s">
        <v>109</v>
      </c>
      <c r="L142" s="151">
        <f t="shared" si="40"/>
        <v>0</v>
      </c>
      <c r="M142" s="147"/>
      <c r="N142" s="569">
        <v>6</v>
      </c>
      <c r="O142" s="313">
        <v>1005</v>
      </c>
      <c r="P142" s="575">
        <v>1.1000000000000001</v>
      </c>
      <c r="Q142" s="305" t="s">
        <v>109</v>
      </c>
      <c r="R142" s="151">
        <f t="shared" si="41"/>
        <v>0</v>
      </c>
    </row>
    <row r="143" spans="1:21" ht="13.5" thickBot="1" x14ac:dyDescent="0.25">
      <c r="A143" s="1229"/>
      <c r="B143" s="574">
        <v>7</v>
      </c>
      <c r="C143" s="329">
        <v>40</v>
      </c>
      <c r="D143" s="314">
        <v>0.5</v>
      </c>
      <c r="E143" s="315" t="s">
        <v>109</v>
      </c>
      <c r="F143" s="153">
        <f t="shared" si="39"/>
        <v>0</v>
      </c>
      <c r="G143" s="152"/>
      <c r="H143" s="574">
        <v>7</v>
      </c>
      <c r="I143" s="329">
        <v>90</v>
      </c>
      <c r="J143" s="314">
        <v>-3.2</v>
      </c>
      <c r="K143" s="315" t="s">
        <v>109</v>
      </c>
      <c r="L143" s="153">
        <f t="shared" si="40"/>
        <v>0</v>
      </c>
      <c r="M143" s="152"/>
      <c r="N143" s="574">
        <v>7</v>
      </c>
      <c r="O143" s="313">
        <v>1020</v>
      </c>
      <c r="P143" s="575">
        <v>0</v>
      </c>
      <c r="Q143" s="315" t="s">
        <v>109</v>
      </c>
      <c r="R143" s="153">
        <f t="shared" si="41"/>
        <v>0</v>
      </c>
    </row>
    <row r="144" spans="1:21" ht="13.5" thickBot="1" x14ac:dyDescent="0.25">
      <c r="A144" s="550"/>
      <c r="B144" s="147"/>
      <c r="C144" s="581"/>
      <c r="D144" s="582"/>
      <c r="E144" s="583"/>
      <c r="F144" s="584"/>
      <c r="G144" s="147"/>
      <c r="H144" s="147"/>
      <c r="I144" s="581"/>
      <c r="J144" s="582"/>
      <c r="K144" s="583"/>
      <c r="L144" s="584"/>
      <c r="M144" s="147"/>
      <c r="N144" s="147"/>
      <c r="O144" s="582"/>
      <c r="P144" s="585"/>
      <c r="Q144" s="583"/>
      <c r="R144" s="584"/>
    </row>
    <row r="145" spans="1:21" ht="13.5" thickBot="1" x14ac:dyDescent="0.25">
      <c r="A145" s="1227">
        <v>14</v>
      </c>
      <c r="B145" s="1230" t="s">
        <v>216</v>
      </c>
      <c r="C145" s="1231"/>
      <c r="D145" s="1231"/>
      <c r="E145" s="1231"/>
      <c r="F145" s="1232"/>
      <c r="G145" s="148"/>
      <c r="H145" s="1230" t="str">
        <f>B145</f>
        <v>KOREKSI EXTECH A.100609</v>
      </c>
      <c r="I145" s="1231"/>
      <c r="J145" s="1231"/>
      <c r="K145" s="1231"/>
      <c r="L145" s="1232"/>
      <c r="M145" s="148"/>
      <c r="N145" s="1230" t="str">
        <f>H145</f>
        <v>KOREKSI EXTECH A.100609</v>
      </c>
      <c r="O145" s="1231"/>
      <c r="P145" s="1231"/>
      <c r="Q145" s="1231"/>
      <c r="R145" s="1232"/>
      <c r="T145" s="1260" t="s">
        <v>195</v>
      </c>
      <c r="U145" s="1261"/>
    </row>
    <row r="146" spans="1:21" ht="13.5" thickBot="1" x14ac:dyDescent="0.25">
      <c r="A146" s="1228"/>
      <c r="B146" s="1233" t="s">
        <v>196</v>
      </c>
      <c r="C146" s="1234"/>
      <c r="D146" s="1235" t="s">
        <v>197</v>
      </c>
      <c r="E146" s="1236"/>
      <c r="F146" s="1237" t="s">
        <v>198</v>
      </c>
      <c r="G146" s="147"/>
      <c r="H146" s="1233" t="s">
        <v>199</v>
      </c>
      <c r="I146" s="1234"/>
      <c r="J146" s="1235" t="s">
        <v>197</v>
      </c>
      <c r="K146" s="1236"/>
      <c r="L146" s="1237" t="s">
        <v>198</v>
      </c>
      <c r="M146" s="147"/>
      <c r="N146" s="1233" t="s">
        <v>200</v>
      </c>
      <c r="O146" s="1234"/>
      <c r="P146" s="1235" t="s">
        <v>197</v>
      </c>
      <c r="Q146" s="1236"/>
      <c r="R146" s="1237" t="s">
        <v>198</v>
      </c>
      <c r="T146" s="567" t="s">
        <v>196</v>
      </c>
      <c r="U146" s="568">
        <v>0.4</v>
      </c>
    </row>
    <row r="147" spans="1:21" ht="15.75" thickBot="1" x14ac:dyDescent="0.25">
      <c r="A147" s="1228"/>
      <c r="B147" s="1239" t="s">
        <v>201</v>
      </c>
      <c r="C147" s="1240"/>
      <c r="D147" s="307">
        <v>2020</v>
      </c>
      <c r="E147" s="320" t="s">
        <v>109</v>
      </c>
      <c r="F147" s="1238"/>
      <c r="G147" s="147"/>
      <c r="H147" s="1241" t="s">
        <v>202</v>
      </c>
      <c r="I147" s="1242"/>
      <c r="J147" s="154">
        <f>D147</f>
        <v>2020</v>
      </c>
      <c r="K147" s="154" t="str">
        <f>E147</f>
        <v>-</v>
      </c>
      <c r="L147" s="1238"/>
      <c r="M147" s="147"/>
      <c r="N147" s="1241" t="s">
        <v>203</v>
      </c>
      <c r="O147" s="1242"/>
      <c r="P147" s="154">
        <f>J147</f>
        <v>2020</v>
      </c>
      <c r="Q147" s="154" t="str">
        <f>K147</f>
        <v>-</v>
      </c>
      <c r="R147" s="1238"/>
      <c r="T147" s="567" t="s">
        <v>202</v>
      </c>
      <c r="U147" s="568">
        <v>2.2000000000000002</v>
      </c>
    </row>
    <row r="148" spans="1:21" ht="13.5" thickBot="1" x14ac:dyDescent="0.25">
      <c r="A148" s="1228"/>
      <c r="B148" s="569">
        <v>1</v>
      </c>
      <c r="C148" s="308">
        <v>15</v>
      </c>
      <c r="D148" s="310">
        <v>-0.2</v>
      </c>
      <c r="E148" s="321" t="s">
        <v>109</v>
      </c>
      <c r="F148" s="149">
        <f t="shared" ref="F148:F154" si="42">0.5*(MAX(D148:E148)-MIN(D148:E148))</f>
        <v>0</v>
      </c>
      <c r="G148" s="147"/>
      <c r="H148" s="569">
        <v>1</v>
      </c>
      <c r="I148" s="308">
        <v>35</v>
      </c>
      <c r="J148" s="310">
        <v>0.6</v>
      </c>
      <c r="K148" s="321" t="s">
        <v>109</v>
      </c>
      <c r="L148" s="149">
        <f t="shared" ref="L148:L154" si="43">0.5*(MAX(J148:K148)-MIN(J148:K148))</f>
        <v>0</v>
      </c>
      <c r="M148" s="147"/>
      <c r="N148" s="569">
        <v>1</v>
      </c>
      <c r="O148" s="311">
        <v>960</v>
      </c>
      <c r="P148" s="573">
        <v>0.9</v>
      </c>
      <c r="Q148" s="321" t="s">
        <v>109</v>
      </c>
      <c r="R148" s="149">
        <f t="shared" ref="R148:R154" si="44">0.5*(MAX(P148:Q148)-MIN(P148:Q148))</f>
        <v>0</v>
      </c>
      <c r="T148" s="571" t="s">
        <v>203</v>
      </c>
      <c r="U148" s="572">
        <v>1.5</v>
      </c>
    </row>
    <row r="149" spans="1:21" x14ac:dyDescent="0.2">
      <c r="A149" s="1228"/>
      <c r="B149" s="569">
        <v>2</v>
      </c>
      <c r="C149" s="311">
        <v>20</v>
      </c>
      <c r="D149" s="302">
        <v>-0.1</v>
      </c>
      <c r="E149" s="322" t="s">
        <v>109</v>
      </c>
      <c r="F149" s="151">
        <f t="shared" si="42"/>
        <v>0</v>
      </c>
      <c r="G149" s="147"/>
      <c r="H149" s="569">
        <v>2</v>
      </c>
      <c r="I149" s="311">
        <v>40</v>
      </c>
      <c r="J149" s="302">
        <v>0.3</v>
      </c>
      <c r="K149" s="322" t="s">
        <v>109</v>
      </c>
      <c r="L149" s="151">
        <f t="shared" si="43"/>
        <v>0</v>
      </c>
      <c r="M149" s="147"/>
      <c r="N149" s="569">
        <v>2</v>
      </c>
      <c r="O149" s="311">
        <v>970</v>
      </c>
      <c r="P149" s="573">
        <v>1</v>
      </c>
      <c r="Q149" s="322" t="s">
        <v>109</v>
      </c>
      <c r="R149" s="151">
        <f t="shared" si="44"/>
        <v>0</v>
      </c>
    </row>
    <row r="150" spans="1:21" x14ac:dyDescent="0.2">
      <c r="A150" s="1228"/>
      <c r="B150" s="569">
        <v>3</v>
      </c>
      <c r="C150" s="311">
        <v>25</v>
      </c>
      <c r="D150" s="302">
        <v>-0.1</v>
      </c>
      <c r="E150" s="322" t="s">
        <v>109</v>
      </c>
      <c r="F150" s="151">
        <f t="shared" si="42"/>
        <v>0</v>
      </c>
      <c r="G150" s="147"/>
      <c r="H150" s="569">
        <v>3</v>
      </c>
      <c r="I150" s="311">
        <v>50</v>
      </c>
      <c r="J150" s="302">
        <v>-0.2</v>
      </c>
      <c r="K150" s="322" t="s">
        <v>109</v>
      </c>
      <c r="L150" s="151">
        <f t="shared" si="43"/>
        <v>0</v>
      </c>
      <c r="M150" s="147"/>
      <c r="N150" s="569">
        <v>3</v>
      </c>
      <c r="O150" s="312">
        <v>980</v>
      </c>
      <c r="P150" s="306">
        <v>1</v>
      </c>
      <c r="Q150" s="322" t="s">
        <v>109</v>
      </c>
      <c r="R150" s="151">
        <f t="shared" si="44"/>
        <v>0</v>
      </c>
    </row>
    <row r="151" spans="1:21" x14ac:dyDescent="0.2">
      <c r="A151" s="1228"/>
      <c r="B151" s="569">
        <v>4</v>
      </c>
      <c r="C151" s="312">
        <v>30</v>
      </c>
      <c r="D151" s="304">
        <v>-0.3</v>
      </c>
      <c r="E151" s="305" t="s">
        <v>109</v>
      </c>
      <c r="F151" s="151">
        <f t="shared" si="42"/>
        <v>0</v>
      </c>
      <c r="G151" s="147"/>
      <c r="H151" s="569">
        <v>4</v>
      </c>
      <c r="I151" s="312">
        <v>60</v>
      </c>
      <c r="J151" s="304">
        <v>-0.6</v>
      </c>
      <c r="K151" s="305" t="s">
        <v>109</v>
      </c>
      <c r="L151" s="151">
        <f t="shared" si="43"/>
        <v>0</v>
      </c>
      <c r="M151" s="147"/>
      <c r="N151" s="569">
        <v>4</v>
      </c>
      <c r="O151" s="312">
        <v>990</v>
      </c>
      <c r="P151" s="306">
        <v>1.1000000000000001</v>
      </c>
      <c r="Q151" s="305" t="s">
        <v>109</v>
      </c>
      <c r="R151" s="151">
        <f t="shared" si="44"/>
        <v>0</v>
      </c>
    </row>
    <row r="152" spans="1:21" x14ac:dyDescent="0.2">
      <c r="A152" s="1228"/>
      <c r="B152" s="569">
        <v>5</v>
      </c>
      <c r="C152" s="312">
        <v>35</v>
      </c>
      <c r="D152" s="304">
        <v>-0.6</v>
      </c>
      <c r="E152" s="305" t="s">
        <v>109</v>
      </c>
      <c r="F152" s="151">
        <f t="shared" si="42"/>
        <v>0</v>
      </c>
      <c r="G152" s="147"/>
      <c r="H152" s="569">
        <v>5</v>
      </c>
      <c r="I152" s="312">
        <v>70</v>
      </c>
      <c r="J152" s="304">
        <v>-0.8</v>
      </c>
      <c r="K152" s="305" t="s">
        <v>109</v>
      </c>
      <c r="L152" s="151">
        <f t="shared" si="43"/>
        <v>0</v>
      </c>
      <c r="M152" s="147"/>
      <c r="N152" s="569">
        <v>5</v>
      </c>
      <c r="O152" s="312">
        <v>1000</v>
      </c>
      <c r="P152" s="306">
        <v>1.1000000000000001</v>
      </c>
      <c r="Q152" s="305" t="s">
        <v>109</v>
      </c>
      <c r="R152" s="151">
        <f t="shared" si="44"/>
        <v>0</v>
      </c>
    </row>
    <row r="153" spans="1:21" ht="13.5" thickBot="1" x14ac:dyDescent="0.25">
      <c r="A153" s="1228"/>
      <c r="B153" s="569">
        <v>6</v>
      </c>
      <c r="C153" s="312">
        <v>37</v>
      </c>
      <c r="D153" s="304">
        <v>-0.8</v>
      </c>
      <c r="E153" s="305" t="s">
        <v>109</v>
      </c>
      <c r="F153" s="151">
        <f t="shared" si="42"/>
        <v>0</v>
      </c>
      <c r="G153" s="147"/>
      <c r="H153" s="569">
        <v>6</v>
      </c>
      <c r="I153" s="312">
        <v>80</v>
      </c>
      <c r="J153" s="304">
        <v>-0.9</v>
      </c>
      <c r="K153" s="305" t="s">
        <v>109</v>
      </c>
      <c r="L153" s="151">
        <f t="shared" si="43"/>
        <v>0</v>
      </c>
      <c r="M153" s="147"/>
      <c r="N153" s="569">
        <v>6</v>
      </c>
      <c r="O153" s="313">
        <v>1005</v>
      </c>
      <c r="P153" s="575">
        <v>1.1000000000000001</v>
      </c>
      <c r="Q153" s="305" t="s">
        <v>109</v>
      </c>
      <c r="R153" s="151">
        <f t="shared" si="44"/>
        <v>0</v>
      </c>
    </row>
    <row r="154" spans="1:21" ht="13.5" thickBot="1" x14ac:dyDescent="0.25">
      <c r="A154" s="1229"/>
      <c r="B154" s="574">
        <v>7</v>
      </c>
      <c r="C154" s="329">
        <v>40</v>
      </c>
      <c r="D154" s="314">
        <v>-1.1000000000000001</v>
      </c>
      <c r="E154" s="315" t="s">
        <v>109</v>
      </c>
      <c r="F154" s="153">
        <f t="shared" si="42"/>
        <v>0</v>
      </c>
      <c r="G154" s="152"/>
      <c r="H154" s="574">
        <v>7</v>
      </c>
      <c r="I154" s="329">
        <v>90</v>
      </c>
      <c r="J154" s="314">
        <v>-0.8</v>
      </c>
      <c r="K154" s="315" t="s">
        <v>109</v>
      </c>
      <c r="L154" s="153">
        <f t="shared" si="43"/>
        <v>0</v>
      </c>
      <c r="M154" s="152"/>
      <c r="N154" s="574">
        <v>7</v>
      </c>
      <c r="O154" s="313">
        <v>1020</v>
      </c>
      <c r="P154" s="575">
        <v>0</v>
      </c>
      <c r="Q154" s="315" t="s">
        <v>109</v>
      </c>
      <c r="R154" s="153">
        <f t="shared" si="44"/>
        <v>0</v>
      </c>
    </row>
    <row r="155" spans="1:21" ht="13.5" thickBot="1" x14ac:dyDescent="0.25">
      <c r="A155" s="550"/>
      <c r="B155" s="147"/>
      <c r="C155" s="581"/>
      <c r="D155" s="582"/>
      <c r="E155" s="583"/>
      <c r="F155" s="584"/>
      <c r="G155" s="147"/>
      <c r="H155" s="147"/>
      <c r="I155" s="581"/>
      <c r="J155" s="582"/>
      <c r="K155" s="583"/>
      <c r="L155" s="584"/>
      <c r="M155" s="147"/>
      <c r="N155" s="147"/>
      <c r="O155" s="582"/>
      <c r="P155" s="585"/>
      <c r="Q155" s="583"/>
      <c r="R155" s="584"/>
    </row>
    <row r="156" spans="1:21" ht="13.5" thickBot="1" x14ac:dyDescent="0.25">
      <c r="A156" s="1227">
        <v>15</v>
      </c>
      <c r="B156" s="1230" t="s">
        <v>217</v>
      </c>
      <c r="C156" s="1231"/>
      <c r="D156" s="1231"/>
      <c r="E156" s="1231"/>
      <c r="F156" s="1232"/>
      <c r="G156" s="148"/>
      <c r="H156" s="1230" t="str">
        <f>B156</f>
        <v>KOREKSI EXTECH A.100611</v>
      </c>
      <c r="I156" s="1231"/>
      <c r="J156" s="1231"/>
      <c r="K156" s="1231"/>
      <c r="L156" s="1232"/>
      <c r="M156" s="148"/>
      <c r="N156" s="1230" t="str">
        <f>H156</f>
        <v>KOREKSI EXTECH A.100611</v>
      </c>
      <c r="O156" s="1231"/>
      <c r="P156" s="1231"/>
      <c r="Q156" s="1231"/>
      <c r="R156" s="1232"/>
      <c r="T156" s="1260" t="s">
        <v>195</v>
      </c>
      <c r="U156" s="1261"/>
    </row>
    <row r="157" spans="1:21" ht="13.5" thickBot="1" x14ac:dyDescent="0.25">
      <c r="A157" s="1228"/>
      <c r="B157" s="1233" t="s">
        <v>196</v>
      </c>
      <c r="C157" s="1234"/>
      <c r="D157" s="1235" t="s">
        <v>197</v>
      </c>
      <c r="E157" s="1236"/>
      <c r="F157" s="1237" t="s">
        <v>198</v>
      </c>
      <c r="G157" s="147"/>
      <c r="H157" s="1233" t="s">
        <v>199</v>
      </c>
      <c r="I157" s="1234"/>
      <c r="J157" s="1235" t="s">
        <v>197</v>
      </c>
      <c r="K157" s="1236"/>
      <c r="L157" s="1237" t="s">
        <v>198</v>
      </c>
      <c r="M157" s="147"/>
      <c r="N157" s="1233" t="s">
        <v>200</v>
      </c>
      <c r="O157" s="1234"/>
      <c r="P157" s="1235" t="s">
        <v>197</v>
      </c>
      <c r="Q157" s="1236"/>
      <c r="R157" s="1237" t="s">
        <v>198</v>
      </c>
      <c r="T157" s="567" t="s">
        <v>196</v>
      </c>
      <c r="U157" s="568">
        <v>0.3</v>
      </c>
    </row>
    <row r="158" spans="1:21" ht="15.75" thickBot="1" x14ac:dyDescent="0.25">
      <c r="A158" s="1228"/>
      <c r="B158" s="1239" t="s">
        <v>201</v>
      </c>
      <c r="C158" s="1240"/>
      <c r="D158" s="307">
        <v>2020</v>
      </c>
      <c r="E158" s="320" t="s">
        <v>109</v>
      </c>
      <c r="F158" s="1238"/>
      <c r="G158" s="147"/>
      <c r="H158" s="1241" t="s">
        <v>202</v>
      </c>
      <c r="I158" s="1242"/>
      <c r="J158" s="154">
        <f>D158</f>
        <v>2020</v>
      </c>
      <c r="K158" s="154" t="str">
        <f>E158</f>
        <v>-</v>
      </c>
      <c r="L158" s="1238"/>
      <c r="M158" s="147"/>
      <c r="N158" s="1241" t="s">
        <v>203</v>
      </c>
      <c r="O158" s="1242"/>
      <c r="P158" s="154">
        <f>J158</f>
        <v>2020</v>
      </c>
      <c r="Q158" s="154" t="str">
        <f>K158</f>
        <v>-</v>
      </c>
      <c r="R158" s="1238"/>
      <c r="T158" s="567" t="s">
        <v>202</v>
      </c>
      <c r="U158" s="568">
        <v>2.7</v>
      </c>
    </row>
    <row r="159" spans="1:21" ht="13.5" thickBot="1" x14ac:dyDescent="0.25">
      <c r="A159" s="1228"/>
      <c r="B159" s="569">
        <v>1</v>
      </c>
      <c r="C159" s="308">
        <v>15</v>
      </c>
      <c r="D159" s="310">
        <v>-0.6</v>
      </c>
      <c r="E159" s="321" t="s">
        <v>109</v>
      </c>
      <c r="F159" s="149">
        <f t="shared" ref="F159:F165" si="45">0.5*(MAX(D159:E159)-MIN(D159:E159))</f>
        <v>0</v>
      </c>
      <c r="G159" s="147"/>
      <c r="H159" s="569">
        <v>1</v>
      </c>
      <c r="I159" s="308">
        <v>35</v>
      </c>
      <c r="J159" s="310">
        <v>-0.4</v>
      </c>
      <c r="K159" s="321" t="s">
        <v>109</v>
      </c>
      <c r="L159" s="149">
        <f t="shared" ref="L159:L165" si="46">0.5*(MAX(J159:K159)-MIN(J159:K159))</f>
        <v>0</v>
      </c>
      <c r="M159" s="147"/>
      <c r="N159" s="569">
        <v>1</v>
      </c>
      <c r="O159" s="311">
        <v>960</v>
      </c>
      <c r="P159" s="573">
        <v>0.9</v>
      </c>
      <c r="Q159" s="321" t="s">
        <v>109</v>
      </c>
      <c r="R159" s="149">
        <f t="shared" ref="R159:R165" si="47">0.5*(MAX(P159:Q159)-MIN(P159:Q159))</f>
        <v>0</v>
      </c>
      <c r="T159" s="571" t="s">
        <v>203</v>
      </c>
      <c r="U159" s="572">
        <v>1.5</v>
      </c>
    </row>
    <row r="160" spans="1:21" x14ac:dyDescent="0.2">
      <c r="A160" s="1228"/>
      <c r="B160" s="569">
        <v>2</v>
      </c>
      <c r="C160" s="311">
        <v>20</v>
      </c>
      <c r="D160" s="302">
        <v>-0.5</v>
      </c>
      <c r="E160" s="322" t="s">
        <v>109</v>
      </c>
      <c r="F160" s="151">
        <f t="shared" si="45"/>
        <v>0</v>
      </c>
      <c r="G160" s="147"/>
      <c r="H160" s="569">
        <v>2</v>
      </c>
      <c r="I160" s="311">
        <v>40</v>
      </c>
      <c r="J160" s="302">
        <v>-0.3</v>
      </c>
      <c r="K160" s="322" t="s">
        <v>109</v>
      </c>
      <c r="L160" s="151">
        <f t="shared" si="46"/>
        <v>0</v>
      </c>
      <c r="M160" s="147"/>
      <c r="N160" s="569">
        <v>2</v>
      </c>
      <c r="O160" s="311">
        <v>970</v>
      </c>
      <c r="P160" s="573">
        <v>1</v>
      </c>
      <c r="Q160" s="322" t="s">
        <v>109</v>
      </c>
      <c r="R160" s="151">
        <f t="shared" si="47"/>
        <v>0</v>
      </c>
    </row>
    <row r="161" spans="1:21" x14ac:dyDescent="0.2">
      <c r="A161" s="1228"/>
      <c r="B161" s="569">
        <v>3</v>
      </c>
      <c r="C161" s="311">
        <v>25</v>
      </c>
      <c r="D161" s="302">
        <v>-0.4</v>
      </c>
      <c r="E161" s="322" t="s">
        <v>109</v>
      </c>
      <c r="F161" s="151">
        <f t="shared" si="45"/>
        <v>0</v>
      </c>
      <c r="G161" s="147"/>
      <c r="H161" s="569">
        <v>3</v>
      </c>
      <c r="I161" s="311">
        <v>50</v>
      </c>
      <c r="J161" s="302">
        <v>-0.3</v>
      </c>
      <c r="K161" s="322" t="s">
        <v>109</v>
      </c>
      <c r="L161" s="151">
        <f t="shared" si="46"/>
        <v>0</v>
      </c>
      <c r="M161" s="147"/>
      <c r="N161" s="569">
        <v>3</v>
      </c>
      <c r="O161" s="312">
        <v>980</v>
      </c>
      <c r="P161" s="306">
        <v>1</v>
      </c>
      <c r="Q161" s="322" t="s">
        <v>109</v>
      </c>
      <c r="R161" s="151">
        <f t="shared" si="47"/>
        <v>0</v>
      </c>
    </row>
    <row r="162" spans="1:21" x14ac:dyDescent="0.2">
      <c r="A162" s="1228"/>
      <c r="B162" s="569">
        <v>4</v>
      </c>
      <c r="C162" s="312">
        <v>30</v>
      </c>
      <c r="D162" s="304">
        <v>-0.2</v>
      </c>
      <c r="E162" s="305" t="s">
        <v>109</v>
      </c>
      <c r="F162" s="151">
        <f t="shared" si="45"/>
        <v>0</v>
      </c>
      <c r="G162" s="147"/>
      <c r="H162" s="569">
        <v>4</v>
      </c>
      <c r="I162" s="312">
        <v>60</v>
      </c>
      <c r="J162" s="304">
        <v>-0.5</v>
      </c>
      <c r="K162" s="305" t="s">
        <v>109</v>
      </c>
      <c r="L162" s="151">
        <f t="shared" si="46"/>
        <v>0</v>
      </c>
      <c r="M162" s="147"/>
      <c r="N162" s="569">
        <v>4</v>
      </c>
      <c r="O162" s="312">
        <v>990</v>
      </c>
      <c r="P162" s="306">
        <v>1.1000000000000001</v>
      </c>
      <c r="Q162" s="305" t="s">
        <v>109</v>
      </c>
      <c r="R162" s="151">
        <f t="shared" si="47"/>
        <v>0</v>
      </c>
    </row>
    <row r="163" spans="1:21" x14ac:dyDescent="0.2">
      <c r="A163" s="1228"/>
      <c r="B163" s="569">
        <v>5</v>
      </c>
      <c r="C163" s="312">
        <v>35</v>
      </c>
      <c r="D163" s="304">
        <v>-0.1</v>
      </c>
      <c r="E163" s="305" t="s">
        <v>109</v>
      </c>
      <c r="F163" s="151">
        <f t="shared" si="45"/>
        <v>0</v>
      </c>
      <c r="G163" s="147"/>
      <c r="H163" s="569">
        <v>5</v>
      </c>
      <c r="I163" s="312">
        <v>70</v>
      </c>
      <c r="J163" s="304">
        <v>-0.8</v>
      </c>
      <c r="K163" s="305" t="s">
        <v>109</v>
      </c>
      <c r="L163" s="151">
        <f t="shared" si="46"/>
        <v>0</v>
      </c>
      <c r="M163" s="147"/>
      <c r="N163" s="569">
        <v>5</v>
      </c>
      <c r="O163" s="312">
        <v>1000</v>
      </c>
      <c r="P163" s="306">
        <v>1.1000000000000001</v>
      </c>
      <c r="Q163" s="305" t="s">
        <v>109</v>
      </c>
      <c r="R163" s="151">
        <f t="shared" si="47"/>
        <v>0</v>
      </c>
    </row>
    <row r="164" spans="1:21" ht="13.5" thickBot="1" x14ac:dyDescent="0.25">
      <c r="A164" s="1228"/>
      <c r="B164" s="569">
        <v>6</v>
      </c>
      <c r="C164" s="312">
        <v>37</v>
      </c>
      <c r="D164" s="304">
        <v>-0.1</v>
      </c>
      <c r="E164" s="305" t="s">
        <v>109</v>
      </c>
      <c r="F164" s="151">
        <f t="shared" si="45"/>
        <v>0</v>
      </c>
      <c r="G164" s="147"/>
      <c r="H164" s="569">
        <v>6</v>
      </c>
      <c r="I164" s="312">
        <v>80</v>
      </c>
      <c r="J164" s="304">
        <v>-1.3</v>
      </c>
      <c r="K164" s="305" t="s">
        <v>109</v>
      </c>
      <c r="L164" s="151">
        <f t="shared" si="46"/>
        <v>0</v>
      </c>
      <c r="M164" s="147"/>
      <c r="N164" s="569">
        <v>6</v>
      </c>
      <c r="O164" s="313">
        <v>1005</v>
      </c>
      <c r="P164" s="575">
        <v>1.1000000000000001</v>
      </c>
      <c r="Q164" s="305" t="s">
        <v>109</v>
      </c>
      <c r="R164" s="151">
        <f t="shared" si="47"/>
        <v>0</v>
      </c>
    </row>
    <row r="165" spans="1:21" ht="13.5" thickBot="1" x14ac:dyDescent="0.25">
      <c r="A165" s="1229"/>
      <c r="B165" s="574">
        <v>7</v>
      </c>
      <c r="C165" s="329">
        <v>40</v>
      </c>
      <c r="D165" s="314">
        <v>0</v>
      </c>
      <c r="E165" s="315" t="s">
        <v>109</v>
      </c>
      <c r="F165" s="153">
        <f t="shared" si="45"/>
        <v>0</v>
      </c>
      <c r="G165" s="152"/>
      <c r="H165" s="574">
        <v>7</v>
      </c>
      <c r="I165" s="329">
        <v>90</v>
      </c>
      <c r="J165" s="314">
        <v>-2</v>
      </c>
      <c r="K165" s="315" t="s">
        <v>109</v>
      </c>
      <c r="L165" s="153">
        <f t="shared" si="46"/>
        <v>0</v>
      </c>
      <c r="M165" s="152"/>
      <c r="N165" s="574">
        <v>7</v>
      </c>
      <c r="O165" s="313">
        <v>1020</v>
      </c>
      <c r="P165" s="575">
        <v>0</v>
      </c>
      <c r="Q165" s="315" t="s">
        <v>109</v>
      </c>
      <c r="R165" s="153">
        <f t="shared" si="47"/>
        <v>0</v>
      </c>
    </row>
    <row r="166" spans="1:21" ht="13.5" thickBot="1" x14ac:dyDescent="0.25">
      <c r="A166" s="550"/>
      <c r="B166" s="147"/>
      <c r="C166" s="581"/>
      <c r="D166" s="582"/>
      <c r="E166" s="583"/>
      <c r="F166" s="584"/>
      <c r="G166" s="147"/>
      <c r="H166" s="147"/>
      <c r="I166" s="581"/>
      <c r="J166" s="582"/>
      <c r="K166" s="583"/>
      <c r="L166" s="584"/>
      <c r="M166" s="147"/>
      <c r="N166" s="147"/>
      <c r="O166" s="582"/>
      <c r="P166" s="585"/>
      <c r="Q166" s="583"/>
      <c r="R166" s="584"/>
    </row>
    <row r="167" spans="1:21" ht="13.5" thickBot="1" x14ac:dyDescent="0.25">
      <c r="A167" s="1227">
        <v>16</v>
      </c>
      <c r="B167" s="1230" t="s">
        <v>218</v>
      </c>
      <c r="C167" s="1231"/>
      <c r="D167" s="1231"/>
      <c r="E167" s="1231"/>
      <c r="F167" s="1232"/>
      <c r="G167" s="148"/>
      <c r="H167" s="1230" t="str">
        <f>B167</f>
        <v>KOREKSI EXTECH A.100616</v>
      </c>
      <c r="I167" s="1231"/>
      <c r="J167" s="1231"/>
      <c r="K167" s="1231"/>
      <c r="L167" s="1232"/>
      <c r="M167" s="148"/>
      <c r="N167" s="1230" t="str">
        <f>H167</f>
        <v>KOREKSI EXTECH A.100616</v>
      </c>
      <c r="O167" s="1231"/>
      <c r="P167" s="1231"/>
      <c r="Q167" s="1231"/>
      <c r="R167" s="1232"/>
      <c r="T167" s="1260" t="s">
        <v>195</v>
      </c>
      <c r="U167" s="1261"/>
    </row>
    <row r="168" spans="1:21" ht="13.5" thickBot="1" x14ac:dyDescent="0.25">
      <c r="A168" s="1228"/>
      <c r="B168" s="1233" t="s">
        <v>196</v>
      </c>
      <c r="C168" s="1234"/>
      <c r="D168" s="1235" t="s">
        <v>197</v>
      </c>
      <c r="E168" s="1236"/>
      <c r="F168" s="1237" t="s">
        <v>198</v>
      </c>
      <c r="G168" s="147"/>
      <c r="H168" s="1233" t="s">
        <v>199</v>
      </c>
      <c r="I168" s="1234"/>
      <c r="J168" s="1235" t="s">
        <v>197</v>
      </c>
      <c r="K168" s="1236"/>
      <c r="L168" s="1237" t="s">
        <v>198</v>
      </c>
      <c r="M168" s="147"/>
      <c r="N168" s="1233" t="s">
        <v>200</v>
      </c>
      <c r="O168" s="1234"/>
      <c r="P168" s="1235" t="s">
        <v>197</v>
      </c>
      <c r="Q168" s="1236"/>
      <c r="R168" s="1237" t="s">
        <v>198</v>
      </c>
      <c r="T168" s="567" t="s">
        <v>196</v>
      </c>
      <c r="U168" s="568">
        <v>0.4</v>
      </c>
    </row>
    <row r="169" spans="1:21" ht="15.75" thickBot="1" x14ac:dyDescent="0.25">
      <c r="A169" s="1228"/>
      <c r="B169" s="1239" t="s">
        <v>201</v>
      </c>
      <c r="C169" s="1240"/>
      <c r="D169" s="307">
        <v>2020</v>
      </c>
      <c r="E169" s="320" t="s">
        <v>109</v>
      </c>
      <c r="F169" s="1238"/>
      <c r="G169" s="147"/>
      <c r="H169" s="1241" t="s">
        <v>202</v>
      </c>
      <c r="I169" s="1242"/>
      <c r="J169" s="154">
        <f>D169</f>
        <v>2020</v>
      </c>
      <c r="K169" s="154" t="str">
        <f>E169</f>
        <v>-</v>
      </c>
      <c r="L169" s="1238"/>
      <c r="M169" s="147"/>
      <c r="N169" s="1241" t="s">
        <v>203</v>
      </c>
      <c r="O169" s="1242"/>
      <c r="P169" s="154">
        <f>J169</f>
        <v>2020</v>
      </c>
      <c r="Q169" s="154" t="str">
        <f>K169</f>
        <v>-</v>
      </c>
      <c r="R169" s="1238"/>
      <c r="T169" s="567" t="s">
        <v>202</v>
      </c>
      <c r="U169" s="568">
        <v>2.2000000000000002</v>
      </c>
    </row>
    <row r="170" spans="1:21" ht="13.5" thickBot="1" x14ac:dyDescent="0.25">
      <c r="A170" s="1228"/>
      <c r="B170" s="569">
        <v>1</v>
      </c>
      <c r="C170" s="308">
        <v>15</v>
      </c>
      <c r="D170" s="310">
        <v>0.1</v>
      </c>
      <c r="E170" s="321" t="s">
        <v>109</v>
      </c>
      <c r="F170" s="149">
        <f t="shared" ref="F170:F176" si="48">0.5*(MAX(D170:E170)-MIN(D170:E170))</f>
        <v>0</v>
      </c>
      <c r="G170" s="147"/>
      <c r="H170" s="569">
        <v>1</v>
      </c>
      <c r="I170" s="308">
        <v>30</v>
      </c>
      <c r="J170" s="310">
        <v>-1.6</v>
      </c>
      <c r="K170" s="321" t="s">
        <v>109</v>
      </c>
      <c r="L170" s="149">
        <f t="shared" ref="L170:L176" si="49">0.5*(MAX(J170:K170)-MIN(J170:K170))</f>
        <v>0</v>
      </c>
      <c r="M170" s="147"/>
      <c r="N170" s="569">
        <v>1</v>
      </c>
      <c r="O170" s="311">
        <v>800</v>
      </c>
      <c r="P170" s="573">
        <v>-2.9</v>
      </c>
      <c r="Q170" s="321" t="s">
        <v>109</v>
      </c>
      <c r="R170" s="149">
        <f t="shared" ref="R170:R176" si="50">0.5*(MAX(P170:Q170)-MIN(P170:Q170))</f>
        <v>0</v>
      </c>
      <c r="T170" s="571" t="s">
        <v>203</v>
      </c>
      <c r="U170" s="572">
        <v>2.2999999999999998</v>
      </c>
    </row>
    <row r="171" spans="1:21" x14ac:dyDescent="0.2">
      <c r="A171" s="1228"/>
      <c r="B171" s="569">
        <v>2</v>
      </c>
      <c r="C171" s="311">
        <v>20</v>
      </c>
      <c r="D171" s="302">
        <v>0.2</v>
      </c>
      <c r="E171" s="322" t="s">
        <v>109</v>
      </c>
      <c r="F171" s="151">
        <f t="shared" si="48"/>
        <v>0</v>
      </c>
      <c r="G171" s="147"/>
      <c r="H171" s="569">
        <v>2</v>
      </c>
      <c r="I171" s="311">
        <v>40</v>
      </c>
      <c r="J171" s="302">
        <v>-1.4</v>
      </c>
      <c r="K171" s="322" t="s">
        <v>109</v>
      </c>
      <c r="L171" s="151">
        <f t="shared" si="49"/>
        <v>0</v>
      </c>
      <c r="M171" s="147"/>
      <c r="N171" s="569">
        <v>2</v>
      </c>
      <c r="O171" s="311">
        <v>850</v>
      </c>
      <c r="P171" s="573">
        <v>-2.2999999999999998</v>
      </c>
      <c r="Q171" s="322" t="s">
        <v>109</v>
      </c>
      <c r="R171" s="151">
        <f t="shared" si="50"/>
        <v>0</v>
      </c>
    </row>
    <row r="172" spans="1:21" x14ac:dyDescent="0.2">
      <c r="A172" s="1228"/>
      <c r="B172" s="569">
        <v>3</v>
      </c>
      <c r="C172" s="311">
        <v>25</v>
      </c>
      <c r="D172" s="302">
        <v>0.2</v>
      </c>
      <c r="E172" s="322" t="s">
        <v>109</v>
      </c>
      <c r="F172" s="151">
        <f t="shared" si="48"/>
        <v>0</v>
      </c>
      <c r="G172" s="147"/>
      <c r="H172" s="569">
        <v>3</v>
      </c>
      <c r="I172" s="311">
        <v>50</v>
      </c>
      <c r="J172" s="302">
        <v>-1.4</v>
      </c>
      <c r="K172" s="322" t="s">
        <v>109</v>
      </c>
      <c r="L172" s="151">
        <f t="shared" si="49"/>
        <v>0</v>
      </c>
      <c r="M172" s="147"/>
      <c r="N172" s="569">
        <v>3</v>
      </c>
      <c r="O172" s="312">
        <v>900</v>
      </c>
      <c r="P172" s="306">
        <v>-1.7</v>
      </c>
      <c r="Q172" s="322" t="s">
        <v>109</v>
      </c>
      <c r="R172" s="151">
        <f t="shared" si="50"/>
        <v>0</v>
      </c>
    </row>
    <row r="173" spans="1:21" x14ac:dyDescent="0.2">
      <c r="A173" s="1228"/>
      <c r="B173" s="569">
        <v>4</v>
      </c>
      <c r="C173" s="312">
        <v>30</v>
      </c>
      <c r="D173" s="304">
        <v>0.2</v>
      </c>
      <c r="E173" s="305" t="s">
        <v>109</v>
      </c>
      <c r="F173" s="151">
        <f t="shared" si="48"/>
        <v>0</v>
      </c>
      <c r="G173" s="147"/>
      <c r="H173" s="569">
        <v>4</v>
      </c>
      <c r="I173" s="312">
        <v>60</v>
      </c>
      <c r="J173" s="304">
        <v>-1.5</v>
      </c>
      <c r="K173" s="305" t="s">
        <v>109</v>
      </c>
      <c r="L173" s="151">
        <f t="shared" si="49"/>
        <v>0</v>
      </c>
      <c r="M173" s="147"/>
      <c r="N173" s="569">
        <v>4</v>
      </c>
      <c r="O173" s="312">
        <v>950</v>
      </c>
      <c r="P173" s="306">
        <v>-1.1000000000000001</v>
      </c>
      <c r="Q173" s="305" t="s">
        <v>109</v>
      </c>
      <c r="R173" s="151">
        <f t="shared" si="50"/>
        <v>0</v>
      </c>
    </row>
    <row r="174" spans="1:21" x14ac:dyDescent="0.2">
      <c r="A174" s="1228"/>
      <c r="B174" s="569">
        <v>5</v>
      </c>
      <c r="C174" s="312">
        <v>35</v>
      </c>
      <c r="D174" s="304">
        <v>0.1</v>
      </c>
      <c r="E174" s="305" t="s">
        <v>109</v>
      </c>
      <c r="F174" s="151">
        <f t="shared" si="48"/>
        <v>0</v>
      </c>
      <c r="G174" s="147"/>
      <c r="H174" s="569">
        <v>5</v>
      </c>
      <c r="I174" s="312">
        <v>70</v>
      </c>
      <c r="J174" s="304">
        <v>-1.8</v>
      </c>
      <c r="K174" s="305" t="s">
        <v>109</v>
      </c>
      <c r="L174" s="151">
        <f t="shared" si="49"/>
        <v>0</v>
      </c>
      <c r="M174" s="147"/>
      <c r="N174" s="569">
        <v>5</v>
      </c>
      <c r="O174" s="312">
        <v>1000</v>
      </c>
      <c r="P174" s="306">
        <v>-0.4</v>
      </c>
      <c r="Q174" s="305" t="s">
        <v>109</v>
      </c>
      <c r="R174" s="151">
        <f t="shared" si="50"/>
        <v>0</v>
      </c>
    </row>
    <row r="175" spans="1:21" ht="13.5" thickBot="1" x14ac:dyDescent="0.25">
      <c r="A175" s="1228"/>
      <c r="B175" s="569">
        <v>6</v>
      </c>
      <c r="C175" s="312">
        <v>37</v>
      </c>
      <c r="D175" s="304">
        <v>0</v>
      </c>
      <c r="E175" s="305" t="s">
        <v>109</v>
      </c>
      <c r="F175" s="151">
        <f t="shared" si="48"/>
        <v>0</v>
      </c>
      <c r="G175" s="147"/>
      <c r="H175" s="569">
        <v>6</v>
      </c>
      <c r="I175" s="312">
        <v>80</v>
      </c>
      <c r="J175" s="304">
        <v>-2.2999999999999998</v>
      </c>
      <c r="K175" s="305" t="s">
        <v>109</v>
      </c>
      <c r="L175" s="151">
        <f t="shared" si="49"/>
        <v>0</v>
      </c>
      <c r="M175" s="147"/>
      <c r="N175" s="569">
        <v>6</v>
      </c>
      <c r="O175" s="313">
        <v>1005</v>
      </c>
      <c r="P175" s="575">
        <v>-0.4</v>
      </c>
      <c r="Q175" s="305" t="s">
        <v>109</v>
      </c>
      <c r="R175" s="151">
        <f t="shared" si="50"/>
        <v>0</v>
      </c>
    </row>
    <row r="176" spans="1:21" ht="13.5" thickBot="1" x14ac:dyDescent="0.25">
      <c r="A176" s="1229"/>
      <c r="B176" s="574">
        <v>7</v>
      </c>
      <c r="C176" s="329">
        <v>40</v>
      </c>
      <c r="D176" s="314">
        <v>0</v>
      </c>
      <c r="E176" s="315" t="s">
        <v>109</v>
      </c>
      <c r="F176" s="153">
        <f t="shared" si="48"/>
        <v>0</v>
      </c>
      <c r="G176" s="152"/>
      <c r="H176" s="574">
        <v>7</v>
      </c>
      <c r="I176" s="329">
        <v>90</v>
      </c>
      <c r="J176" s="314">
        <v>-3</v>
      </c>
      <c r="K176" s="315" t="s">
        <v>109</v>
      </c>
      <c r="L176" s="153">
        <f t="shared" si="49"/>
        <v>0</v>
      </c>
      <c r="M176" s="152"/>
      <c r="N176" s="574">
        <v>7</v>
      </c>
      <c r="O176" s="313">
        <v>1020</v>
      </c>
      <c r="P176" s="575">
        <v>0</v>
      </c>
      <c r="Q176" s="315" t="s">
        <v>109</v>
      </c>
      <c r="R176" s="153">
        <f t="shared" si="50"/>
        <v>0</v>
      </c>
    </row>
    <row r="177" spans="1:21" ht="13.5" thickBot="1" x14ac:dyDescent="0.25">
      <c r="A177" s="550"/>
      <c r="B177" s="147"/>
      <c r="C177" s="581"/>
      <c r="D177" s="582"/>
      <c r="E177" s="583"/>
      <c r="F177" s="584"/>
      <c r="G177" s="147"/>
      <c r="H177" s="147"/>
      <c r="I177" s="581"/>
      <c r="J177" s="582"/>
      <c r="K177" s="583"/>
      <c r="L177" s="584"/>
      <c r="M177" s="147"/>
      <c r="N177" s="147"/>
      <c r="O177" s="582"/>
      <c r="P177" s="585"/>
      <c r="Q177" s="583"/>
      <c r="R177" s="584"/>
    </row>
    <row r="178" spans="1:21" ht="13.5" thickBot="1" x14ac:dyDescent="0.25">
      <c r="A178" s="1227">
        <v>17</v>
      </c>
      <c r="B178" s="1230" t="s">
        <v>219</v>
      </c>
      <c r="C178" s="1231"/>
      <c r="D178" s="1231"/>
      <c r="E178" s="1231"/>
      <c r="F178" s="1232"/>
      <c r="G178" s="148"/>
      <c r="H178" s="1230" t="str">
        <f>B178</f>
        <v>KOREKSI EXTECH A.100617</v>
      </c>
      <c r="I178" s="1231"/>
      <c r="J178" s="1231"/>
      <c r="K178" s="1231"/>
      <c r="L178" s="1232"/>
      <c r="M178" s="148"/>
      <c r="N178" s="1230" t="str">
        <f>H178</f>
        <v>KOREKSI EXTECH A.100617</v>
      </c>
      <c r="O178" s="1231"/>
      <c r="P178" s="1231"/>
      <c r="Q178" s="1231"/>
      <c r="R178" s="1232"/>
      <c r="T178" s="1260" t="s">
        <v>195</v>
      </c>
      <c r="U178" s="1261"/>
    </row>
    <row r="179" spans="1:21" ht="13.5" thickBot="1" x14ac:dyDescent="0.25">
      <c r="A179" s="1228"/>
      <c r="B179" s="1233" t="s">
        <v>196</v>
      </c>
      <c r="C179" s="1234"/>
      <c r="D179" s="1235" t="s">
        <v>197</v>
      </c>
      <c r="E179" s="1236"/>
      <c r="F179" s="1237" t="s">
        <v>198</v>
      </c>
      <c r="G179" s="147"/>
      <c r="H179" s="1233" t="s">
        <v>199</v>
      </c>
      <c r="I179" s="1234"/>
      <c r="J179" s="1235" t="s">
        <v>197</v>
      </c>
      <c r="K179" s="1236"/>
      <c r="L179" s="1237" t="s">
        <v>198</v>
      </c>
      <c r="M179" s="147"/>
      <c r="N179" s="1233" t="s">
        <v>200</v>
      </c>
      <c r="O179" s="1234"/>
      <c r="P179" s="1235" t="s">
        <v>197</v>
      </c>
      <c r="Q179" s="1236"/>
      <c r="R179" s="1237" t="s">
        <v>198</v>
      </c>
      <c r="T179" s="567" t="s">
        <v>196</v>
      </c>
      <c r="U179" s="568">
        <v>0.3</v>
      </c>
    </row>
    <row r="180" spans="1:21" ht="15.75" thickBot="1" x14ac:dyDescent="0.25">
      <c r="A180" s="1228"/>
      <c r="B180" s="1239" t="s">
        <v>201</v>
      </c>
      <c r="C180" s="1240"/>
      <c r="D180" s="307">
        <v>2020</v>
      </c>
      <c r="E180" s="320" t="s">
        <v>109</v>
      </c>
      <c r="F180" s="1238"/>
      <c r="G180" s="147"/>
      <c r="H180" s="1241" t="s">
        <v>202</v>
      </c>
      <c r="I180" s="1242"/>
      <c r="J180" s="154">
        <f>D180</f>
        <v>2020</v>
      </c>
      <c r="K180" s="154" t="str">
        <f>E180</f>
        <v>-</v>
      </c>
      <c r="L180" s="1238"/>
      <c r="M180" s="147"/>
      <c r="N180" s="1241" t="s">
        <v>203</v>
      </c>
      <c r="O180" s="1242"/>
      <c r="P180" s="154">
        <f>J180</f>
        <v>2020</v>
      </c>
      <c r="Q180" s="154" t="str">
        <f>K180</f>
        <v>-</v>
      </c>
      <c r="R180" s="1238"/>
      <c r="T180" s="567" t="s">
        <v>202</v>
      </c>
      <c r="U180" s="568">
        <v>2.8</v>
      </c>
    </row>
    <row r="181" spans="1:21" ht="13.5" thickBot="1" x14ac:dyDescent="0.25">
      <c r="A181" s="1228"/>
      <c r="B181" s="569">
        <v>1</v>
      </c>
      <c r="C181" s="308">
        <v>15</v>
      </c>
      <c r="D181" s="310">
        <v>0.1</v>
      </c>
      <c r="E181" s="321" t="s">
        <v>109</v>
      </c>
      <c r="F181" s="149">
        <f t="shared" ref="F181:F187" si="51">0.5*(MAX(D181:E181)-MIN(D181:E181))</f>
        <v>0</v>
      </c>
      <c r="G181" s="147"/>
      <c r="H181" s="569">
        <v>1</v>
      </c>
      <c r="I181" s="308">
        <v>30</v>
      </c>
      <c r="J181" s="310">
        <v>0.1</v>
      </c>
      <c r="K181" s="321" t="s">
        <v>109</v>
      </c>
      <c r="L181" s="149">
        <f t="shared" ref="L181:L187" si="52">0.5*(MAX(J181:K181)-MIN(J181:K181))</f>
        <v>0</v>
      </c>
      <c r="M181" s="147"/>
      <c r="N181" s="569">
        <v>1</v>
      </c>
      <c r="O181" s="311">
        <v>960</v>
      </c>
      <c r="P181" s="573">
        <v>-0.6</v>
      </c>
      <c r="Q181" s="321" t="s">
        <v>109</v>
      </c>
      <c r="R181" s="149">
        <f t="shared" ref="R181:R187" si="53">0.5*(MAX(P181:Q181)-MIN(P181:Q181))</f>
        <v>0</v>
      </c>
      <c r="T181" s="571" t="s">
        <v>203</v>
      </c>
      <c r="U181" s="572">
        <v>2.1</v>
      </c>
    </row>
    <row r="182" spans="1:21" x14ac:dyDescent="0.2">
      <c r="A182" s="1228"/>
      <c r="B182" s="569">
        <v>2</v>
      </c>
      <c r="C182" s="311">
        <v>20</v>
      </c>
      <c r="D182" s="302">
        <v>0.1</v>
      </c>
      <c r="E182" s="322" t="s">
        <v>109</v>
      </c>
      <c r="F182" s="151">
        <f t="shared" si="51"/>
        <v>0</v>
      </c>
      <c r="G182" s="147"/>
      <c r="H182" s="569">
        <v>2</v>
      </c>
      <c r="I182" s="311">
        <v>40</v>
      </c>
      <c r="J182" s="302">
        <v>0.2</v>
      </c>
      <c r="K182" s="322" t="s">
        <v>109</v>
      </c>
      <c r="L182" s="151">
        <f t="shared" si="52"/>
        <v>0</v>
      </c>
      <c r="M182" s="147"/>
      <c r="N182" s="569">
        <v>2</v>
      </c>
      <c r="O182" s="311">
        <v>970</v>
      </c>
      <c r="P182" s="573">
        <v>-0.6</v>
      </c>
      <c r="Q182" s="322" t="s">
        <v>109</v>
      </c>
      <c r="R182" s="151">
        <f t="shared" si="53"/>
        <v>0</v>
      </c>
    </row>
    <row r="183" spans="1:21" x14ac:dyDescent="0.2">
      <c r="A183" s="1228"/>
      <c r="B183" s="569">
        <v>3</v>
      </c>
      <c r="C183" s="311">
        <v>25</v>
      </c>
      <c r="D183" s="302">
        <v>0</v>
      </c>
      <c r="E183" s="322" t="s">
        <v>109</v>
      </c>
      <c r="F183" s="151">
        <f t="shared" si="51"/>
        <v>0</v>
      </c>
      <c r="G183" s="147"/>
      <c r="H183" s="569">
        <v>3</v>
      </c>
      <c r="I183" s="311">
        <v>50</v>
      </c>
      <c r="J183" s="302">
        <v>0.2</v>
      </c>
      <c r="K183" s="322" t="s">
        <v>109</v>
      </c>
      <c r="L183" s="151">
        <f t="shared" si="52"/>
        <v>0</v>
      </c>
      <c r="M183" s="147"/>
      <c r="N183" s="569">
        <v>3</v>
      </c>
      <c r="O183" s="312">
        <v>980</v>
      </c>
      <c r="P183" s="306">
        <v>-0.6</v>
      </c>
      <c r="Q183" s="322" t="s">
        <v>109</v>
      </c>
      <c r="R183" s="151">
        <f t="shared" si="53"/>
        <v>0</v>
      </c>
    </row>
    <row r="184" spans="1:21" x14ac:dyDescent="0.2">
      <c r="A184" s="1228"/>
      <c r="B184" s="569">
        <v>4</v>
      </c>
      <c r="C184" s="312">
        <v>30</v>
      </c>
      <c r="D184" s="304">
        <v>-0.2</v>
      </c>
      <c r="E184" s="305" t="s">
        <v>109</v>
      </c>
      <c r="F184" s="151">
        <f t="shared" si="51"/>
        <v>0</v>
      </c>
      <c r="G184" s="147"/>
      <c r="H184" s="569">
        <v>4</v>
      </c>
      <c r="I184" s="312">
        <v>60</v>
      </c>
      <c r="J184" s="304">
        <v>0</v>
      </c>
      <c r="K184" s="305" t="s">
        <v>109</v>
      </c>
      <c r="L184" s="151">
        <f t="shared" si="52"/>
        <v>0</v>
      </c>
      <c r="M184" s="147"/>
      <c r="N184" s="569">
        <v>4</v>
      </c>
      <c r="O184" s="312">
        <v>990</v>
      </c>
      <c r="P184" s="306">
        <v>-0.6</v>
      </c>
      <c r="Q184" s="305" t="s">
        <v>109</v>
      </c>
      <c r="R184" s="151">
        <f t="shared" si="53"/>
        <v>0</v>
      </c>
    </row>
    <row r="185" spans="1:21" x14ac:dyDescent="0.2">
      <c r="A185" s="1228"/>
      <c r="B185" s="569">
        <v>5</v>
      </c>
      <c r="C185" s="312">
        <v>35</v>
      </c>
      <c r="D185" s="304">
        <v>-0.5</v>
      </c>
      <c r="E185" s="305" t="s">
        <v>109</v>
      </c>
      <c r="F185" s="151">
        <f t="shared" si="51"/>
        <v>0</v>
      </c>
      <c r="G185" s="147"/>
      <c r="H185" s="569">
        <v>5</v>
      </c>
      <c r="I185" s="312">
        <v>70</v>
      </c>
      <c r="J185" s="304">
        <v>-0.3</v>
      </c>
      <c r="K185" s="305" t="s">
        <v>109</v>
      </c>
      <c r="L185" s="151">
        <f t="shared" si="52"/>
        <v>0</v>
      </c>
      <c r="M185" s="147"/>
      <c r="N185" s="569">
        <v>5</v>
      </c>
      <c r="O185" s="312">
        <v>1000</v>
      </c>
      <c r="P185" s="306">
        <v>-0.6</v>
      </c>
      <c r="Q185" s="305" t="s">
        <v>109</v>
      </c>
      <c r="R185" s="151">
        <f t="shared" si="53"/>
        <v>0</v>
      </c>
    </row>
    <row r="186" spans="1:21" ht="13.5" thickBot="1" x14ac:dyDescent="0.25">
      <c r="A186" s="1228"/>
      <c r="B186" s="569">
        <v>6</v>
      </c>
      <c r="C186" s="312">
        <v>37</v>
      </c>
      <c r="D186" s="304">
        <v>-0.6</v>
      </c>
      <c r="E186" s="305" t="s">
        <v>109</v>
      </c>
      <c r="F186" s="151">
        <f t="shared" si="51"/>
        <v>0</v>
      </c>
      <c r="G186" s="147"/>
      <c r="H186" s="569">
        <v>6</v>
      </c>
      <c r="I186" s="312">
        <v>80</v>
      </c>
      <c r="J186" s="304">
        <v>-0.8</v>
      </c>
      <c r="K186" s="305" t="s">
        <v>109</v>
      </c>
      <c r="L186" s="151">
        <f t="shared" si="52"/>
        <v>0</v>
      </c>
      <c r="M186" s="147"/>
      <c r="N186" s="569">
        <v>6</v>
      </c>
      <c r="O186" s="313">
        <v>1005</v>
      </c>
      <c r="P186" s="575">
        <v>-0.6</v>
      </c>
      <c r="Q186" s="305" t="s">
        <v>109</v>
      </c>
      <c r="R186" s="151">
        <f t="shared" si="53"/>
        <v>0</v>
      </c>
    </row>
    <row r="187" spans="1:21" ht="13.5" thickBot="1" x14ac:dyDescent="0.25">
      <c r="A187" s="1229"/>
      <c r="B187" s="574">
        <v>7</v>
      </c>
      <c r="C187" s="329">
        <v>40</v>
      </c>
      <c r="D187" s="314">
        <v>-0.8</v>
      </c>
      <c r="E187" s="315" t="s">
        <v>109</v>
      </c>
      <c r="F187" s="153">
        <f t="shared" si="51"/>
        <v>0</v>
      </c>
      <c r="G187" s="152"/>
      <c r="H187" s="574">
        <v>7</v>
      </c>
      <c r="I187" s="329">
        <v>90</v>
      </c>
      <c r="J187" s="314">
        <v>-1.4</v>
      </c>
      <c r="K187" s="315" t="s">
        <v>109</v>
      </c>
      <c r="L187" s="153">
        <f t="shared" si="52"/>
        <v>0</v>
      </c>
      <c r="M187" s="152"/>
      <c r="N187" s="574">
        <v>7</v>
      </c>
      <c r="O187" s="313">
        <v>1020</v>
      </c>
      <c r="P187" s="575">
        <v>0</v>
      </c>
      <c r="Q187" s="315" t="s">
        <v>109</v>
      </c>
      <c r="R187" s="153">
        <f t="shared" si="53"/>
        <v>0</v>
      </c>
    </row>
    <row r="188" spans="1:21" ht="13.5" thickBot="1" x14ac:dyDescent="0.25">
      <c r="A188" s="550"/>
      <c r="B188" s="147"/>
      <c r="C188" s="581"/>
      <c r="D188" s="582"/>
      <c r="E188" s="583"/>
      <c r="F188" s="584"/>
      <c r="G188" s="147"/>
      <c r="H188" s="147"/>
      <c r="I188" s="581"/>
      <c r="J188" s="582"/>
      <c r="K188" s="583"/>
      <c r="L188" s="584"/>
      <c r="M188" s="147"/>
      <c r="N188" s="147"/>
      <c r="O188" s="582"/>
      <c r="P188" s="585"/>
      <c r="Q188" s="583"/>
      <c r="R188" s="584"/>
    </row>
    <row r="189" spans="1:21" ht="13.5" thickBot="1" x14ac:dyDescent="0.25">
      <c r="A189" s="1227">
        <v>18</v>
      </c>
      <c r="B189" s="1230" t="s">
        <v>220</v>
      </c>
      <c r="C189" s="1231"/>
      <c r="D189" s="1231"/>
      <c r="E189" s="1231"/>
      <c r="F189" s="1232"/>
      <c r="G189" s="148"/>
      <c r="H189" s="1230" t="str">
        <f>B189</f>
        <v>KOREKSI EXTECH A.100618</v>
      </c>
      <c r="I189" s="1231"/>
      <c r="J189" s="1231"/>
      <c r="K189" s="1231"/>
      <c r="L189" s="1232"/>
      <c r="M189" s="148"/>
      <c r="N189" s="1230" t="str">
        <f>H189</f>
        <v>KOREKSI EXTECH A.100618</v>
      </c>
      <c r="O189" s="1231"/>
      <c r="P189" s="1231"/>
      <c r="Q189" s="1231"/>
      <c r="R189" s="1232"/>
      <c r="T189" s="1260" t="s">
        <v>195</v>
      </c>
      <c r="U189" s="1261"/>
    </row>
    <row r="190" spans="1:21" ht="13.5" thickBot="1" x14ac:dyDescent="0.25">
      <c r="A190" s="1228"/>
      <c r="B190" s="1233" t="s">
        <v>196</v>
      </c>
      <c r="C190" s="1234"/>
      <c r="D190" s="1235" t="s">
        <v>197</v>
      </c>
      <c r="E190" s="1236"/>
      <c r="F190" s="1237" t="s">
        <v>198</v>
      </c>
      <c r="G190" s="147"/>
      <c r="H190" s="1233" t="s">
        <v>199</v>
      </c>
      <c r="I190" s="1234"/>
      <c r="J190" s="1235" t="s">
        <v>197</v>
      </c>
      <c r="K190" s="1236"/>
      <c r="L190" s="1237" t="s">
        <v>198</v>
      </c>
      <c r="M190" s="147"/>
      <c r="N190" s="1233" t="s">
        <v>200</v>
      </c>
      <c r="O190" s="1234"/>
      <c r="P190" s="1235" t="s">
        <v>197</v>
      </c>
      <c r="Q190" s="1236"/>
      <c r="R190" s="1237" t="s">
        <v>198</v>
      </c>
      <c r="T190" s="567" t="s">
        <v>196</v>
      </c>
      <c r="U190" s="568">
        <v>0.3</v>
      </c>
    </row>
    <row r="191" spans="1:21" ht="15.75" thickBot="1" x14ac:dyDescent="0.25">
      <c r="A191" s="1228"/>
      <c r="B191" s="1239" t="s">
        <v>201</v>
      </c>
      <c r="C191" s="1240"/>
      <c r="D191" s="307">
        <v>2020</v>
      </c>
      <c r="E191" s="320" t="s">
        <v>109</v>
      </c>
      <c r="F191" s="1238"/>
      <c r="G191" s="147"/>
      <c r="H191" s="1241" t="s">
        <v>202</v>
      </c>
      <c r="I191" s="1242"/>
      <c r="J191" s="154">
        <f>D191</f>
        <v>2020</v>
      </c>
      <c r="K191" s="154" t="str">
        <f>E191</f>
        <v>-</v>
      </c>
      <c r="L191" s="1238"/>
      <c r="M191" s="147"/>
      <c r="N191" s="1241" t="s">
        <v>203</v>
      </c>
      <c r="O191" s="1242"/>
      <c r="P191" s="154">
        <f>J191</f>
        <v>2020</v>
      </c>
      <c r="Q191" s="154" t="str">
        <f>K191</f>
        <v>-</v>
      </c>
      <c r="R191" s="1238"/>
      <c r="T191" s="567" t="s">
        <v>202</v>
      </c>
      <c r="U191" s="568">
        <v>1.6</v>
      </c>
    </row>
    <row r="192" spans="1:21" ht="13.5" thickBot="1" x14ac:dyDescent="0.25">
      <c r="A192" s="1228"/>
      <c r="B192" s="569">
        <v>1</v>
      </c>
      <c r="C192" s="308">
        <v>15</v>
      </c>
      <c r="D192" s="310">
        <v>0</v>
      </c>
      <c r="E192" s="321" t="s">
        <v>109</v>
      </c>
      <c r="F192" s="149">
        <f t="shared" ref="F192:F198" si="54">0.5*(MAX(D192:E192)-MIN(D192:E192))</f>
        <v>0</v>
      </c>
      <c r="G192" s="147"/>
      <c r="H192" s="569">
        <v>1</v>
      </c>
      <c r="I192" s="308">
        <v>30</v>
      </c>
      <c r="J192" s="310">
        <v>-0.4</v>
      </c>
      <c r="K192" s="321" t="s">
        <v>109</v>
      </c>
      <c r="L192" s="149">
        <f t="shared" ref="L192:L198" si="55">0.5*(MAX(J192:K192)-MIN(J192:K192))</f>
        <v>0</v>
      </c>
      <c r="M192" s="147"/>
      <c r="N192" s="569">
        <v>1</v>
      </c>
      <c r="O192" s="311">
        <v>800</v>
      </c>
      <c r="P192" s="573">
        <v>-1.5</v>
      </c>
      <c r="Q192" s="321" t="s">
        <v>109</v>
      </c>
      <c r="R192" s="149">
        <f t="shared" ref="R192:R198" si="56">0.5*(MAX(P192:Q192)-MIN(P192:Q192))</f>
        <v>0</v>
      </c>
      <c r="T192" s="571" t="s">
        <v>203</v>
      </c>
      <c r="U192" s="572">
        <v>2.4</v>
      </c>
    </row>
    <row r="193" spans="1:21" x14ac:dyDescent="0.2">
      <c r="A193" s="1228"/>
      <c r="B193" s="569">
        <v>2</v>
      </c>
      <c r="C193" s="311">
        <v>20</v>
      </c>
      <c r="D193" s="302">
        <v>-0.1</v>
      </c>
      <c r="E193" s="322" t="s">
        <v>109</v>
      </c>
      <c r="F193" s="151">
        <f t="shared" si="54"/>
        <v>0</v>
      </c>
      <c r="G193" s="147"/>
      <c r="H193" s="569">
        <v>2</v>
      </c>
      <c r="I193" s="311">
        <v>40</v>
      </c>
      <c r="J193" s="302">
        <v>-0.2</v>
      </c>
      <c r="K193" s="322" t="s">
        <v>109</v>
      </c>
      <c r="L193" s="151">
        <f t="shared" si="55"/>
        <v>0</v>
      </c>
      <c r="M193" s="147"/>
      <c r="N193" s="569">
        <v>2</v>
      </c>
      <c r="O193" s="311">
        <v>850</v>
      </c>
      <c r="P193" s="573">
        <v>-1.3</v>
      </c>
      <c r="Q193" s="322" t="s">
        <v>109</v>
      </c>
      <c r="R193" s="151">
        <f t="shared" si="56"/>
        <v>0</v>
      </c>
    </row>
    <row r="194" spans="1:21" x14ac:dyDescent="0.2">
      <c r="A194" s="1228"/>
      <c r="B194" s="569">
        <v>3</v>
      </c>
      <c r="C194" s="311">
        <v>25</v>
      </c>
      <c r="D194" s="302">
        <v>-0.2</v>
      </c>
      <c r="E194" s="322" t="s">
        <v>109</v>
      </c>
      <c r="F194" s="151">
        <f t="shared" si="54"/>
        <v>0</v>
      </c>
      <c r="G194" s="147"/>
      <c r="H194" s="569">
        <v>3</v>
      </c>
      <c r="I194" s="311">
        <v>50</v>
      </c>
      <c r="J194" s="302">
        <v>-0.2</v>
      </c>
      <c r="K194" s="322" t="s">
        <v>109</v>
      </c>
      <c r="L194" s="151">
        <f t="shared" si="55"/>
        <v>0</v>
      </c>
      <c r="M194" s="147"/>
      <c r="N194" s="569">
        <v>3</v>
      </c>
      <c r="O194" s="312">
        <v>900</v>
      </c>
      <c r="P194" s="306">
        <v>-1.1000000000000001</v>
      </c>
      <c r="Q194" s="322" t="s">
        <v>109</v>
      </c>
      <c r="R194" s="151">
        <f t="shared" si="56"/>
        <v>0</v>
      </c>
    </row>
    <row r="195" spans="1:21" x14ac:dyDescent="0.2">
      <c r="A195" s="1228"/>
      <c r="B195" s="569">
        <v>4</v>
      </c>
      <c r="C195" s="312">
        <v>30</v>
      </c>
      <c r="D195" s="304">
        <v>-0.2</v>
      </c>
      <c r="E195" s="305" t="s">
        <v>109</v>
      </c>
      <c r="F195" s="151">
        <f t="shared" si="54"/>
        <v>0</v>
      </c>
      <c r="G195" s="147"/>
      <c r="H195" s="569">
        <v>4</v>
      </c>
      <c r="I195" s="312">
        <v>60</v>
      </c>
      <c r="J195" s="304">
        <v>-0.2</v>
      </c>
      <c r="K195" s="305" t="s">
        <v>109</v>
      </c>
      <c r="L195" s="151">
        <f t="shared" si="55"/>
        <v>0</v>
      </c>
      <c r="M195" s="147"/>
      <c r="N195" s="569">
        <v>4</v>
      </c>
      <c r="O195" s="312">
        <v>950</v>
      </c>
      <c r="P195" s="306">
        <v>-0.9</v>
      </c>
      <c r="Q195" s="305" t="s">
        <v>109</v>
      </c>
      <c r="R195" s="151">
        <f t="shared" si="56"/>
        <v>0</v>
      </c>
    </row>
    <row r="196" spans="1:21" x14ac:dyDescent="0.2">
      <c r="A196" s="1228"/>
      <c r="B196" s="569">
        <v>5</v>
      </c>
      <c r="C196" s="312">
        <v>35</v>
      </c>
      <c r="D196" s="304">
        <v>-0.3</v>
      </c>
      <c r="E196" s="305" t="s">
        <v>109</v>
      </c>
      <c r="F196" s="151">
        <f t="shared" si="54"/>
        <v>0</v>
      </c>
      <c r="G196" s="147"/>
      <c r="H196" s="569">
        <v>5</v>
      </c>
      <c r="I196" s="312">
        <v>70</v>
      </c>
      <c r="J196" s="304">
        <v>-0.3</v>
      </c>
      <c r="K196" s="305" t="s">
        <v>109</v>
      </c>
      <c r="L196" s="151">
        <f t="shared" si="55"/>
        <v>0</v>
      </c>
      <c r="M196" s="147"/>
      <c r="N196" s="569">
        <v>5</v>
      </c>
      <c r="O196" s="312">
        <v>1000</v>
      </c>
      <c r="P196" s="306">
        <v>-0.8</v>
      </c>
      <c r="Q196" s="305" t="s">
        <v>109</v>
      </c>
      <c r="R196" s="151">
        <f t="shared" si="56"/>
        <v>0</v>
      </c>
    </row>
    <row r="197" spans="1:21" ht="13.5" thickBot="1" x14ac:dyDescent="0.25">
      <c r="A197" s="1228"/>
      <c r="B197" s="569">
        <v>6</v>
      </c>
      <c r="C197" s="312">
        <v>37</v>
      </c>
      <c r="D197" s="304">
        <v>-0.3</v>
      </c>
      <c r="E197" s="305" t="s">
        <v>109</v>
      </c>
      <c r="F197" s="151">
        <f t="shared" si="54"/>
        <v>0</v>
      </c>
      <c r="G197" s="147"/>
      <c r="H197" s="569">
        <v>6</v>
      </c>
      <c r="I197" s="312">
        <v>80</v>
      </c>
      <c r="J197" s="304">
        <v>-0.5</v>
      </c>
      <c r="K197" s="305" t="s">
        <v>109</v>
      </c>
      <c r="L197" s="151">
        <f t="shared" si="55"/>
        <v>0</v>
      </c>
      <c r="M197" s="147"/>
      <c r="N197" s="569">
        <v>6</v>
      </c>
      <c r="O197" s="313">
        <v>1005</v>
      </c>
      <c r="P197" s="575">
        <v>-0.7</v>
      </c>
      <c r="Q197" s="305" t="s">
        <v>109</v>
      </c>
      <c r="R197" s="151">
        <f t="shared" si="56"/>
        <v>0</v>
      </c>
    </row>
    <row r="198" spans="1:21" ht="13.5" thickBot="1" x14ac:dyDescent="0.25">
      <c r="A198" s="1229"/>
      <c r="B198" s="574">
        <v>7</v>
      </c>
      <c r="C198" s="329">
        <v>40</v>
      </c>
      <c r="D198" s="314">
        <v>-0.4</v>
      </c>
      <c r="E198" s="315" t="s">
        <v>109</v>
      </c>
      <c r="F198" s="153">
        <f t="shared" si="54"/>
        <v>0</v>
      </c>
      <c r="G198" s="152"/>
      <c r="H198" s="574">
        <v>7</v>
      </c>
      <c r="I198" s="329">
        <v>90</v>
      </c>
      <c r="J198" s="314">
        <v>-0.8</v>
      </c>
      <c r="K198" s="315" t="s">
        <v>109</v>
      </c>
      <c r="L198" s="153">
        <f t="shared" si="55"/>
        <v>0</v>
      </c>
      <c r="M198" s="152"/>
      <c r="N198" s="574">
        <v>7</v>
      </c>
      <c r="O198" s="313">
        <v>1020</v>
      </c>
      <c r="P198" s="575">
        <v>0</v>
      </c>
      <c r="Q198" s="315" t="s">
        <v>109</v>
      </c>
      <c r="R198" s="153">
        <f t="shared" si="56"/>
        <v>0</v>
      </c>
    </row>
    <row r="199" spans="1:21" ht="13.5" thickBot="1" x14ac:dyDescent="0.25">
      <c r="A199" s="550"/>
      <c r="B199" s="147"/>
      <c r="C199" s="581"/>
      <c r="D199" s="582"/>
      <c r="E199" s="583"/>
      <c r="F199" s="584"/>
      <c r="G199" s="147"/>
      <c r="H199" s="147"/>
      <c r="I199" s="581"/>
      <c r="J199" s="582"/>
      <c r="K199" s="583"/>
      <c r="L199" s="584"/>
      <c r="M199" s="147"/>
      <c r="N199" s="147"/>
      <c r="O199" s="582"/>
      <c r="P199" s="585"/>
      <c r="Q199" s="583"/>
      <c r="R199" s="584"/>
    </row>
    <row r="200" spans="1:21" ht="13.5" thickBot="1" x14ac:dyDescent="0.25">
      <c r="A200" s="1227">
        <v>19</v>
      </c>
      <c r="B200" s="1230">
        <v>19</v>
      </c>
      <c r="C200" s="1231"/>
      <c r="D200" s="1231"/>
      <c r="E200" s="1231"/>
      <c r="F200" s="1232"/>
      <c r="G200" s="148"/>
      <c r="H200" s="1230">
        <f>B200</f>
        <v>19</v>
      </c>
      <c r="I200" s="1231"/>
      <c r="J200" s="1231"/>
      <c r="K200" s="1231"/>
      <c r="L200" s="1232"/>
      <c r="M200" s="148"/>
      <c r="N200" s="1230">
        <f>H200</f>
        <v>19</v>
      </c>
      <c r="O200" s="1231"/>
      <c r="P200" s="1231"/>
      <c r="Q200" s="1231"/>
      <c r="R200" s="1232"/>
      <c r="T200" s="1260" t="s">
        <v>195</v>
      </c>
      <c r="U200" s="1261"/>
    </row>
    <row r="201" spans="1:21" ht="13.5" thickBot="1" x14ac:dyDescent="0.25">
      <c r="A201" s="1228"/>
      <c r="B201" s="1233" t="s">
        <v>196</v>
      </c>
      <c r="C201" s="1234"/>
      <c r="D201" s="1235" t="s">
        <v>197</v>
      </c>
      <c r="E201" s="1236"/>
      <c r="F201" s="1237" t="s">
        <v>198</v>
      </c>
      <c r="G201" s="147"/>
      <c r="H201" s="1233" t="s">
        <v>199</v>
      </c>
      <c r="I201" s="1234"/>
      <c r="J201" s="1235" t="s">
        <v>197</v>
      </c>
      <c r="K201" s="1236"/>
      <c r="L201" s="1237" t="s">
        <v>198</v>
      </c>
      <c r="M201" s="147"/>
      <c r="N201" s="1233" t="s">
        <v>200</v>
      </c>
      <c r="O201" s="1234"/>
      <c r="P201" s="1235" t="s">
        <v>197</v>
      </c>
      <c r="Q201" s="1236"/>
      <c r="R201" s="1237" t="s">
        <v>198</v>
      </c>
      <c r="T201" s="567" t="s">
        <v>196</v>
      </c>
      <c r="U201" s="568">
        <v>0</v>
      </c>
    </row>
    <row r="202" spans="1:21" ht="15.75" thickBot="1" x14ac:dyDescent="0.25">
      <c r="A202" s="1228"/>
      <c r="B202" s="1239" t="s">
        <v>201</v>
      </c>
      <c r="C202" s="1240"/>
      <c r="D202" s="307">
        <v>2017</v>
      </c>
      <c r="E202" s="320" t="s">
        <v>109</v>
      </c>
      <c r="F202" s="1238"/>
      <c r="G202" s="147"/>
      <c r="H202" s="1241" t="s">
        <v>202</v>
      </c>
      <c r="I202" s="1242"/>
      <c r="J202" s="154">
        <f>D202</f>
        <v>2017</v>
      </c>
      <c r="K202" s="154" t="str">
        <f>E202</f>
        <v>-</v>
      </c>
      <c r="L202" s="1238"/>
      <c r="M202" s="147"/>
      <c r="N202" s="1241" t="s">
        <v>203</v>
      </c>
      <c r="O202" s="1242"/>
      <c r="P202" s="154">
        <f>J202</f>
        <v>2017</v>
      </c>
      <c r="Q202" s="154" t="str">
        <f>K202</f>
        <v>-</v>
      </c>
      <c r="R202" s="1238"/>
      <c r="T202" s="567" t="s">
        <v>202</v>
      </c>
      <c r="U202" s="568">
        <v>0</v>
      </c>
    </row>
    <row r="203" spans="1:21" ht="13.5" thickBot="1" x14ac:dyDescent="0.25">
      <c r="A203" s="1228"/>
      <c r="B203" s="569">
        <v>1</v>
      </c>
      <c r="C203" s="308">
        <v>14.8</v>
      </c>
      <c r="D203" s="310">
        <v>0</v>
      </c>
      <c r="E203" s="321" t="s">
        <v>109</v>
      </c>
      <c r="F203" s="149">
        <f t="shared" ref="F203:F209" si="57">0.5*(MAX(D203:E203)-MIN(D203:E203))</f>
        <v>0</v>
      </c>
      <c r="G203" s="147"/>
      <c r="H203" s="569">
        <v>1</v>
      </c>
      <c r="I203" s="308">
        <v>45.7</v>
      </c>
      <c r="J203" s="310">
        <v>0</v>
      </c>
      <c r="K203" s="321" t="s">
        <v>109</v>
      </c>
      <c r="L203" s="149">
        <f t="shared" ref="L203:L209" si="58">0.5*(MAX(J203:K203)-MIN(J203:K203))</f>
        <v>0</v>
      </c>
      <c r="M203" s="147"/>
      <c r="N203" s="569">
        <v>1</v>
      </c>
      <c r="O203" s="308">
        <v>750</v>
      </c>
      <c r="P203" s="570" t="s">
        <v>109</v>
      </c>
      <c r="Q203" s="321" t="s">
        <v>109</v>
      </c>
      <c r="R203" s="149">
        <f t="shared" ref="R203:R209" si="59">0.5*(MAX(P203:Q203)-MIN(P203:Q203))</f>
        <v>0</v>
      </c>
      <c r="T203" s="571" t="s">
        <v>203</v>
      </c>
      <c r="U203" s="572">
        <v>0</v>
      </c>
    </row>
    <row r="204" spans="1:21" x14ac:dyDescent="0.2">
      <c r="A204" s="1228"/>
      <c r="B204" s="569">
        <v>2</v>
      </c>
      <c r="C204" s="311">
        <v>19.7</v>
      </c>
      <c r="D204" s="302">
        <v>0</v>
      </c>
      <c r="E204" s="322" t="s">
        <v>109</v>
      </c>
      <c r="F204" s="151">
        <f t="shared" si="57"/>
        <v>0</v>
      </c>
      <c r="G204" s="147"/>
      <c r="H204" s="569">
        <v>2</v>
      </c>
      <c r="I204" s="311">
        <v>54.3</v>
      </c>
      <c r="J204" s="302">
        <v>0</v>
      </c>
      <c r="K204" s="322" t="s">
        <v>109</v>
      </c>
      <c r="L204" s="151">
        <f t="shared" si="58"/>
        <v>0</v>
      </c>
      <c r="M204" s="147"/>
      <c r="N204" s="569">
        <v>2</v>
      </c>
      <c r="O204" s="311">
        <v>800</v>
      </c>
      <c r="P204" s="573" t="s">
        <v>109</v>
      </c>
      <c r="Q204" s="322" t="s">
        <v>109</v>
      </c>
      <c r="R204" s="151">
        <f t="shared" si="59"/>
        <v>0</v>
      </c>
    </row>
    <row r="205" spans="1:21" x14ac:dyDescent="0.2">
      <c r="A205" s="1228"/>
      <c r="B205" s="569">
        <v>3</v>
      </c>
      <c r="C205" s="311">
        <v>24.6</v>
      </c>
      <c r="D205" s="302">
        <v>0</v>
      </c>
      <c r="E205" s="322" t="s">
        <v>109</v>
      </c>
      <c r="F205" s="151">
        <f t="shared" si="57"/>
        <v>0</v>
      </c>
      <c r="G205" s="147"/>
      <c r="H205" s="569">
        <v>3</v>
      </c>
      <c r="I205" s="311">
        <v>62.5</v>
      </c>
      <c r="J205" s="302">
        <v>0</v>
      </c>
      <c r="K205" s="322" t="s">
        <v>109</v>
      </c>
      <c r="L205" s="151">
        <f t="shared" si="58"/>
        <v>0</v>
      </c>
      <c r="M205" s="147"/>
      <c r="N205" s="569">
        <v>3</v>
      </c>
      <c r="O205" s="311">
        <v>850</v>
      </c>
      <c r="P205" s="573" t="s">
        <v>109</v>
      </c>
      <c r="Q205" s="322" t="s">
        <v>109</v>
      </c>
      <c r="R205" s="151">
        <f t="shared" si="59"/>
        <v>0</v>
      </c>
    </row>
    <row r="206" spans="1:21" x14ac:dyDescent="0.2">
      <c r="A206" s="1228"/>
      <c r="B206" s="569">
        <v>4</v>
      </c>
      <c r="C206" s="312">
        <v>29.5</v>
      </c>
      <c r="D206" s="304">
        <v>0</v>
      </c>
      <c r="E206" s="305" t="s">
        <v>109</v>
      </c>
      <c r="F206" s="151">
        <f t="shared" si="57"/>
        <v>0</v>
      </c>
      <c r="G206" s="147"/>
      <c r="H206" s="569">
        <v>4</v>
      </c>
      <c r="I206" s="312">
        <v>71.5</v>
      </c>
      <c r="J206" s="304">
        <v>0</v>
      </c>
      <c r="K206" s="305" t="s">
        <v>109</v>
      </c>
      <c r="L206" s="151">
        <f t="shared" si="58"/>
        <v>0</v>
      </c>
      <c r="M206" s="147"/>
      <c r="N206" s="569">
        <v>4</v>
      </c>
      <c r="O206" s="312">
        <v>900</v>
      </c>
      <c r="P206" s="306" t="s">
        <v>109</v>
      </c>
      <c r="Q206" s="305" t="s">
        <v>109</v>
      </c>
      <c r="R206" s="151">
        <f t="shared" si="59"/>
        <v>0</v>
      </c>
    </row>
    <row r="207" spans="1:21" x14ac:dyDescent="0.2">
      <c r="A207" s="1228"/>
      <c r="B207" s="569">
        <v>5</v>
      </c>
      <c r="C207" s="312">
        <v>34.5</v>
      </c>
      <c r="D207" s="304">
        <v>0</v>
      </c>
      <c r="E207" s="305" t="s">
        <v>109</v>
      </c>
      <c r="F207" s="151">
        <f t="shared" si="57"/>
        <v>0</v>
      </c>
      <c r="G207" s="147"/>
      <c r="H207" s="569">
        <v>5</v>
      </c>
      <c r="I207" s="312">
        <v>80.8</v>
      </c>
      <c r="J207" s="304">
        <v>0</v>
      </c>
      <c r="K207" s="305" t="s">
        <v>109</v>
      </c>
      <c r="L207" s="151">
        <f t="shared" si="58"/>
        <v>0</v>
      </c>
      <c r="M207" s="147"/>
      <c r="N207" s="569">
        <v>5</v>
      </c>
      <c r="O207" s="312">
        <v>1000</v>
      </c>
      <c r="P207" s="306" t="s">
        <v>109</v>
      </c>
      <c r="Q207" s="305" t="s">
        <v>109</v>
      </c>
      <c r="R207" s="151">
        <f t="shared" si="59"/>
        <v>0</v>
      </c>
    </row>
    <row r="208" spans="1:21" x14ac:dyDescent="0.2">
      <c r="A208" s="1228"/>
      <c r="B208" s="569">
        <v>6</v>
      </c>
      <c r="C208" s="312">
        <v>39.5</v>
      </c>
      <c r="D208" s="304">
        <v>0</v>
      </c>
      <c r="E208" s="305" t="s">
        <v>109</v>
      </c>
      <c r="F208" s="151">
        <f t="shared" si="57"/>
        <v>0</v>
      </c>
      <c r="G208" s="147"/>
      <c r="H208" s="569">
        <v>6</v>
      </c>
      <c r="I208" s="312">
        <v>88.7</v>
      </c>
      <c r="J208" s="304">
        <v>0</v>
      </c>
      <c r="K208" s="305" t="s">
        <v>109</v>
      </c>
      <c r="L208" s="151">
        <f t="shared" si="58"/>
        <v>0</v>
      </c>
      <c r="M208" s="147"/>
      <c r="N208" s="569">
        <v>6</v>
      </c>
      <c r="O208" s="312">
        <v>1005</v>
      </c>
      <c r="P208" s="306" t="s">
        <v>109</v>
      </c>
      <c r="Q208" s="305" t="s">
        <v>109</v>
      </c>
      <c r="R208" s="151">
        <f t="shared" si="59"/>
        <v>0</v>
      </c>
    </row>
    <row r="209" spans="1:23" ht="13.5" thickBot="1" x14ac:dyDescent="0.25">
      <c r="A209" s="1229"/>
      <c r="B209" s="574">
        <v>7</v>
      </c>
      <c r="C209" s="329">
        <v>40</v>
      </c>
      <c r="D209" s="314">
        <v>0</v>
      </c>
      <c r="E209" s="315" t="s">
        <v>109</v>
      </c>
      <c r="F209" s="153">
        <f t="shared" si="57"/>
        <v>0</v>
      </c>
      <c r="G209" s="152"/>
      <c r="H209" s="574">
        <v>7</v>
      </c>
      <c r="I209" s="329">
        <v>90</v>
      </c>
      <c r="J209" s="314">
        <v>0</v>
      </c>
      <c r="K209" s="315" t="s">
        <v>109</v>
      </c>
      <c r="L209" s="153">
        <f t="shared" si="58"/>
        <v>0</v>
      </c>
      <c r="M209" s="152"/>
      <c r="N209" s="574">
        <v>7</v>
      </c>
      <c r="O209" s="313">
        <v>1020</v>
      </c>
      <c r="P209" s="575" t="s">
        <v>109</v>
      </c>
      <c r="Q209" s="315" t="s">
        <v>109</v>
      </c>
      <c r="R209" s="153">
        <f t="shared" si="59"/>
        <v>0</v>
      </c>
    </row>
    <row r="210" spans="1:23" ht="13.5" thickBot="1" x14ac:dyDescent="0.25">
      <c r="A210" s="550"/>
      <c r="B210" s="147"/>
      <c r="C210" s="581"/>
      <c r="D210" s="582"/>
      <c r="E210" s="583"/>
      <c r="F210" s="584"/>
      <c r="G210" s="147"/>
      <c r="H210" s="147"/>
      <c r="I210" s="581"/>
      <c r="J210" s="582"/>
      <c r="K210" s="583"/>
      <c r="L210" s="584"/>
      <c r="M210" s="147"/>
      <c r="N210" s="147"/>
      <c r="O210" s="582"/>
      <c r="P210" s="585"/>
      <c r="Q210" s="583"/>
      <c r="R210" s="584"/>
    </row>
    <row r="211" spans="1:23" ht="13.5" thickBot="1" x14ac:dyDescent="0.25">
      <c r="A211" s="1227">
        <v>20</v>
      </c>
      <c r="B211" s="1230">
        <v>20</v>
      </c>
      <c r="C211" s="1231"/>
      <c r="D211" s="1231"/>
      <c r="E211" s="1231"/>
      <c r="F211" s="1232"/>
      <c r="G211" s="148"/>
      <c r="H211" s="1230">
        <f>B211</f>
        <v>20</v>
      </c>
      <c r="I211" s="1231"/>
      <c r="J211" s="1231"/>
      <c r="K211" s="1231"/>
      <c r="L211" s="1232"/>
      <c r="M211" s="148"/>
      <c r="N211" s="1230">
        <f>H211</f>
        <v>20</v>
      </c>
      <c r="O211" s="1231"/>
      <c r="P211" s="1231"/>
      <c r="Q211" s="1231"/>
      <c r="R211" s="1232"/>
      <c r="T211" s="1260" t="s">
        <v>195</v>
      </c>
      <c r="U211" s="1261"/>
    </row>
    <row r="212" spans="1:23" ht="13.5" thickBot="1" x14ac:dyDescent="0.25">
      <c r="A212" s="1228"/>
      <c r="B212" s="1233" t="s">
        <v>196</v>
      </c>
      <c r="C212" s="1234"/>
      <c r="D212" s="1235" t="s">
        <v>197</v>
      </c>
      <c r="E212" s="1236"/>
      <c r="F212" s="1237" t="s">
        <v>198</v>
      </c>
      <c r="G212" s="147"/>
      <c r="H212" s="1233" t="s">
        <v>199</v>
      </c>
      <c r="I212" s="1234"/>
      <c r="J212" s="1235" t="s">
        <v>197</v>
      </c>
      <c r="K212" s="1236"/>
      <c r="L212" s="1237" t="s">
        <v>198</v>
      </c>
      <c r="M212" s="147"/>
      <c r="N212" s="1233" t="s">
        <v>200</v>
      </c>
      <c r="O212" s="1234"/>
      <c r="P212" s="1235" t="s">
        <v>197</v>
      </c>
      <c r="Q212" s="1236"/>
      <c r="R212" s="1237" t="s">
        <v>198</v>
      </c>
      <c r="T212" s="567" t="s">
        <v>196</v>
      </c>
      <c r="U212" s="568">
        <v>0</v>
      </c>
    </row>
    <row r="213" spans="1:23" ht="15.75" thickBot="1" x14ac:dyDescent="0.25">
      <c r="A213" s="1228"/>
      <c r="B213" s="1239" t="s">
        <v>201</v>
      </c>
      <c r="C213" s="1240"/>
      <c r="D213" s="307">
        <v>2017</v>
      </c>
      <c r="E213" s="320" t="s">
        <v>109</v>
      </c>
      <c r="F213" s="1238"/>
      <c r="G213" s="147"/>
      <c r="H213" s="1241" t="s">
        <v>202</v>
      </c>
      <c r="I213" s="1242"/>
      <c r="J213" s="154">
        <f>D213</f>
        <v>2017</v>
      </c>
      <c r="K213" s="154" t="str">
        <f>E213</f>
        <v>-</v>
      </c>
      <c r="L213" s="1238"/>
      <c r="M213" s="147"/>
      <c r="N213" s="1241" t="s">
        <v>203</v>
      </c>
      <c r="O213" s="1242"/>
      <c r="P213" s="154">
        <f>J213</f>
        <v>2017</v>
      </c>
      <c r="Q213" s="154" t="str">
        <f>K213</f>
        <v>-</v>
      </c>
      <c r="R213" s="1238"/>
      <c r="T213" s="567" t="s">
        <v>202</v>
      </c>
      <c r="U213" s="568">
        <v>0</v>
      </c>
    </row>
    <row r="214" spans="1:23" ht="13.5" thickBot="1" x14ac:dyDescent="0.25">
      <c r="A214" s="1228"/>
      <c r="B214" s="569">
        <v>1</v>
      </c>
      <c r="C214" s="308">
        <v>14.8</v>
      </c>
      <c r="D214" s="310">
        <v>0</v>
      </c>
      <c r="E214" s="321" t="s">
        <v>109</v>
      </c>
      <c r="F214" s="149">
        <f t="shared" ref="F214:F220" si="60">0.5*(MAX(D214:E214)-MIN(D214:E214))</f>
        <v>0</v>
      </c>
      <c r="G214" s="147"/>
      <c r="H214" s="569">
        <v>1</v>
      </c>
      <c r="I214" s="308">
        <v>45.7</v>
      </c>
      <c r="J214" s="310">
        <v>0</v>
      </c>
      <c r="K214" s="321" t="s">
        <v>109</v>
      </c>
      <c r="L214" s="149">
        <f t="shared" ref="L214:L220" si="61">0.5*(MAX(J214:K214)-MIN(J214:K214))</f>
        <v>0</v>
      </c>
      <c r="M214" s="147"/>
      <c r="N214" s="569">
        <v>1</v>
      </c>
      <c r="O214" s="308">
        <v>750</v>
      </c>
      <c r="P214" s="570" t="s">
        <v>109</v>
      </c>
      <c r="Q214" s="321" t="s">
        <v>109</v>
      </c>
      <c r="R214" s="149">
        <f t="shared" ref="R214:R220" si="62">0.5*(MAX(P214:Q214)-MIN(P214:Q214))</f>
        <v>0</v>
      </c>
      <c r="T214" s="571" t="s">
        <v>203</v>
      </c>
      <c r="U214" s="572">
        <v>0</v>
      </c>
    </row>
    <row r="215" spans="1:23" x14ac:dyDescent="0.2">
      <c r="A215" s="1228"/>
      <c r="B215" s="569">
        <v>2</v>
      </c>
      <c r="C215" s="311">
        <v>19.7</v>
      </c>
      <c r="D215" s="302">
        <v>0</v>
      </c>
      <c r="E215" s="322" t="s">
        <v>109</v>
      </c>
      <c r="F215" s="151">
        <f t="shared" si="60"/>
        <v>0</v>
      </c>
      <c r="G215" s="147"/>
      <c r="H215" s="569">
        <v>2</v>
      </c>
      <c r="I215" s="311">
        <v>54.3</v>
      </c>
      <c r="J215" s="302">
        <v>0</v>
      </c>
      <c r="K215" s="322" t="s">
        <v>109</v>
      </c>
      <c r="L215" s="151">
        <f t="shared" si="61"/>
        <v>0</v>
      </c>
      <c r="M215" s="147"/>
      <c r="N215" s="569">
        <v>2</v>
      </c>
      <c r="O215" s="311">
        <v>800</v>
      </c>
      <c r="P215" s="573" t="s">
        <v>109</v>
      </c>
      <c r="Q215" s="322" t="s">
        <v>109</v>
      </c>
      <c r="R215" s="151">
        <f t="shared" si="62"/>
        <v>0</v>
      </c>
    </row>
    <row r="216" spans="1:23" x14ac:dyDescent="0.2">
      <c r="A216" s="1228"/>
      <c r="B216" s="569">
        <v>3</v>
      </c>
      <c r="C216" s="311">
        <v>24.6</v>
      </c>
      <c r="D216" s="302">
        <v>0</v>
      </c>
      <c r="E216" s="322" t="s">
        <v>109</v>
      </c>
      <c r="F216" s="151">
        <f t="shared" si="60"/>
        <v>0</v>
      </c>
      <c r="G216" s="147"/>
      <c r="H216" s="569">
        <v>3</v>
      </c>
      <c r="I216" s="311">
        <v>62.5</v>
      </c>
      <c r="J216" s="302">
        <v>0</v>
      </c>
      <c r="K216" s="322" t="s">
        <v>109</v>
      </c>
      <c r="L216" s="151">
        <f t="shared" si="61"/>
        <v>0</v>
      </c>
      <c r="M216" s="147"/>
      <c r="N216" s="569">
        <v>3</v>
      </c>
      <c r="O216" s="311">
        <v>850</v>
      </c>
      <c r="P216" s="573" t="s">
        <v>109</v>
      </c>
      <c r="Q216" s="322" t="s">
        <v>109</v>
      </c>
      <c r="R216" s="151">
        <f t="shared" si="62"/>
        <v>0</v>
      </c>
    </row>
    <row r="217" spans="1:23" x14ac:dyDescent="0.2">
      <c r="A217" s="1228"/>
      <c r="B217" s="569">
        <v>4</v>
      </c>
      <c r="C217" s="312">
        <v>29.5</v>
      </c>
      <c r="D217" s="304">
        <v>0</v>
      </c>
      <c r="E217" s="305" t="s">
        <v>109</v>
      </c>
      <c r="F217" s="151">
        <f t="shared" si="60"/>
        <v>0</v>
      </c>
      <c r="G217" s="147"/>
      <c r="H217" s="569">
        <v>4</v>
      </c>
      <c r="I217" s="312">
        <v>71.5</v>
      </c>
      <c r="J217" s="304">
        <v>0</v>
      </c>
      <c r="K217" s="305" t="s">
        <v>109</v>
      </c>
      <c r="L217" s="151">
        <f t="shared" si="61"/>
        <v>0</v>
      </c>
      <c r="M217" s="147"/>
      <c r="N217" s="569">
        <v>4</v>
      </c>
      <c r="O217" s="312">
        <v>900</v>
      </c>
      <c r="P217" s="306" t="s">
        <v>109</v>
      </c>
      <c r="Q217" s="305" t="s">
        <v>109</v>
      </c>
      <c r="R217" s="151">
        <f t="shared" si="62"/>
        <v>0</v>
      </c>
    </row>
    <row r="218" spans="1:23" x14ac:dyDescent="0.2">
      <c r="A218" s="1228"/>
      <c r="B218" s="569">
        <v>5</v>
      </c>
      <c r="C218" s="312">
        <v>34.5</v>
      </c>
      <c r="D218" s="304">
        <v>0</v>
      </c>
      <c r="E218" s="305" t="s">
        <v>109</v>
      </c>
      <c r="F218" s="151">
        <f t="shared" si="60"/>
        <v>0</v>
      </c>
      <c r="G218" s="147"/>
      <c r="H218" s="569">
        <v>5</v>
      </c>
      <c r="I218" s="312">
        <v>80.8</v>
      </c>
      <c r="J218" s="304">
        <v>0</v>
      </c>
      <c r="K218" s="305" t="s">
        <v>109</v>
      </c>
      <c r="L218" s="151">
        <f t="shared" si="61"/>
        <v>0</v>
      </c>
      <c r="M218" s="147"/>
      <c r="N218" s="569">
        <v>5</v>
      </c>
      <c r="O218" s="312">
        <v>1000</v>
      </c>
      <c r="P218" s="306" t="s">
        <v>109</v>
      </c>
      <c r="Q218" s="305" t="s">
        <v>109</v>
      </c>
      <c r="R218" s="151">
        <f t="shared" si="62"/>
        <v>0</v>
      </c>
    </row>
    <row r="219" spans="1:23" x14ac:dyDescent="0.2">
      <c r="A219" s="1228"/>
      <c r="B219" s="569">
        <v>6</v>
      </c>
      <c r="C219" s="312">
        <v>39.5</v>
      </c>
      <c r="D219" s="304">
        <v>0</v>
      </c>
      <c r="E219" s="305" t="s">
        <v>109</v>
      </c>
      <c r="F219" s="151">
        <f t="shared" si="60"/>
        <v>0</v>
      </c>
      <c r="G219" s="147"/>
      <c r="H219" s="569">
        <v>6</v>
      </c>
      <c r="I219" s="312">
        <v>88.7</v>
      </c>
      <c r="J219" s="304">
        <v>0</v>
      </c>
      <c r="K219" s="305" t="s">
        <v>109</v>
      </c>
      <c r="L219" s="151">
        <f t="shared" si="61"/>
        <v>0</v>
      </c>
      <c r="M219" s="147"/>
      <c r="N219" s="569">
        <v>6</v>
      </c>
      <c r="O219" s="312">
        <v>1005</v>
      </c>
      <c r="P219" s="306" t="s">
        <v>109</v>
      </c>
      <c r="Q219" s="305" t="s">
        <v>109</v>
      </c>
      <c r="R219" s="151">
        <f t="shared" si="62"/>
        <v>0</v>
      </c>
    </row>
    <row r="220" spans="1:23" ht="13.5" thickBot="1" x14ac:dyDescent="0.25">
      <c r="A220" s="1229"/>
      <c r="B220" s="574">
        <v>7</v>
      </c>
      <c r="C220" s="329">
        <v>40</v>
      </c>
      <c r="D220" s="314">
        <v>0</v>
      </c>
      <c r="E220" s="315" t="s">
        <v>109</v>
      </c>
      <c r="F220" s="153">
        <f t="shared" si="60"/>
        <v>0</v>
      </c>
      <c r="G220" s="152"/>
      <c r="H220" s="574">
        <v>7</v>
      </c>
      <c r="I220" s="329">
        <v>90</v>
      </c>
      <c r="J220" s="314">
        <v>0</v>
      </c>
      <c r="K220" s="315" t="s">
        <v>109</v>
      </c>
      <c r="L220" s="153">
        <f t="shared" si="61"/>
        <v>0</v>
      </c>
      <c r="M220" s="152"/>
      <c r="N220" s="574">
        <v>7</v>
      </c>
      <c r="O220" s="313">
        <v>1020</v>
      </c>
      <c r="P220" s="575" t="s">
        <v>109</v>
      </c>
      <c r="Q220" s="315" t="s">
        <v>109</v>
      </c>
      <c r="R220" s="153">
        <f t="shared" si="62"/>
        <v>0</v>
      </c>
    </row>
    <row r="221" spans="1:23" ht="13.5" thickBot="1" x14ac:dyDescent="0.25">
      <c r="A221" s="161"/>
      <c r="B221" s="1262"/>
      <c r="C221" s="1262"/>
      <c r="D221" s="1262"/>
      <c r="E221" s="1262"/>
      <c r="F221" s="1262"/>
      <c r="G221" s="1262"/>
      <c r="H221" s="1262"/>
      <c r="I221" s="1262"/>
      <c r="J221" s="1262"/>
      <c r="K221" s="1262"/>
      <c r="L221" s="1262"/>
      <c r="M221" s="1262"/>
      <c r="N221" s="1262"/>
      <c r="O221" s="1262"/>
      <c r="P221" s="1262"/>
      <c r="Q221" s="1262"/>
      <c r="R221" s="1262"/>
      <c r="S221" s="1262"/>
      <c r="T221" s="1262"/>
      <c r="U221" s="1262"/>
    </row>
    <row r="222" spans="1:23" ht="13.5" thickBo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</row>
    <row r="223" spans="1:23" ht="12.75" customHeight="1" x14ac:dyDescent="0.2">
      <c r="A223" s="1263" t="s">
        <v>44</v>
      </c>
      <c r="B223" s="1265" t="s">
        <v>221</v>
      </c>
      <c r="C223" s="1267" t="s">
        <v>222</v>
      </c>
      <c r="D223" s="1267"/>
      <c r="E223" s="1267"/>
      <c r="F223" s="1267"/>
      <c r="G223" s="162"/>
      <c r="H223" s="1268" t="s">
        <v>44</v>
      </c>
      <c r="I223" s="1265" t="s">
        <v>221</v>
      </c>
      <c r="J223" s="1267" t="s">
        <v>222</v>
      </c>
      <c r="K223" s="1267"/>
      <c r="L223" s="1267"/>
      <c r="M223" s="1267"/>
      <c r="N223" s="15"/>
      <c r="O223" s="1268" t="s">
        <v>44</v>
      </c>
      <c r="P223" s="1265" t="s">
        <v>221</v>
      </c>
      <c r="Q223" s="1267" t="s">
        <v>222</v>
      </c>
      <c r="R223" s="1267"/>
      <c r="S223" s="1267"/>
      <c r="T223" s="1270"/>
      <c r="V223" s="1271" t="s">
        <v>195</v>
      </c>
      <c r="W223" s="1272"/>
    </row>
    <row r="224" spans="1:23" ht="13.5" x14ac:dyDescent="0.2">
      <c r="A224" s="1264"/>
      <c r="B224" s="1266"/>
      <c r="C224" s="552" t="s">
        <v>196</v>
      </c>
      <c r="D224" s="1273" t="s">
        <v>197</v>
      </c>
      <c r="E224" s="1273"/>
      <c r="F224" s="1273" t="s">
        <v>198</v>
      </c>
      <c r="G224" s="16"/>
      <c r="H224" s="1269"/>
      <c r="I224" s="1266"/>
      <c r="J224" s="552" t="s">
        <v>199</v>
      </c>
      <c r="K224" s="1273" t="s">
        <v>197</v>
      </c>
      <c r="L224" s="1273"/>
      <c r="M224" s="1273" t="s">
        <v>198</v>
      </c>
      <c r="N224" s="16"/>
      <c r="O224" s="1269"/>
      <c r="P224" s="1266"/>
      <c r="Q224" s="552" t="s">
        <v>200</v>
      </c>
      <c r="R224" s="1273" t="s">
        <v>197</v>
      </c>
      <c r="S224" s="1273"/>
      <c r="T224" s="1274" t="s">
        <v>198</v>
      </c>
      <c r="V224" s="1275" t="s">
        <v>196</v>
      </c>
      <c r="W224" s="1276"/>
    </row>
    <row r="225" spans="1:23" ht="15" x14ac:dyDescent="0.2">
      <c r="A225" s="1264"/>
      <c r="B225" s="1266"/>
      <c r="C225" s="163" t="s">
        <v>223</v>
      </c>
      <c r="D225" s="552"/>
      <c r="E225" s="552"/>
      <c r="F225" s="1273"/>
      <c r="G225" s="16"/>
      <c r="H225" s="1269"/>
      <c r="I225" s="1266"/>
      <c r="J225" s="163" t="s">
        <v>202</v>
      </c>
      <c r="K225" s="552"/>
      <c r="L225" s="552"/>
      <c r="M225" s="1273"/>
      <c r="N225" s="16"/>
      <c r="O225" s="1269"/>
      <c r="P225" s="1266"/>
      <c r="Q225" s="163" t="s">
        <v>203</v>
      </c>
      <c r="R225" s="552"/>
      <c r="S225" s="552"/>
      <c r="T225" s="1274"/>
      <c r="V225" s="586">
        <v>1</v>
      </c>
      <c r="W225" s="587">
        <f>U3</f>
        <v>0.5</v>
      </c>
    </row>
    <row r="226" spans="1:23" x14ac:dyDescent="0.2">
      <c r="A226" s="1277">
        <v>1</v>
      </c>
      <c r="B226" s="551">
        <v>1</v>
      </c>
      <c r="C226" s="164">
        <f>C5</f>
        <v>15</v>
      </c>
      <c r="D226" s="164">
        <f t="shared" ref="D226:F226" si="63">D5</f>
        <v>0.3</v>
      </c>
      <c r="E226" s="164">
        <f t="shared" si="63"/>
        <v>0</v>
      </c>
      <c r="F226" s="164">
        <f t="shared" si="63"/>
        <v>0.15</v>
      </c>
      <c r="G226" s="16"/>
      <c r="H226" s="1280">
        <v>1</v>
      </c>
      <c r="I226" s="551">
        <v>1</v>
      </c>
      <c r="J226" s="164">
        <f>I5</f>
        <v>35</v>
      </c>
      <c r="K226" s="164">
        <f t="shared" ref="K226:M226" si="64">J5</f>
        <v>-9.4</v>
      </c>
      <c r="L226" s="164">
        <f t="shared" si="64"/>
        <v>0</v>
      </c>
      <c r="M226" s="164">
        <f t="shared" si="64"/>
        <v>4.7</v>
      </c>
      <c r="N226" s="16"/>
      <c r="O226" s="1280">
        <v>1</v>
      </c>
      <c r="P226" s="551">
        <v>1</v>
      </c>
      <c r="Q226" s="164">
        <f>O5</f>
        <v>750</v>
      </c>
      <c r="R226" s="164" t="str">
        <f t="shared" ref="R226:T226" si="65">P5</f>
        <v>-</v>
      </c>
      <c r="S226" s="164" t="str">
        <f t="shared" si="65"/>
        <v>-</v>
      </c>
      <c r="T226" s="588">
        <f t="shared" si="65"/>
        <v>0</v>
      </c>
      <c r="V226" s="589">
        <v>2</v>
      </c>
      <c r="W226" s="590">
        <f>U14</f>
        <v>0.3</v>
      </c>
    </row>
    <row r="227" spans="1:23" x14ac:dyDescent="0.2">
      <c r="A227" s="1278"/>
      <c r="B227" s="551">
        <v>2</v>
      </c>
      <c r="C227" s="164">
        <f>C16</f>
        <v>15</v>
      </c>
      <c r="D227" s="164">
        <f t="shared" ref="D227:F227" si="66">D16</f>
        <v>0</v>
      </c>
      <c r="E227" s="164">
        <f t="shared" si="66"/>
        <v>0.5</v>
      </c>
      <c r="F227" s="164">
        <f t="shared" si="66"/>
        <v>0.25</v>
      </c>
      <c r="G227" s="16"/>
      <c r="H227" s="1281"/>
      <c r="I227" s="551">
        <v>2</v>
      </c>
      <c r="J227" s="164">
        <f>I16</f>
        <v>35</v>
      </c>
      <c r="K227" s="164">
        <f t="shared" ref="K227:M227" si="67">J16</f>
        <v>-1.6</v>
      </c>
      <c r="L227" s="164">
        <f t="shared" si="67"/>
        <v>-0.9</v>
      </c>
      <c r="M227" s="164">
        <f t="shared" si="67"/>
        <v>0.35000000000000003</v>
      </c>
      <c r="N227" s="16"/>
      <c r="O227" s="1281"/>
      <c r="P227" s="551">
        <v>2</v>
      </c>
      <c r="Q227" s="164">
        <f>O16</f>
        <v>750</v>
      </c>
      <c r="R227" s="164" t="str">
        <f t="shared" ref="R227:T227" si="68">P16</f>
        <v>-</v>
      </c>
      <c r="S227" s="164" t="str">
        <f t="shared" si="68"/>
        <v>-</v>
      </c>
      <c r="T227" s="588">
        <f t="shared" si="68"/>
        <v>0</v>
      </c>
      <c r="V227" s="589">
        <v>3</v>
      </c>
      <c r="W227" s="591">
        <f>U25</f>
        <v>0.3</v>
      </c>
    </row>
    <row r="228" spans="1:23" x14ac:dyDescent="0.2">
      <c r="A228" s="1278"/>
      <c r="B228" s="551">
        <v>3</v>
      </c>
      <c r="C228" s="164">
        <f>C27</f>
        <v>15</v>
      </c>
      <c r="D228" s="164">
        <f t="shared" ref="D228:F228" si="69">D27</f>
        <v>0</v>
      </c>
      <c r="E228" s="164">
        <f t="shared" si="69"/>
        <v>0.2</v>
      </c>
      <c r="F228" s="164">
        <f t="shared" si="69"/>
        <v>0.1</v>
      </c>
      <c r="G228" s="16"/>
      <c r="H228" s="1281"/>
      <c r="I228" s="551">
        <v>3</v>
      </c>
      <c r="J228" s="164">
        <f>I27</f>
        <v>30</v>
      </c>
      <c r="K228" s="164">
        <f t="shared" ref="K228:M228" si="70">J27</f>
        <v>-5.7</v>
      </c>
      <c r="L228" s="164">
        <f t="shared" si="70"/>
        <v>-1.1000000000000001</v>
      </c>
      <c r="M228" s="164">
        <f t="shared" si="70"/>
        <v>2.2999999999999998</v>
      </c>
      <c r="N228" s="16"/>
      <c r="O228" s="1281"/>
      <c r="P228" s="551">
        <v>3</v>
      </c>
      <c r="Q228" s="164">
        <f>O27</f>
        <v>750</v>
      </c>
      <c r="R228" s="164" t="str">
        <f t="shared" ref="R228:T228" si="71">P27</f>
        <v>-</v>
      </c>
      <c r="S228" s="164" t="str">
        <f t="shared" si="71"/>
        <v>-</v>
      </c>
      <c r="T228" s="588">
        <f t="shared" si="71"/>
        <v>0</v>
      </c>
      <c r="V228" s="589">
        <v>4</v>
      </c>
      <c r="W228" s="591">
        <f>U37</f>
        <v>0.6</v>
      </c>
    </row>
    <row r="229" spans="1:23" x14ac:dyDescent="0.2">
      <c r="A229" s="1278"/>
      <c r="B229" s="551">
        <v>4</v>
      </c>
      <c r="C229" s="165">
        <f>C38</f>
        <v>15</v>
      </c>
      <c r="D229" s="165">
        <f t="shared" ref="D229:F229" si="72">D38</f>
        <v>-0.1</v>
      </c>
      <c r="E229" s="165">
        <f t="shared" si="72"/>
        <v>0.4</v>
      </c>
      <c r="F229" s="165">
        <f t="shared" si="72"/>
        <v>0.25</v>
      </c>
      <c r="G229" s="16"/>
      <c r="H229" s="1281"/>
      <c r="I229" s="551">
        <v>4</v>
      </c>
      <c r="J229" s="165">
        <f>I38</f>
        <v>35</v>
      </c>
      <c r="K229" s="165">
        <f t="shared" ref="K229:M229" si="73">J38</f>
        <v>-1.7</v>
      </c>
      <c r="L229" s="165">
        <f t="shared" si="73"/>
        <v>-0.8</v>
      </c>
      <c r="M229" s="165">
        <f t="shared" si="73"/>
        <v>0.44999999999999996</v>
      </c>
      <c r="N229" s="16"/>
      <c r="O229" s="1281"/>
      <c r="P229" s="551">
        <v>4</v>
      </c>
      <c r="Q229" s="165">
        <f>O38</f>
        <v>750</v>
      </c>
      <c r="R229" s="165" t="str">
        <f t="shared" ref="R229:T229" si="74">P38</f>
        <v>-</v>
      </c>
      <c r="S229" s="165" t="str">
        <f t="shared" si="74"/>
        <v>-</v>
      </c>
      <c r="T229" s="592">
        <f t="shared" si="74"/>
        <v>0</v>
      </c>
      <c r="V229" s="589">
        <v>5</v>
      </c>
      <c r="W229" s="591">
        <f>U47</f>
        <v>0.3</v>
      </c>
    </row>
    <row r="230" spans="1:23" x14ac:dyDescent="0.2">
      <c r="A230" s="1278"/>
      <c r="B230" s="551">
        <v>5</v>
      </c>
      <c r="C230" s="165">
        <f>C49</f>
        <v>15</v>
      </c>
      <c r="D230" s="165">
        <f t="shared" ref="D230:F230" si="75">D49</f>
        <v>0.3</v>
      </c>
      <c r="E230" s="165">
        <f t="shared" si="75"/>
        <v>0.4</v>
      </c>
      <c r="F230" s="165">
        <f t="shared" si="75"/>
        <v>5.0000000000000017E-2</v>
      </c>
      <c r="G230" s="16"/>
      <c r="H230" s="1281"/>
      <c r="I230" s="551">
        <v>5</v>
      </c>
      <c r="J230" s="165">
        <f>I49</f>
        <v>35</v>
      </c>
      <c r="K230" s="165">
        <f t="shared" ref="K230:M230" si="76">J49</f>
        <v>-9.6</v>
      </c>
      <c r="L230" s="165">
        <f t="shared" si="76"/>
        <v>-1.6</v>
      </c>
      <c r="M230" s="165">
        <f t="shared" si="76"/>
        <v>4</v>
      </c>
      <c r="N230" s="16"/>
      <c r="O230" s="1281"/>
      <c r="P230" s="551">
        <v>5</v>
      </c>
      <c r="Q230" s="165">
        <f>O49</f>
        <v>750</v>
      </c>
      <c r="R230" s="165" t="str">
        <f t="shared" ref="R230:T230" si="77">P49</f>
        <v>-</v>
      </c>
      <c r="S230" s="165" t="str">
        <f t="shared" si="77"/>
        <v>-</v>
      </c>
      <c r="T230" s="592">
        <f t="shared" si="77"/>
        <v>0</v>
      </c>
      <c r="V230" s="586">
        <v>6</v>
      </c>
      <c r="W230" s="587">
        <f>U58</f>
        <v>0.5</v>
      </c>
    </row>
    <row r="231" spans="1:23" x14ac:dyDescent="0.2">
      <c r="A231" s="1278"/>
      <c r="B231" s="551">
        <v>6</v>
      </c>
      <c r="C231" s="165">
        <f>C60</f>
        <v>15</v>
      </c>
      <c r="D231" s="165">
        <f t="shared" ref="D231:F231" si="78">D60</f>
        <v>0.4</v>
      </c>
      <c r="E231" s="165">
        <f t="shared" si="78"/>
        <v>-0.2</v>
      </c>
      <c r="F231" s="165">
        <f t="shared" si="78"/>
        <v>0.30000000000000004</v>
      </c>
      <c r="G231" s="16"/>
      <c r="H231" s="1281"/>
      <c r="I231" s="551">
        <v>6</v>
      </c>
      <c r="J231" s="165">
        <f>I60</f>
        <v>30</v>
      </c>
      <c r="K231" s="165">
        <f t="shared" ref="K231:M231" si="79">J60</f>
        <v>1.7</v>
      </c>
      <c r="L231" s="165">
        <f t="shared" si="79"/>
        <v>-4.9000000000000004</v>
      </c>
      <c r="M231" s="165">
        <f t="shared" si="79"/>
        <v>3.3000000000000003</v>
      </c>
      <c r="N231" s="16"/>
      <c r="O231" s="1281"/>
      <c r="P231" s="551">
        <v>6</v>
      </c>
      <c r="Q231" s="165">
        <f>O60</f>
        <v>750</v>
      </c>
      <c r="R231" s="165">
        <f t="shared" ref="R231:T231" si="80">P60</f>
        <v>2.1</v>
      </c>
      <c r="S231" s="165" t="str">
        <f t="shared" si="80"/>
        <v>-</v>
      </c>
      <c r="T231" s="592">
        <f t="shared" si="80"/>
        <v>0</v>
      </c>
      <c r="V231" s="586">
        <v>7</v>
      </c>
      <c r="W231" s="587">
        <f>U69</f>
        <v>0.3</v>
      </c>
    </row>
    <row r="232" spans="1:23" x14ac:dyDescent="0.2">
      <c r="A232" s="1278"/>
      <c r="B232" s="551">
        <v>7</v>
      </c>
      <c r="C232" s="165">
        <f>C71</f>
        <v>15</v>
      </c>
      <c r="D232" s="165">
        <f t="shared" ref="D232:F232" si="81">D71</f>
        <v>0.3</v>
      </c>
      <c r="E232" s="165">
        <f t="shared" si="81"/>
        <v>0.2</v>
      </c>
      <c r="F232" s="165">
        <f t="shared" si="81"/>
        <v>4.9999999999999989E-2</v>
      </c>
      <c r="G232" s="16"/>
      <c r="H232" s="1281"/>
      <c r="I232" s="551">
        <v>7</v>
      </c>
      <c r="J232" s="165">
        <f>I71</f>
        <v>30</v>
      </c>
      <c r="K232" s="165">
        <f t="shared" ref="K232:M232" si="82">J71</f>
        <v>1.8</v>
      </c>
      <c r="L232" s="165">
        <f t="shared" si="82"/>
        <v>-0.1</v>
      </c>
      <c r="M232" s="165">
        <f t="shared" si="82"/>
        <v>0.95000000000000007</v>
      </c>
      <c r="N232" s="16"/>
      <c r="O232" s="1281"/>
      <c r="P232" s="551">
        <v>7</v>
      </c>
      <c r="Q232" s="165">
        <f>O71</f>
        <v>750</v>
      </c>
      <c r="R232" s="165">
        <f t="shared" ref="R232:T232" si="83">P71</f>
        <v>3.2</v>
      </c>
      <c r="S232" s="165" t="str">
        <f t="shared" si="83"/>
        <v>-</v>
      </c>
      <c r="T232" s="592">
        <f t="shared" si="83"/>
        <v>0</v>
      </c>
      <c r="V232" s="586">
        <v>8</v>
      </c>
      <c r="W232" s="587">
        <f>U80</f>
        <v>0.3</v>
      </c>
    </row>
    <row r="233" spans="1:23" x14ac:dyDescent="0.2">
      <c r="A233" s="1278"/>
      <c r="B233" s="551">
        <v>8</v>
      </c>
      <c r="C233" s="165">
        <f>C82</f>
        <v>15</v>
      </c>
      <c r="D233" s="165">
        <f t="shared" ref="D233:F233" si="84">D82</f>
        <v>0</v>
      </c>
      <c r="E233" s="165">
        <f t="shared" si="84"/>
        <v>-0.2</v>
      </c>
      <c r="F233" s="165">
        <f t="shared" si="84"/>
        <v>0.1</v>
      </c>
      <c r="G233" s="16"/>
      <c r="H233" s="1281"/>
      <c r="I233" s="551">
        <v>8</v>
      </c>
      <c r="J233" s="165">
        <f>I82</f>
        <v>30</v>
      </c>
      <c r="K233" s="165">
        <f t="shared" ref="K233:M233" si="85">J82</f>
        <v>-1.4</v>
      </c>
      <c r="L233" s="165">
        <f t="shared" si="85"/>
        <v>1</v>
      </c>
      <c r="M233" s="165">
        <f t="shared" si="85"/>
        <v>1.2</v>
      </c>
      <c r="N233" s="16"/>
      <c r="O233" s="1281"/>
      <c r="P233" s="551">
        <v>8</v>
      </c>
      <c r="Q233" s="165">
        <f>O82</f>
        <v>750</v>
      </c>
      <c r="R233" s="165">
        <f t="shared" ref="R233:T233" si="86">P82</f>
        <v>0</v>
      </c>
      <c r="S233" s="165" t="str">
        <f t="shared" si="86"/>
        <v>-</v>
      </c>
      <c r="T233" s="592">
        <f t="shared" si="86"/>
        <v>0</v>
      </c>
      <c r="V233" s="586">
        <v>9</v>
      </c>
      <c r="W233" s="587">
        <f>U91</f>
        <v>0.3</v>
      </c>
    </row>
    <row r="234" spans="1:23" x14ac:dyDescent="0.2">
      <c r="A234" s="1278"/>
      <c r="B234" s="551">
        <v>9</v>
      </c>
      <c r="C234" s="165">
        <f>C93</f>
        <v>15</v>
      </c>
      <c r="D234" s="165">
        <f t="shared" ref="D234:F234" si="87">D93</f>
        <v>0</v>
      </c>
      <c r="E234" s="165" t="str">
        <f t="shared" si="87"/>
        <v>-</v>
      </c>
      <c r="F234" s="165">
        <f t="shared" si="87"/>
        <v>0</v>
      </c>
      <c r="G234" s="16"/>
      <c r="H234" s="1281"/>
      <c r="I234" s="551">
        <v>9</v>
      </c>
      <c r="J234" s="165">
        <f>I93</f>
        <v>30</v>
      </c>
      <c r="K234" s="165">
        <f t="shared" ref="K234:M234" si="88">J93</f>
        <v>-1.2</v>
      </c>
      <c r="L234" s="165" t="str">
        <f t="shared" si="88"/>
        <v>-</v>
      </c>
      <c r="M234" s="165">
        <f t="shared" si="88"/>
        <v>0</v>
      </c>
      <c r="N234" s="16"/>
      <c r="O234" s="1281"/>
      <c r="P234" s="551">
        <v>9</v>
      </c>
      <c r="Q234" s="165">
        <f>O93</f>
        <v>750</v>
      </c>
      <c r="R234" s="165">
        <f t="shared" ref="R234:T234" si="89">P93</f>
        <v>0</v>
      </c>
      <c r="S234" s="165" t="str">
        <f t="shared" si="89"/>
        <v>-</v>
      </c>
      <c r="T234" s="592">
        <f t="shared" si="89"/>
        <v>0</v>
      </c>
      <c r="V234" s="586">
        <v>10</v>
      </c>
      <c r="W234" s="587">
        <f>U102</f>
        <v>0.3</v>
      </c>
    </row>
    <row r="235" spans="1:23" x14ac:dyDescent="0.2">
      <c r="A235" s="1278"/>
      <c r="B235" s="551">
        <v>10</v>
      </c>
      <c r="C235" s="165">
        <f>C104</f>
        <v>15</v>
      </c>
      <c r="D235" s="165">
        <f t="shared" ref="D235:F235" si="90">D104</f>
        <v>0.2</v>
      </c>
      <c r="E235" s="165">
        <f t="shared" si="90"/>
        <v>0.2</v>
      </c>
      <c r="F235" s="165">
        <f t="shared" si="90"/>
        <v>0</v>
      </c>
      <c r="G235" s="16"/>
      <c r="H235" s="1281"/>
      <c r="I235" s="551">
        <v>10</v>
      </c>
      <c r="J235" s="165">
        <f>I104</f>
        <v>30</v>
      </c>
      <c r="K235" s="165">
        <f t="shared" ref="K235:M235" si="91">J104</f>
        <v>-2.9</v>
      </c>
      <c r="L235" s="165">
        <f t="shared" si="91"/>
        <v>-5.8</v>
      </c>
      <c r="M235" s="165">
        <f t="shared" si="91"/>
        <v>1.45</v>
      </c>
      <c r="N235" s="16"/>
      <c r="O235" s="1281"/>
      <c r="P235" s="551">
        <v>10</v>
      </c>
      <c r="Q235" s="165">
        <f>O104</f>
        <v>750</v>
      </c>
      <c r="R235" s="165" t="str">
        <f t="shared" ref="R235:T235" si="92">P104</f>
        <v>-</v>
      </c>
      <c r="S235" s="165" t="str">
        <f t="shared" si="92"/>
        <v>-</v>
      </c>
      <c r="T235" s="592">
        <f t="shared" si="92"/>
        <v>0</v>
      </c>
      <c r="V235" s="586">
        <v>11</v>
      </c>
      <c r="W235" s="587">
        <f>U113</f>
        <v>0.3</v>
      </c>
    </row>
    <row r="236" spans="1:23" x14ac:dyDescent="0.2">
      <c r="A236" s="1278"/>
      <c r="B236" s="551">
        <v>11</v>
      </c>
      <c r="C236" s="165">
        <f>C115</f>
        <v>14.8</v>
      </c>
      <c r="D236" s="165">
        <f t="shared" ref="D236:F236" si="93">D115</f>
        <v>0.3</v>
      </c>
      <c r="E236" s="165" t="str">
        <f t="shared" si="93"/>
        <v>-</v>
      </c>
      <c r="F236" s="165">
        <f t="shared" si="93"/>
        <v>0</v>
      </c>
      <c r="G236" s="16"/>
      <c r="H236" s="1281"/>
      <c r="I236" s="551">
        <v>11</v>
      </c>
      <c r="J236" s="165">
        <f>I115</f>
        <v>45.7</v>
      </c>
      <c r="K236" s="165">
        <f t="shared" ref="K236:M236" si="94">J115</f>
        <v>-6.4</v>
      </c>
      <c r="L236" s="165" t="str">
        <f t="shared" si="94"/>
        <v>-</v>
      </c>
      <c r="M236" s="165">
        <f t="shared" si="94"/>
        <v>0</v>
      </c>
      <c r="N236" s="16"/>
      <c r="O236" s="1281"/>
      <c r="P236" s="551">
        <v>11</v>
      </c>
      <c r="Q236" s="165">
        <f>O115</f>
        <v>750</v>
      </c>
      <c r="R236" s="165" t="str">
        <f t="shared" ref="R236:T236" si="95">P115</f>
        <v>-</v>
      </c>
      <c r="S236" s="165" t="str">
        <f t="shared" si="95"/>
        <v>-</v>
      </c>
      <c r="T236" s="592">
        <f t="shared" si="95"/>
        <v>0</v>
      </c>
      <c r="V236" s="586">
        <v>12</v>
      </c>
      <c r="W236" s="587">
        <f>U124</f>
        <v>0.3</v>
      </c>
    </row>
    <row r="237" spans="1:23" x14ac:dyDescent="0.2">
      <c r="A237" s="1278"/>
      <c r="B237" s="551">
        <v>12</v>
      </c>
      <c r="C237" s="165">
        <f>C126</f>
        <v>15</v>
      </c>
      <c r="D237" s="165">
        <f t="shared" ref="D237:F237" si="96">D126</f>
        <v>0</v>
      </c>
      <c r="E237" s="165" t="str">
        <f t="shared" si="96"/>
        <v>-</v>
      </c>
      <c r="F237" s="165">
        <f t="shared" si="96"/>
        <v>0</v>
      </c>
      <c r="G237" s="16"/>
      <c r="H237" s="1281"/>
      <c r="I237" s="551">
        <v>12</v>
      </c>
      <c r="J237" s="165">
        <f>I126</f>
        <v>30</v>
      </c>
      <c r="K237" s="165">
        <f t="shared" ref="K237:M237" si="97">J126</f>
        <v>-0.4</v>
      </c>
      <c r="L237" s="165" t="str">
        <f t="shared" si="97"/>
        <v>-</v>
      </c>
      <c r="M237" s="165">
        <f t="shared" si="97"/>
        <v>0</v>
      </c>
      <c r="N237" s="16"/>
      <c r="O237" s="1281"/>
      <c r="P237" s="551">
        <v>12</v>
      </c>
      <c r="Q237" s="165">
        <f>O126</f>
        <v>800</v>
      </c>
      <c r="R237" s="165">
        <f t="shared" ref="R237:T237" si="98">P126</f>
        <v>-0.4</v>
      </c>
      <c r="S237" s="165" t="str">
        <f t="shared" si="98"/>
        <v>-</v>
      </c>
      <c r="T237" s="592">
        <f t="shared" si="98"/>
        <v>0</v>
      </c>
      <c r="U237" s="16"/>
      <c r="V237" s="586">
        <v>13</v>
      </c>
      <c r="W237" s="593">
        <f>U135</f>
        <v>0.3</v>
      </c>
    </row>
    <row r="238" spans="1:23" x14ac:dyDescent="0.2">
      <c r="A238" s="1278"/>
      <c r="B238" s="551">
        <v>13</v>
      </c>
      <c r="C238" s="165">
        <f>C137</f>
        <v>15</v>
      </c>
      <c r="D238" s="165">
        <f t="shared" ref="D238:F238" si="99">D137</f>
        <v>-0.7</v>
      </c>
      <c r="E238" s="165" t="str">
        <f t="shared" si="99"/>
        <v>-</v>
      </c>
      <c r="F238" s="165">
        <f t="shared" si="99"/>
        <v>0</v>
      </c>
      <c r="G238" s="16"/>
      <c r="H238" s="1281"/>
      <c r="I238" s="551">
        <v>13</v>
      </c>
      <c r="J238" s="165">
        <f>I137</f>
        <v>35</v>
      </c>
      <c r="K238" s="165">
        <f t="shared" ref="K238:M238" si="100">J137</f>
        <v>-1.4</v>
      </c>
      <c r="L238" s="165" t="str">
        <f t="shared" si="100"/>
        <v>-</v>
      </c>
      <c r="M238" s="165">
        <f t="shared" si="100"/>
        <v>0</v>
      </c>
      <c r="N238" s="16"/>
      <c r="O238" s="1281"/>
      <c r="P238" s="551">
        <v>13</v>
      </c>
      <c r="Q238" s="165">
        <f>O137</f>
        <v>960</v>
      </c>
      <c r="R238" s="165">
        <f t="shared" ref="R238:T238" si="101">P137</f>
        <v>0.9</v>
      </c>
      <c r="S238" s="165" t="str">
        <f t="shared" si="101"/>
        <v>-</v>
      </c>
      <c r="T238" s="592">
        <f t="shared" si="101"/>
        <v>0</v>
      </c>
      <c r="U238" s="16"/>
      <c r="V238" s="586">
        <v>14</v>
      </c>
      <c r="W238" s="593">
        <f>U146</f>
        <v>0.4</v>
      </c>
    </row>
    <row r="239" spans="1:23" x14ac:dyDescent="0.2">
      <c r="A239" s="1278"/>
      <c r="B239" s="551">
        <v>14</v>
      </c>
      <c r="C239" s="165">
        <f>C148</f>
        <v>15</v>
      </c>
      <c r="D239" s="165">
        <f t="shared" ref="D239:F239" si="102">D148</f>
        <v>-0.2</v>
      </c>
      <c r="E239" s="165" t="str">
        <f t="shared" si="102"/>
        <v>-</v>
      </c>
      <c r="F239" s="165">
        <f t="shared" si="102"/>
        <v>0</v>
      </c>
      <c r="G239" s="16"/>
      <c r="H239" s="1281"/>
      <c r="I239" s="551">
        <v>14</v>
      </c>
      <c r="J239" s="165">
        <f>I148</f>
        <v>35</v>
      </c>
      <c r="K239" s="165">
        <f t="shared" ref="K239:M239" si="103">J148</f>
        <v>0.6</v>
      </c>
      <c r="L239" s="165" t="str">
        <f t="shared" si="103"/>
        <v>-</v>
      </c>
      <c r="M239" s="165">
        <f t="shared" si="103"/>
        <v>0</v>
      </c>
      <c r="N239" s="16"/>
      <c r="O239" s="1281"/>
      <c r="P239" s="551">
        <v>14</v>
      </c>
      <c r="Q239" s="165">
        <f>O148</f>
        <v>960</v>
      </c>
      <c r="R239" s="165">
        <f t="shared" ref="R239:T239" si="104">P148</f>
        <v>0.9</v>
      </c>
      <c r="S239" s="165" t="str">
        <f t="shared" si="104"/>
        <v>-</v>
      </c>
      <c r="T239" s="592">
        <f t="shared" si="104"/>
        <v>0</v>
      </c>
      <c r="U239" s="16"/>
      <c r="V239" s="586">
        <v>15</v>
      </c>
      <c r="W239" s="593">
        <f>U157</f>
        <v>0.3</v>
      </c>
    </row>
    <row r="240" spans="1:23" x14ac:dyDescent="0.2">
      <c r="A240" s="1278"/>
      <c r="B240" s="551">
        <v>15</v>
      </c>
      <c r="C240" s="165">
        <f>C159</f>
        <v>15</v>
      </c>
      <c r="D240" s="165">
        <f t="shared" ref="D240:F240" si="105">D159</f>
        <v>-0.6</v>
      </c>
      <c r="E240" s="165" t="str">
        <f t="shared" si="105"/>
        <v>-</v>
      </c>
      <c r="F240" s="165">
        <f t="shared" si="105"/>
        <v>0</v>
      </c>
      <c r="G240" s="16"/>
      <c r="H240" s="1281"/>
      <c r="I240" s="551">
        <v>15</v>
      </c>
      <c r="J240" s="165">
        <f>I159</f>
        <v>35</v>
      </c>
      <c r="K240" s="165">
        <f t="shared" ref="K240:M240" si="106">J159</f>
        <v>-0.4</v>
      </c>
      <c r="L240" s="165" t="str">
        <f t="shared" si="106"/>
        <v>-</v>
      </c>
      <c r="M240" s="165">
        <f t="shared" si="106"/>
        <v>0</v>
      </c>
      <c r="N240" s="16"/>
      <c r="O240" s="1281"/>
      <c r="P240" s="551">
        <v>15</v>
      </c>
      <c r="Q240" s="165">
        <f>O159</f>
        <v>960</v>
      </c>
      <c r="R240" s="165">
        <f t="shared" ref="R240:T240" si="107">P159</f>
        <v>0.9</v>
      </c>
      <c r="S240" s="165" t="str">
        <f t="shared" si="107"/>
        <v>-</v>
      </c>
      <c r="T240" s="592">
        <f t="shared" si="107"/>
        <v>0</v>
      </c>
      <c r="U240" s="16"/>
      <c r="V240" s="586">
        <v>16</v>
      </c>
      <c r="W240" s="593">
        <f>U168</f>
        <v>0.4</v>
      </c>
    </row>
    <row r="241" spans="1:23" x14ac:dyDescent="0.2">
      <c r="A241" s="1278"/>
      <c r="B241" s="551">
        <v>16</v>
      </c>
      <c r="C241" s="165">
        <f>C170</f>
        <v>15</v>
      </c>
      <c r="D241" s="165">
        <f t="shared" ref="D241:F241" si="108">D170</f>
        <v>0.1</v>
      </c>
      <c r="E241" s="165" t="str">
        <f t="shared" si="108"/>
        <v>-</v>
      </c>
      <c r="F241" s="165">
        <f t="shared" si="108"/>
        <v>0</v>
      </c>
      <c r="G241" s="16"/>
      <c r="H241" s="1281"/>
      <c r="I241" s="551">
        <v>16</v>
      </c>
      <c r="J241" s="165">
        <f>I170</f>
        <v>30</v>
      </c>
      <c r="K241" s="165">
        <f t="shared" ref="K241:M241" si="109">J170</f>
        <v>-1.6</v>
      </c>
      <c r="L241" s="165" t="str">
        <f t="shared" si="109"/>
        <v>-</v>
      </c>
      <c r="M241" s="165">
        <f t="shared" si="109"/>
        <v>0</v>
      </c>
      <c r="N241" s="16"/>
      <c r="O241" s="1281"/>
      <c r="P241" s="551">
        <v>16</v>
      </c>
      <c r="Q241" s="165">
        <f>O170</f>
        <v>800</v>
      </c>
      <c r="R241" s="165">
        <f t="shared" ref="R241:T241" si="110">P170</f>
        <v>-2.9</v>
      </c>
      <c r="S241" s="165" t="str">
        <f t="shared" si="110"/>
        <v>-</v>
      </c>
      <c r="T241" s="592">
        <f t="shared" si="110"/>
        <v>0</v>
      </c>
      <c r="U241" s="16"/>
      <c r="V241" s="586">
        <v>17</v>
      </c>
      <c r="W241" s="593">
        <f>U179</f>
        <v>0.3</v>
      </c>
    </row>
    <row r="242" spans="1:23" x14ac:dyDescent="0.2">
      <c r="A242" s="1278"/>
      <c r="B242" s="551">
        <v>17</v>
      </c>
      <c r="C242" s="165">
        <f>C181</f>
        <v>15</v>
      </c>
      <c r="D242" s="165">
        <f t="shared" ref="D242:F242" si="111">D181</f>
        <v>0.1</v>
      </c>
      <c r="E242" s="165" t="str">
        <f t="shared" si="111"/>
        <v>-</v>
      </c>
      <c r="F242" s="165">
        <f t="shared" si="111"/>
        <v>0</v>
      </c>
      <c r="G242" s="16"/>
      <c r="H242" s="1281"/>
      <c r="I242" s="551">
        <v>17</v>
      </c>
      <c r="J242" s="165">
        <f>I181</f>
        <v>30</v>
      </c>
      <c r="K242" s="165">
        <f t="shared" ref="K242:M242" si="112">J181</f>
        <v>0.1</v>
      </c>
      <c r="L242" s="165" t="str">
        <f t="shared" si="112"/>
        <v>-</v>
      </c>
      <c r="M242" s="165">
        <f t="shared" si="112"/>
        <v>0</v>
      </c>
      <c r="N242" s="16"/>
      <c r="O242" s="1281"/>
      <c r="P242" s="551">
        <v>17</v>
      </c>
      <c r="Q242" s="165">
        <f>O181</f>
        <v>960</v>
      </c>
      <c r="R242" s="165">
        <f t="shared" ref="R242:T242" si="113">P181</f>
        <v>-0.6</v>
      </c>
      <c r="S242" s="165" t="str">
        <f t="shared" si="113"/>
        <v>-</v>
      </c>
      <c r="T242" s="592">
        <f t="shared" si="113"/>
        <v>0</v>
      </c>
      <c r="U242" s="16"/>
      <c r="V242" s="586">
        <v>18</v>
      </c>
      <c r="W242" s="593">
        <f>U190</f>
        <v>0.3</v>
      </c>
    </row>
    <row r="243" spans="1:23" x14ac:dyDescent="0.2">
      <c r="A243" s="1278"/>
      <c r="B243" s="551">
        <v>18</v>
      </c>
      <c r="C243" s="165">
        <f>C192</f>
        <v>15</v>
      </c>
      <c r="D243" s="165">
        <f t="shared" ref="D243:F243" si="114">D192</f>
        <v>0</v>
      </c>
      <c r="E243" s="165" t="str">
        <f t="shared" si="114"/>
        <v>-</v>
      </c>
      <c r="F243" s="165">
        <f t="shared" si="114"/>
        <v>0</v>
      </c>
      <c r="G243" s="16"/>
      <c r="H243" s="1281"/>
      <c r="I243" s="551">
        <v>18</v>
      </c>
      <c r="J243" s="165">
        <f>I192</f>
        <v>30</v>
      </c>
      <c r="K243" s="165">
        <f t="shared" ref="K243:M243" si="115">J192</f>
        <v>-0.4</v>
      </c>
      <c r="L243" s="165" t="str">
        <f t="shared" si="115"/>
        <v>-</v>
      </c>
      <c r="M243" s="165">
        <f t="shared" si="115"/>
        <v>0</v>
      </c>
      <c r="N243" s="16"/>
      <c r="O243" s="1281"/>
      <c r="P243" s="551">
        <v>18</v>
      </c>
      <c r="Q243" s="165">
        <f>O192</f>
        <v>800</v>
      </c>
      <c r="R243" s="165">
        <f t="shared" ref="R243:T243" si="116">P192</f>
        <v>-1.5</v>
      </c>
      <c r="S243" s="165" t="str">
        <f t="shared" si="116"/>
        <v>-</v>
      </c>
      <c r="T243" s="592">
        <f t="shared" si="116"/>
        <v>0</v>
      </c>
      <c r="U243" s="16"/>
      <c r="V243" s="586">
        <v>19</v>
      </c>
      <c r="W243" s="593">
        <f>U201</f>
        <v>0</v>
      </c>
    </row>
    <row r="244" spans="1:23" ht="13.5" thickBot="1" x14ac:dyDescent="0.25">
      <c r="A244" s="1278"/>
      <c r="B244" s="551">
        <v>19</v>
      </c>
      <c r="C244" s="165">
        <f>C203</f>
        <v>14.8</v>
      </c>
      <c r="D244" s="165">
        <f t="shared" ref="D244:F244" si="117">D203</f>
        <v>0</v>
      </c>
      <c r="E244" s="165" t="str">
        <f t="shared" si="117"/>
        <v>-</v>
      </c>
      <c r="F244" s="165">
        <f t="shared" si="117"/>
        <v>0</v>
      </c>
      <c r="G244" s="16"/>
      <c r="H244" s="1281"/>
      <c r="I244" s="551">
        <v>19</v>
      </c>
      <c r="J244" s="165">
        <f>I203</f>
        <v>45.7</v>
      </c>
      <c r="K244" s="165">
        <f t="shared" ref="K244:M244" si="118">J203</f>
        <v>0</v>
      </c>
      <c r="L244" s="165" t="str">
        <f t="shared" si="118"/>
        <v>-</v>
      </c>
      <c r="M244" s="165">
        <f t="shared" si="118"/>
        <v>0</v>
      </c>
      <c r="N244" s="16"/>
      <c r="O244" s="1281"/>
      <c r="P244" s="551">
        <v>19</v>
      </c>
      <c r="Q244" s="165">
        <f>O203</f>
        <v>750</v>
      </c>
      <c r="R244" s="165" t="str">
        <f t="shared" ref="R244:T244" si="119">P203</f>
        <v>-</v>
      </c>
      <c r="S244" s="165" t="str">
        <f t="shared" si="119"/>
        <v>-</v>
      </c>
      <c r="T244" s="592">
        <f t="shared" si="119"/>
        <v>0</v>
      </c>
      <c r="U244" s="16"/>
      <c r="V244" s="594">
        <v>20</v>
      </c>
      <c r="W244" s="595">
        <f>U212</f>
        <v>0</v>
      </c>
    </row>
    <row r="245" spans="1:23" ht="13.5" thickBot="1" x14ac:dyDescent="0.25">
      <c r="A245" s="1279"/>
      <c r="B245" s="596">
        <v>20</v>
      </c>
      <c r="C245" s="597">
        <f>C214</f>
        <v>14.8</v>
      </c>
      <c r="D245" s="597">
        <f t="shared" ref="D245:F245" si="120">D214</f>
        <v>0</v>
      </c>
      <c r="E245" s="597" t="str">
        <f t="shared" si="120"/>
        <v>-</v>
      </c>
      <c r="F245" s="597">
        <f t="shared" si="120"/>
        <v>0</v>
      </c>
      <c r="G245" s="598"/>
      <c r="H245" s="1282"/>
      <c r="I245" s="596">
        <v>20</v>
      </c>
      <c r="J245" s="597">
        <f>I214</f>
        <v>45.7</v>
      </c>
      <c r="K245" s="597">
        <f t="shared" ref="K245:M245" si="121">J214</f>
        <v>0</v>
      </c>
      <c r="L245" s="597" t="str">
        <f t="shared" si="121"/>
        <v>-</v>
      </c>
      <c r="M245" s="597">
        <f t="shared" si="121"/>
        <v>0</v>
      </c>
      <c r="N245" s="598"/>
      <c r="O245" s="1282"/>
      <c r="P245" s="596">
        <v>20</v>
      </c>
      <c r="Q245" s="597">
        <f>O214</f>
        <v>750</v>
      </c>
      <c r="R245" s="597" t="str">
        <f t="shared" ref="R245:T245" si="122">P214</f>
        <v>-</v>
      </c>
      <c r="S245" s="597" t="str">
        <f t="shared" si="122"/>
        <v>-</v>
      </c>
      <c r="T245" s="599">
        <f t="shared" si="122"/>
        <v>0</v>
      </c>
      <c r="U245" s="16"/>
      <c r="V245" s="177"/>
    </row>
    <row r="246" spans="1:23" ht="13.5" thickBot="1" x14ac:dyDescent="0.25">
      <c r="A246" s="166"/>
      <c r="B246" s="167"/>
      <c r="C246" s="168"/>
      <c r="D246" s="168"/>
      <c r="E246" s="168"/>
      <c r="F246" s="169"/>
      <c r="G246" s="27"/>
      <c r="H246" s="167"/>
      <c r="I246" s="167"/>
      <c r="J246" s="600"/>
      <c r="K246" s="600"/>
      <c r="L246" s="600"/>
      <c r="M246" s="600"/>
      <c r="N246" s="27"/>
      <c r="O246" s="167"/>
      <c r="P246" s="167"/>
      <c r="Q246" s="600"/>
      <c r="R246" s="600"/>
      <c r="S246" s="600"/>
      <c r="T246" s="601"/>
      <c r="U246" s="27"/>
      <c r="V246" s="27"/>
    </row>
    <row r="247" spans="1:23" x14ac:dyDescent="0.2">
      <c r="A247" s="1289">
        <v>2</v>
      </c>
      <c r="B247" s="602">
        <v>1</v>
      </c>
      <c r="C247" s="603">
        <f>C6</f>
        <v>20</v>
      </c>
      <c r="D247" s="603">
        <f t="shared" ref="D247:F247" si="123">D6</f>
        <v>0.2</v>
      </c>
      <c r="E247" s="603">
        <f t="shared" si="123"/>
        <v>0</v>
      </c>
      <c r="F247" s="603">
        <f t="shared" si="123"/>
        <v>0.1</v>
      </c>
      <c r="G247" s="350"/>
      <c r="H247" s="1286">
        <v>2</v>
      </c>
      <c r="I247" s="602">
        <v>1</v>
      </c>
      <c r="J247" s="603">
        <f>I6</f>
        <v>40</v>
      </c>
      <c r="K247" s="603">
        <f t="shared" ref="K247:M247" si="124">J6</f>
        <v>-8.6</v>
      </c>
      <c r="L247" s="603">
        <f t="shared" si="124"/>
        <v>0</v>
      </c>
      <c r="M247" s="603">
        <f t="shared" si="124"/>
        <v>4.3</v>
      </c>
      <c r="N247" s="350"/>
      <c r="O247" s="1286">
        <v>2</v>
      </c>
      <c r="P247" s="602">
        <v>1</v>
      </c>
      <c r="Q247" s="603">
        <f>O6</f>
        <v>800</v>
      </c>
      <c r="R247" s="603" t="str">
        <f t="shared" ref="R247:T247" si="125">P6</f>
        <v>-</v>
      </c>
      <c r="S247" s="603" t="str">
        <f t="shared" si="125"/>
        <v>-</v>
      </c>
      <c r="T247" s="604">
        <f t="shared" si="125"/>
        <v>0</v>
      </c>
      <c r="V247" s="1271" t="s">
        <v>195</v>
      </c>
      <c r="W247" s="1272"/>
    </row>
    <row r="248" spans="1:23" x14ac:dyDescent="0.2">
      <c r="A248" s="1278"/>
      <c r="B248" s="551">
        <v>2</v>
      </c>
      <c r="C248" s="165">
        <f>C17</f>
        <v>20</v>
      </c>
      <c r="D248" s="165">
        <f t="shared" ref="D248:F248" si="126">D17</f>
        <v>-0.1</v>
      </c>
      <c r="E248" s="165">
        <f t="shared" si="126"/>
        <v>0</v>
      </c>
      <c r="F248" s="165">
        <f t="shared" si="126"/>
        <v>0.05</v>
      </c>
      <c r="G248" s="16"/>
      <c r="H248" s="1287"/>
      <c r="I248" s="551">
        <v>2</v>
      </c>
      <c r="J248" s="165">
        <f>I17</f>
        <v>40</v>
      </c>
      <c r="K248" s="165">
        <f t="shared" ref="K248:M248" si="127">J17</f>
        <v>-1.6</v>
      </c>
      <c r="L248" s="165">
        <f t="shared" si="127"/>
        <v>-1.1000000000000001</v>
      </c>
      <c r="M248" s="165">
        <f t="shared" si="127"/>
        <v>0.25</v>
      </c>
      <c r="N248" s="16"/>
      <c r="O248" s="1287"/>
      <c r="P248" s="551">
        <v>2</v>
      </c>
      <c r="Q248" s="165">
        <f>O17</f>
        <v>800</v>
      </c>
      <c r="R248" s="165" t="str">
        <f t="shared" ref="R248:T248" si="128">P17</f>
        <v>-</v>
      </c>
      <c r="S248" s="165" t="str">
        <f t="shared" si="128"/>
        <v>-</v>
      </c>
      <c r="T248" s="592">
        <f t="shared" si="128"/>
        <v>0</v>
      </c>
      <c r="V248" s="1275" t="s">
        <v>199</v>
      </c>
      <c r="W248" s="1276"/>
    </row>
    <row r="249" spans="1:23" x14ac:dyDescent="0.2">
      <c r="A249" s="1278"/>
      <c r="B249" s="551">
        <v>3</v>
      </c>
      <c r="C249" s="164">
        <f>C28</f>
        <v>20</v>
      </c>
      <c r="D249" s="164">
        <f t="shared" ref="D249:F249" si="129">D28</f>
        <v>0</v>
      </c>
      <c r="E249" s="164">
        <f t="shared" si="129"/>
        <v>0</v>
      </c>
      <c r="F249" s="164">
        <f t="shared" si="129"/>
        <v>0</v>
      </c>
      <c r="G249" s="16"/>
      <c r="H249" s="1287"/>
      <c r="I249" s="551">
        <v>3</v>
      </c>
      <c r="J249" s="164">
        <f>I28</f>
        <v>40</v>
      </c>
      <c r="K249" s="164">
        <f t="shared" ref="K249:M249" si="130">J28</f>
        <v>-5.3</v>
      </c>
      <c r="L249" s="164">
        <f t="shared" si="130"/>
        <v>-1.9</v>
      </c>
      <c r="M249" s="164">
        <f t="shared" si="130"/>
        <v>1.7</v>
      </c>
      <c r="N249" s="16"/>
      <c r="O249" s="1287"/>
      <c r="P249" s="551">
        <v>3</v>
      </c>
      <c r="Q249" s="164">
        <f>O28</f>
        <v>800</v>
      </c>
      <c r="R249" s="164" t="str">
        <f t="shared" ref="R249:T249" si="131">P28</f>
        <v>-</v>
      </c>
      <c r="S249" s="164" t="str">
        <f t="shared" si="131"/>
        <v>-</v>
      </c>
      <c r="T249" s="588">
        <f t="shared" si="131"/>
        <v>0</v>
      </c>
      <c r="V249" s="586">
        <v>1</v>
      </c>
      <c r="W249" s="587">
        <f>U4</f>
        <v>3.3</v>
      </c>
    </row>
    <row r="250" spans="1:23" x14ac:dyDescent="0.2">
      <c r="A250" s="1278"/>
      <c r="B250" s="551">
        <v>4</v>
      </c>
      <c r="C250" s="164">
        <f>C39</f>
        <v>20</v>
      </c>
      <c r="D250" s="164">
        <f t="shared" ref="D250:F250" si="132">D39</f>
        <v>-0.3</v>
      </c>
      <c r="E250" s="164">
        <f t="shared" si="132"/>
        <v>0</v>
      </c>
      <c r="F250" s="164">
        <f t="shared" si="132"/>
        <v>0.15</v>
      </c>
      <c r="G250" s="16"/>
      <c r="H250" s="1287"/>
      <c r="I250" s="551">
        <v>4</v>
      </c>
      <c r="J250" s="164">
        <f>I39</f>
        <v>40</v>
      </c>
      <c r="K250" s="164">
        <f t="shared" ref="K250:M250" si="133">J39</f>
        <v>-1.5</v>
      </c>
      <c r="L250" s="164">
        <f t="shared" si="133"/>
        <v>-0.9</v>
      </c>
      <c r="M250" s="164">
        <f t="shared" si="133"/>
        <v>0.3</v>
      </c>
      <c r="N250" s="16"/>
      <c r="O250" s="1287"/>
      <c r="P250" s="551">
        <v>4</v>
      </c>
      <c r="Q250" s="164">
        <f>O39</f>
        <v>800</v>
      </c>
      <c r="R250" s="164" t="str">
        <f t="shared" ref="R250:T250" si="134">P39</f>
        <v>-</v>
      </c>
      <c r="S250" s="164" t="str">
        <f t="shared" si="134"/>
        <v>-</v>
      </c>
      <c r="T250" s="588">
        <f t="shared" si="134"/>
        <v>0</v>
      </c>
      <c r="V250" s="589">
        <v>2</v>
      </c>
      <c r="W250" s="590">
        <f>U15</f>
        <v>3.3</v>
      </c>
    </row>
    <row r="251" spans="1:23" x14ac:dyDescent="0.2">
      <c r="A251" s="1278"/>
      <c r="B251" s="551">
        <v>5</v>
      </c>
      <c r="C251" s="164">
        <f>C50</f>
        <v>20</v>
      </c>
      <c r="D251" s="164">
        <f t="shared" ref="D251:F251" si="135">D50</f>
        <v>0.3</v>
      </c>
      <c r="E251" s="164">
        <f t="shared" si="135"/>
        <v>0</v>
      </c>
      <c r="F251" s="164">
        <f t="shared" si="135"/>
        <v>0.15</v>
      </c>
      <c r="G251" s="16"/>
      <c r="H251" s="1287"/>
      <c r="I251" s="551">
        <v>5</v>
      </c>
      <c r="J251" s="164">
        <f>I50</f>
        <v>40</v>
      </c>
      <c r="K251" s="164">
        <f t="shared" ref="K251:M251" si="136">J50</f>
        <v>-8</v>
      </c>
      <c r="L251" s="164">
        <f t="shared" si="136"/>
        <v>-1.8</v>
      </c>
      <c r="M251" s="164">
        <f t="shared" si="136"/>
        <v>3.1</v>
      </c>
      <c r="N251" s="16"/>
      <c r="O251" s="1287"/>
      <c r="P251" s="551">
        <v>5</v>
      </c>
      <c r="Q251" s="164">
        <f>O50</f>
        <v>800</v>
      </c>
      <c r="R251" s="164" t="str">
        <f t="shared" ref="R251:T251" si="137">P50</f>
        <v>-</v>
      </c>
      <c r="S251" s="164" t="str">
        <f t="shared" si="137"/>
        <v>-</v>
      </c>
      <c r="T251" s="588">
        <f t="shared" si="137"/>
        <v>0</v>
      </c>
      <c r="V251" s="589">
        <v>3</v>
      </c>
      <c r="W251" s="591">
        <f>U26</f>
        <v>3.1</v>
      </c>
    </row>
    <row r="252" spans="1:23" x14ac:dyDescent="0.2">
      <c r="A252" s="1278"/>
      <c r="B252" s="551">
        <v>6</v>
      </c>
      <c r="C252" s="164">
        <f>C61</f>
        <v>20</v>
      </c>
      <c r="D252" s="164">
        <f t="shared" ref="D252:F252" si="138">D61</f>
        <v>0.2</v>
      </c>
      <c r="E252" s="164">
        <f t="shared" si="138"/>
        <v>0</v>
      </c>
      <c r="F252" s="164">
        <f t="shared" si="138"/>
        <v>0.1</v>
      </c>
      <c r="G252" s="16"/>
      <c r="H252" s="1287"/>
      <c r="I252" s="551">
        <v>6</v>
      </c>
      <c r="J252" s="164">
        <f>I61</f>
        <v>40</v>
      </c>
      <c r="K252" s="164">
        <f t="shared" ref="K252:M252" si="139">J61</f>
        <v>1.5</v>
      </c>
      <c r="L252" s="164">
        <f t="shared" si="139"/>
        <v>-3.4</v>
      </c>
      <c r="M252" s="164">
        <f t="shared" si="139"/>
        <v>2.4500000000000002</v>
      </c>
      <c r="N252" s="16"/>
      <c r="O252" s="1287"/>
      <c r="P252" s="551">
        <v>6</v>
      </c>
      <c r="Q252" s="164">
        <f>O61</f>
        <v>800</v>
      </c>
      <c r="R252" s="164">
        <f t="shared" ref="R252:T252" si="140">P61</f>
        <v>1.6</v>
      </c>
      <c r="S252" s="164" t="str">
        <f t="shared" si="140"/>
        <v>-</v>
      </c>
      <c r="T252" s="588">
        <f t="shared" si="140"/>
        <v>0</v>
      </c>
      <c r="V252" s="589">
        <v>4</v>
      </c>
      <c r="W252" s="591">
        <f>U38</f>
        <v>2.6</v>
      </c>
    </row>
    <row r="253" spans="1:23" x14ac:dyDescent="0.2">
      <c r="A253" s="1278"/>
      <c r="B253" s="551">
        <v>7</v>
      </c>
      <c r="C253" s="164">
        <f>C72</f>
        <v>20</v>
      </c>
      <c r="D253" s="164">
        <f t="shared" ref="D253:F253" si="141">D72</f>
        <v>0.1</v>
      </c>
      <c r="E253" s="164">
        <f t="shared" si="141"/>
        <v>0.1</v>
      </c>
      <c r="F253" s="164">
        <f t="shared" si="141"/>
        <v>0</v>
      </c>
      <c r="G253" s="16"/>
      <c r="H253" s="1287"/>
      <c r="I253" s="551">
        <v>7</v>
      </c>
      <c r="J253" s="164">
        <f>I72</f>
        <v>40</v>
      </c>
      <c r="K253" s="164">
        <f t="shared" ref="K253:M253" si="142">J72</f>
        <v>1.2</v>
      </c>
      <c r="L253" s="164">
        <f t="shared" si="142"/>
        <v>0</v>
      </c>
      <c r="M253" s="164">
        <f t="shared" si="142"/>
        <v>0.6</v>
      </c>
      <c r="N253" s="16"/>
      <c r="O253" s="1287"/>
      <c r="P253" s="551">
        <v>7</v>
      </c>
      <c r="Q253" s="164">
        <f>O72</f>
        <v>800</v>
      </c>
      <c r="R253" s="164">
        <f t="shared" ref="R253:T253" si="143">P72</f>
        <v>2.5</v>
      </c>
      <c r="S253" s="164" t="str">
        <f t="shared" si="143"/>
        <v>-</v>
      </c>
      <c r="T253" s="588">
        <f t="shared" si="143"/>
        <v>0</v>
      </c>
      <c r="V253" s="589">
        <v>5</v>
      </c>
      <c r="W253" s="591">
        <f>U48</f>
        <v>3.2</v>
      </c>
    </row>
    <row r="254" spans="1:23" x14ac:dyDescent="0.2">
      <c r="A254" s="1278"/>
      <c r="B254" s="551">
        <v>8</v>
      </c>
      <c r="C254" s="164">
        <f>C83</f>
        <v>20</v>
      </c>
      <c r="D254" s="164">
        <f t="shared" ref="D254:F254" si="144">D83</f>
        <v>-0.2</v>
      </c>
      <c r="E254" s="164">
        <f t="shared" si="144"/>
        <v>-0.2</v>
      </c>
      <c r="F254" s="164">
        <f t="shared" si="144"/>
        <v>0</v>
      </c>
      <c r="G254" s="16"/>
      <c r="H254" s="1287"/>
      <c r="I254" s="551">
        <v>8</v>
      </c>
      <c r="J254" s="164">
        <f>I83</f>
        <v>40</v>
      </c>
      <c r="K254" s="164">
        <f t="shared" ref="K254:M254" si="145">J83</f>
        <v>-1.2</v>
      </c>
      <c r="L254" s="164">
        <f t="shared" si="145"/>
        <v>1.1000000000000001</v>
      </c>
      <c r="M254" s="164">
        <f t="shared" si="145"/>
        <v>1.1499999999999999</v>
      </c>
      <c r="N254" s="16"/>
      <c r="O254" s="1287"/>
      <c r="P254" s="551">
        <v>8</v>
      </c>
      <c r="Q254" s="164">
        <f>O83</f>
        <v>800</v>
      </c>
      <c r="R254" s="164">
        <f t="shared" ref="R254:T254" si="146">P83</f>
        <v>0</v>
      </c>
      <c r="S254" s="164" t="str">
        <f t="shared" si="146"/>
        <v>-</v>
      </c>
      <c r="T254" s="588">
        <f t="shared" si="146"/>
        <v>0</v>
      </c>
      <c r="V254" s="586">
        <v>6</v>
      </c>
      <c r="W254" s="587">
        <f>U59</f>
        <v>2</v>
      </c>
    </row>
    <row r="255" spans="1:23" x14ac:dyDescent="0.2">
      <c r="A255" s="1278"/>
      <c r="B255" s="551">
        <v>9</v>
      </c>
      <c r="C255" s="164">
        <f>C94</f>
        <v>20</v>
      </c>
      <c r="D255" s="164">
        <f t="shared" ref="D255:F255" si="147">D94</f>
        <v>-0.2</v>
      </c>
      <c r="E255" s="164" t="str">
        <f t="shared" si="147"/>
        <v>-</v>
      </c>
      <c r="F255" s="164">
        <f t="shared" si="147"/>
        <v>0</v>
      </c>
      <c r="G255" s="16"/>
      <c r="H255" s="1287"/>
      <c r="I255" s="551">
        <v>9</v>
      </c>
      <c r="J255" s="164">
        <f>I94</f>
        <v>40</v>
      </c>
      <c r="K255" s="164">
        <f t="shared" ref="K255:M255" si="148">J94</f>
        <v>-1</v>
      </c>
      <c r="L255" s="164" t="str">
        <f t="shared" si="148"/>
        <v>-</v>
      </c>
      <c r="M255" s="164">
        <f t="shared" si="148"/>
        <v>0</v>
      </c>
      <c r="N255" s="16"/>
      <c r="O255" s="1287"/>
      <c r="P255" s="551">
        <v>9</v>
      </c>
      <c r="Q255" s="164">
        <f>O94</f>
        <v>800</v>
      </c>
      <c r="R255" s="164">
        <f t="shared" ref="R255:T255" si="149">P94</f>
        <v>0</v>
      </c>
      <c r="S255" s="164" t="str">
        <f t="shared" si="149"/>
        <v>-</v>
      </c>
      <c r="T255" s="588">
        <f t="shared" si="149"/>
        <v>0</v>
      </c>
      <c r="V255" s="586">
        <v>7</v>
      </c>
      <c r="W255" s="587">
        <f>U70</f>
        <v>2.2999999999999998</v>
      </c>
    </row>
    <row r="256" spans="1:23" x14ac:dyDescent="0.2">
      <c r="A256" s="1278"/>
      <c r="B256" s="551">
        <v>10</v>
      </c>
      <c r="C256" s="164">
        <f>C105</f>
        <v>20</v>
      </c>
      <c r="D256" s="164">
        <f t="shared" ref="D256:F256" si="150">D105</f>
        <v>0.2</v>
      </c>
      <c r="E256" s="164">
        <f t="shared" si="150"/>
        <v>-0.7</v>
      </c>
      <c r="F256" s="164">
        <f t="shared" si="150"/>
        <v>0.44999999999999996</v>
      </c>
      <c r="G256" s="16"/>
      <c r="H256" s="1287"/>
      <c r="I256" s="551">
        <v>10</v>
      </c>
      <c r="J256" s="164">
        <f>I105</f>
        <v>40</v>
      </c>
      <c r="K256" s="164">
        <f t="shared" ref="K256:M256" si="151">J105</f>
        <v>-3.3</v>
      </c>
      <c r="L256" s="164">
        <f t="shared" si="151"/>
        <v>-6.4</v>
      </c>
      <c r="M256" s="164">
        <f t="shared" si="151"/>
        <v>1.5500000000000003</v>
      </c>
      <c r="N256" s="16"/>
      <c r="O256" s="1287"/>
      <c r="P256" s="551">
        <v>10</v>
      </c>
      <c r="Q256" s="164">
        <f>O105</f>
        <v>800</v>
      </c>
      <c r="R256" s="164" t="str">
        <f t="shared" ref="R256:T256" si="152">P105</f>
        <v>-</v>
      </c>
      <c r="S256" s="164" t="str">
        <f t="shared" si="152"/>
        <v>-</v>
      </c>
      <c r="T256" s="588">
        <f t="shared" si="152"/>
        <v>0</v>
      </c>
      <c r="V256" s="586">
        <v>8</v>
      </c>
      <c r="W256" s="587">
        <f>U81</f>
        <v>2.6</v>
      </c>
    </row>
    <row r="257" spans="1:23" x14ac:dyDescent="0.2">
      <c r="A257" s="1278"/>
      <c r="B257" s="551">
        <v>11</v>
      </c>
      <c r="C257" s="164">
        <f>C116</f>
        <v>19.7</v>
      </c>
      <c r="D257" s="164">
        <f t="shared" ref="D257:F257" si="153">D116</f>
        <v>0.5</v>
      </c>
      <c r="E257" s="164" t="str">
        <f t="shared" si="153"/>
        <v>-</v>
      </c>
      <c r="F257" s="164">
        <f t="shared" si="153"/>
        <v>0</v>
      </c>
      <c r="G257" s="16"/>
      <c r="H257" s="1287"/>
      <c r="I257" s="551">
        <v>11</v>
      </c>
      <c r="J257" s="164">
        <f>I116</f>
        <v>54.3</v>
      </c>
      <c r="K257" s="164">
        <f t="shared" ref="K257:M257" si="154">J116</f>
        <v>-5.9</v>
      </c>
      <c r="L257" s="164" t="str">
        <f t="shared" si="154"/>
        <v>-</v>
      </c>
      <c r="M257" s="164">
        <f t="shared" si="154"/>
        <v>0</v>
      </c>
      <c r="N257" s="16"/>
      <c r="O257" s="1287"/>
      <c r="P257" s="551">
        <v>11</v>
      </c>
      <c r="Q257" s="164">
        <f>O116</f>
        <v>800</v>
      </c>
      <c r="R257" s="164" t="str">
        <f t="shared" ref="R257:T257" si="155">P116</f>
        <v>-</v>
      </c>
      <c r="S257" s="164" t="str">
        <f t="shared" si="155"/>
        <v>-</v>
      </c>
      <c r="T257" s="588">
        <f t="shared" si="155"/>
        <v>0</v>
      </c>
      <c r="V257" s="586">
        <v>9</v>
      </c>
      <c r="W257" s="587">
        <f>U92</f>
        <v>2.4</v>
      </c>
    </row>
    <row r="258" spans="1:23" x14ac:dyDescent="0.2">
      <c r="A258" s="1278"/>
      <c r="B258" s="551">
        <v>12</v>
      </c>
      <c r="C258" s="164">
        <f>C127</f>
        <v>20</v>
      </c>
      <c r="D258" s="164">
        <f t="shared" ref="D258:F258" si="156">D127</f>
        <v>0</v>
      </c>
      <c r="E258" s="164" t="str">
        <f t="shared" si="156"/>
        <v>-</v>
      </c>
      <c r="F258" s="164">
        <f t="shared" si="156"/>
        <v>0</v>
      </c>
      <c r="G258" s="16"/>
      <c r="H258" s="1287"/>
      <c r="I258" s="551">
        <v>12</v>
      </c>
      <c r="J258" s="164">
        <f>I127</f>
        <v>40</v>
      </c>
      <c r="K258" s="164">
        <f t="shared" ref="K258:M258" si="157">J127</f>
        <v>-0.1</v>
      </c>
      <c r="L258" s="164" t="str">
        <f t="shared" si="157"/>
        <v>-</v>
      </c>
      <c r="M258" s="164">
        <f t="shared" si="157"/>
        <v>0</v>
      </c>
      <c r="N258" s="16"/>
      <c r="O258" s="1287"/>
      <c r="P258" s="551">
        <v>12</v>
      </c>
      <c r="Q258" s="164">
        <f>O127</f>
        <v>850</v>
      </c>
      <c r="R258" s="164">
        <f t="shared" ref="R258:T258" si="158">P127</f>
        <v>-0.5</v>
      </c>
      <c r="S258" s="164" t="str">
        <f t="shared" si="158"/>
        <v>-</v>
      </c>
      <c r="T258" s="588">
        <f t="shared" si="158"/>
        <v>0</v>
      </c>
      <c r="V258" s="586">
        <v>10</v>
      </c>
      <c r="W258" s="587">
        <f>U103</f>
        <v>1.5</v>
      </c>
    </row>
    <row r="259" spans="1:23" x14ac:dyDescent="0.2">
      <c r="A259" s="1278"/>
      <c r="B259" s="551">
        <v>13</v>
      </c>
      <c r="C259" s="164">
        <f>C138</f>
        <v>20</v>
      </c>
      <c r="D259" s="164">
        <f t="shared" ref="D259:F259" si="159">D138</f>
        <v>-0.4</v>
      </c>
      <c r="E259" s="164" t="str">
        <f t="shared" si="159"/>
        <v>-</v>
      </c>
      <c r="F259" s="164">
        <f t="shared" si="159"/>
        <v>0</v>
      </c>
      <c r="G259" s="16"/>
      <c r="H259" s="1287"/>
      <c r="I259" s="551">
        <v>13</v>
      </c>
      <c r="J259" s="164">
        <f>I138</f>
        <v>40</v>
      </c>
      <c r="K259" s="164">
        <f t="shared" ref="K259:M259" si="160">J138</f>
        <v>-1.3</v>
      </c>
      <c r="L259" s="164" t="str">
        <f t="shared" si="160"/>
        <v>-</v>
      </c>
      <c r="M259" s="164">
        <f t="shared" si="160"/>
        <v>0</v>
      </c>
      <c r="N259" s="16"/>
      <c r="O259" s="1287"/>
      <c r="P259" s="551">
        <v>13</v>
      </c>
      <c r="Q259" s="164">
        <f>O138</f>
        <v>970</v>
      </c>
      <c r="R259" s="164">
        <f t="shared" ref="R259:T259" si="161">P138</f>
        <v>1</v>
      </c>
      <c r="S259" s="164" t="str">
        <f t="shared" si="161"/>
        <v>-</v>
      </c>
      <c r="T259" s="588">
        <f t="shared" si="161"/>
        <v>0</v>
      </c>
      <c r="V259" s="586">
        <v>11</v>
      </c>
      <c r="W259" s="587">
        <f>U114</f>
        <v>2.5</v>
      </c>
    </row>
    <row r="260" spans="1:23" x14ac:dyDescent="0.2">
      <c r="A260" s="1278"/>
      <c r="B260" s="551">
        <v>14</v>
      </c>
      <c r="C260" s="164">
        <f>C149</f>
        <v>20</v>
      </c>
      <c r="D260" s="164">
        <f t="shared" ref="D260:F260" si="162">D149</f>
        <v>-0.1</v>
      </c>
      <c r="E260" s="164" t="str">
        <f t="shared" si="162"/>
        <v>-</v>
      </c>
      <c r="F260" s="164">
        <f t="shared" si="162"/>
        <v>0</v>
      </c>
      <c r="G260" s="16"/>
      <c r="H260" s="1287"/>
      <c r="I260" s="551">
        <v>14</v>
      </c>
      <c r="J260" s="164">
        <f>I149</f>
        <v>40</v>
      </c>
      <c r="K260" s="164">
        <f t="shared" ref="K260:M260" si="163">J149</f>
        <v>0.3</v>
      </c>
      <c r="L260" s="164" t="str">
        <f t="shared" si="163"/>
        <v>-</v>
      </c>
      <c r="M260" s="164">
        <f t="shared" si="163"/>
        <v>0</v>
      </c>
      <c r="N260" s="16"/>
      <c r="O260" s="1287"/>
      <c r="P260" s="551">
        <v>14</v>
      </c>
      <c r="Q260" s="164">
        <f>O149</f>
        <v>970</v>
      </c>
      <c r="R260" s="164">
        <f t="shared" ref="R260:T260" si="164">P149</f>
        <v>1</v>
      </c>
      <c r="S260" s="164" t="str">
        <f t="shared" si="164"/>
        <v>-</v>
      </c>
      <c r="T260" s="588">
        <f t="shared" si="164"/>
        <v>0</v>
      </c>
      <c r="V260" s="586">
        <v>12</v>
      </c>
      <c r="W260" s="605">
        <f>U125</f>
        <v>2</v>
      </c>
    </row>
    <row r="261" spans="1:23" x14ac:dyDescent="0.2">
      <c r="A261" s="1278"/>
      <c r="B261" s="551">
        <v>15</v>
      </c>
      <c r="C261" s="164">
        <f>C160</f>
        <v>20</v>
      </c>
      <c r="D261" s="164">
        <f t="shared" ref="D261:F261" si="165">D160</f>
        <v>-0.5</v>
      </c>
      <c r="E261" s="164" t="str">
        <f t="shared" si="165"/>
        <v>-</v>
      </c>
      <c r="F261" s="164">
        <f t="shared" si="165"/>
        <v>0</v>
      </c>
      <c r="G261" s="16"/>
      <c r="H261" s="1287"/>
      <c r="I261" s="551">
        <v>15</v>
      </c>
      <c r="J261" s="164">
        <f>I160</f>
        <v>40</v>
      </c>
      <c r="K261" s="164">
        <f t="shared" ref="K261:M261" si="166">J160</f>
        <v>-0.3</v>
      </c>
      <c r="L261" s="164" t="str">
        <f t="shared" si="166"/>
        <v>-</v>
      </c>
      <c r="M261" s="164">
        <f t="shared" si="166"/>
        <v>0</v>
      </c>
      <c r="N261" s="16"/>
      <c r="O261" s="1287"/>
      <c r="P261" s="551">
        <v>15</v>
      </c>
      <c r="Q261" s="164">
        <f>O160</f>
        <v>970</v>
      </c>
      <c r="R261" s="164">
        <f t="shared" ref="R261:T261" si="167">P160</f>
        <v>1</v>
      </c>
      <c r="S261" s="164" t="str">
        <f t="shared" si="167"/>
        <v>-</v>
      </c>
      <c r="T261" s="588">
        <f t="shared" si="167"/>
        <v>0</v>
      </c>
      <c r="V261" s="586">
        <v>13</v>
      </c>
      <c r="W261" s="587">
        <f>U136</f>
        <v>2.7</v>
      </c>
    </row>
    <row r="262" spans="1:23" x14ac:dyDescent="0.2">
      <c r="A262" s="1278"/>
      <c r="B262" s="551">
        <v>16</v>
      </c>
      <c r="C262" s="164">
        <f>C171</f>
        <v>20</v>
      </c>
      <c r="D262" s="164">
        <f t="shared" ref="D262:F262" si="168">D171</f>
        <v>0.2</v>
      </c>
      <c r="E262" s="164" t="str">
        <f t="shared" si="168"/>
        <v>-</v>
      </c>
      <c r="F262" s="164">
        <f t="shared" si="168"/>
        <v>0</v>
      </c>
      <c r="G262" s="16"/>
      <c r="H262" s="1287"/>
      <c r="I262" s="551">
        <v>16</v>
      </c>
      <c r="J262" s="164">
        <f>I171</f>
        <v>40</v>
      </c>
      <c r="K262" s="164">
        <f t="shared" ref="K262:M262" si="169">J171</f>
        <v>-1.4</v>
      </c>
      <c r="L262" s="164" t="str">
        <f t="shared" si="169"/>
        <v>-</v>
      </c>
      <c r="M262" s="164">
        <f t="shared" si="169"/>
        <v>0</v>
      </c>
      <c r="N262" s="16"/>
      <c r="O262" s="1287"/>
      <c r="P262" s="551">
        <v>16</v>
      </c>
      <c r="Q262" s="164">
        <f>O171</f>
        <v>850</v>
      </c>
      <c r="R262" s="164">
        <f t="shared" ref="R262:T262" si="170">P171</f>
        <v>-2.2999999999999998</v>
      </c>
      <c r="S262" s="164" t="str">
        <f t="shared" si="170"/>
        <v>-</v>
      </c>
      <c r="T262" s="588">
        <f t="shared" si="170"/>
        <v>0</v>
      </c>
      <c r="V262" s="586">
        <v>14</v>
      </c>
      <c r="W262" s="587">
        <f>U147</f>
        <v>2.2000000000000002</v>
      </c>
    </row>
    <row r="263" spans="1:23" x14ac:dyDescent="0.2">
      <c r="A263" s="1278"/>
      <c r="B263" s="551">
        <v>17</v>
      </c>
      <c r="C263" s="164">
        <f>C182</f>
        <v>20</v>
      </c>
      <c r="D263" s="164">
        <f t="shared" ref="D263:F263" si="171">D182</f>
        <v>0.1</v>
      </c>
      <c r="E263" s="164" t="str">
        <f t="shared" si="171"/>
        <v>-</v>
      </c>
      <c r="F263" s="164">
        <f t="shared" si="171"/>
        <v>0</v>
      </c>
      <c r="G263" s="16"/>
      <c r="H263" s="1287"/>
      <c r="I263" s="551">
        <v>17</v>
      </c>
      <c r="J263" s="164">
        <f>I182</f>
        <v>40</v>
      </c>
      <c r="K263" s="164">
        <f t="shared" ref="K263:M263" si="172">J182</f>
        <v>0.2</v>
      </c>
      <c r="L263" s="164" t="str">
        <f t="shared" si="172"/>
        <v>-</v>
      </c>
      <c r="M263" s="164">
        <f t="shared" si="172"/>
        <v>0</v>
      </c>
      <c r="N263" s="16"/>
      <c r="O263" s="1287"/>
      <c r="P263" s="551">
        <v>17</v>
      </c>
      <c r="Q263" s="164">
        <f>O182</f>
        <v>970</v>
      </c>
      <c r="R263" s="164">
        <f t="shared" ref="R263:T263" si="173">P182</f>
        <v>-0.6</v>
      </c>
      <c r="S263" s="164" t="str">
        <f t="shared" si="173"/>
        <v>-</v>
      </c>
      <c r="T263" s="588">
        <f t="shared" si="173"/>
        <v>0</v>
      </c>
      <c r="V263" s="586">
        <v>15</v>
      </c>
      <c r="W263" s="587">
        <f>U158</f>
        <v>2.7</v>
      </c>
    </row>
    <row r="264" spans="1:23" x14ac:dyDescent="0.2">
      <c r="A264" s="1278"/>
      <c r="B264" s="551">
        <v>18</v>
      </c>
      <c r="C264" s="164">
        <f>C193</f>
        <v>20</v>
      </c>
      <c r="D264" s="164">
        <f t="shared" ref="D264:F264" si="174">D193</f>
        <v>-0.1</v>
      </c>
      <c r="E264" s="164" t="str">
        <f t="shared" si="174"/>
        <v>-</v>
      </c>
      <c r="F264" s="164">
        <f t="shared" si="174"/>
        <v>0</v>
      </c>
      <c r="G264" s="16"/>
      <c r="H264" s="1287"/>
      <c r="I264" s="551">
        <v>18</v>
      </c>
      <c r="J264" s="164">
        <f>I193</f>
        <v>40</v>
      </c>
      <c r="K264" s="164">
        <f t="shared" ref="K264:M264" si="175">J193</f>
        <v>-0.2</v>
      </c>
      <c r="L264" s="164" t="str">
        <f t="shared" si="175"/>
        <v>-</v>
      </c>
      <c r="M264" s="164">
        <f t="shared" si="175"/>
        <v>0</v>
      </c>
      <c r="N264" s="16"/>
      <c r="O264" s="1287"/>
      <c r="P264" s="551">
        <v>18</v>
      </c>
      <c r="Q264" s="164">
        <f>O193</f>
        <v>850</v>
      </c>
      <c r="R264" s="164">
        <f t="shared" ref="R264:T264" si="176">P193</f>
        <v>-1.3</v>
      </c>
      <c r="S264" s="164" t="str">
        <f t="shared" si="176"/>
        <v>-</v>
      </c>
      <c r="T264" s="588">
        <f t="shared" si="176"/>
        <v>0</v>
      </c>
      <c r="V264" s="586">
        <v>16</v>
      </c>
      <c r="W264" s="587">
        <f>U169</f>
        <v>2.2000000000000002</v>
      </c>
    </row>
    <row r="265" spans="1:23" x14ac:dyDescent="0.2">
      <c r="A265" s="1278"/>
      <c r="B265" s="551">
        <v>19</v>
      </c>
      <c r="C265" s="164">
        <f>C204</f>
        <v>19.7</v>
      </c>
      <c r="D265" s="164">
        <f t="shared" ref="D265:F265" si="177">D204</f>
        <v>0</v>
      </c>
      <c r="E265" s="164" t="str">
        <f t="shared" si="177"/>
        <v>-</v>
      </c>
      <c r="F265" s="164">
        <f t="shared" si="177"/>
        <v>0</v>
      </c>
      <c r="G265" s="16"/>
      <c r="H265" s="1287"/>
      <c r="I265" s="551">
        <v>19</v>
      </c>
      <c r="J265" s="164">
        <f>I204</f>
        <v>54.3</v>
      </c>
      <c r="K265" s="164">
        <f t="shared" ref="K265:M265" si="178">J204</f>
        <v>0</v>
      </c>
      <c r="L265" s="164" t="str">
        <f t="shared" si="178"/>
        <v>-</v>
      </c>
      <c r="M265" s="164">
        <f t="shared" si="178"/>
        <v>0</v>
      </c>
      <c r="N265" s="16"/>
      <c r="O265" s="1287"/>
      <c r="P265" s="551">
        <v>19</v>
      </c>
      <c r="Q265" s="164">
        <f>O204</f>
        <v>800</v>
      </c>
      <c r="R265" s="164" t="str">
        <f t="shared" ref="R265:T265" si="179">P204</f>
        <v>-</v>
      </c>
      <c r="S265" s="164" t="str">
        <f t="shared" si="179"/>
        <v>-</v>
      </c>
      <c r="T265" s="588">
        <f t="shared" si="179"/>
        <v>0</v>
      </c>
      <c r="V265" s="586">
        <v>17</v>
      </c>
      <c r="W265" s="587">
        <f>U180</f>
        <v>2.8</v>
      </c>
    </row>
    <row r="266" spans="1:23" ht="13.5" thickBot="1" x14ac:dyDescent="0.25">
      <c r="A266" s="1279"/>
      <c r="B266" s="596">
        <v>20</v>
      </c>
      <c r="C266" s="606">
        <f>C215</f>
        <v>19.7</v>
      </c>
      <c r="D266" s="606">
        <f t="shared" ref="D266:F266" si="180">D215</f>
        <v>0</v>
      </c>
      <c r="E266" s="606" t="str">
        <f t="shared" si="180"/>
        <v>-</v>
      </c>
      <c r="F266" s="606">
        <f t="shared" si="180"/>
        <v>0</v>
      </c>
      <c r="G266" s="598"/>
      <c r="H266" s="1288"/>
      <c r="I266" s="596">
        <v>20</v>
      </c>
      <c r="J266" s="606">
        <f>I215</f>
        <v>54.3</v>
      </c>
      <c r="K266" s="606">
        <f t="shared" ref="K266:M266" si="181">J215</f>
        <v>0</v>
      </c>
      <c r="L266" s="606" t="str">
        <f t="shared" si="181"/>
        <v>-</v>
      </c>
      <c r="M266" s="606">
        <f t="shared" si="181"/>
        <v>0</v>
      </c>
      <c r="N266" s="598"/>
      <c r="O266" s="1288"/>
      <c r="P266" s="596">
        <v>20</v>
      </c>
      <c r="Q266" s="606">
        <f>O215</f>
        <v>800</v>
      </c>
      <c r="R266" s="606" t="str">
        <f t="shared" ref="R266:T266" si="182">P215</f>
        <v>-</v>
      </c>
      <c r="S266" s="606" t="str">
        <f t="shared" si="182"/>
        <v>-</v>
      </c>
      <c r="T266" s="607">
        <f t="shared" si="182"/>
        <v>0</v>
      </c>
      <c r="V266" s="586">
        <v>18</v>
      </c>
      <c r="W266" s="587">
        <f>U191</f>
        <v>1.6</v>
      </c>
    </row>
    <row r="267" spans="1:23" ht="13.5" thickBot="1" x14ac:dyDescent="0.25">
      <c r="A267" s="166"/>
      <c r="B267" s="167"/>
      <c r="C267" s="171"/>
      <c r="D267" s="171"/>
      <c r="E267" s="171"/>
      <c r="F267" s="172"/>
      <c r="G267" s="27"/>
      <c r="H267" s="166"/>
      <c r="I267" s="167"/>
      <c r="J267" s="171"/>
      <c r="K267" s="171"/>
      <c r="L267" s="171"/>
      <c r="M267" s="172"/>
      <c r="N267" s="16"/>
      <c r="O267" s="166"/>
      <c r="P267" s="167"/>
      <c r="Q267" s="171"/>
      <c r="R267" s="171"/>
      <c r="S267" s="171"/>
      <c r="T267" s="172"/>
      <c r="V267" s="586">
        <v>19</v>
      </c>
      <c r="W267" s="593">
        <f>U202</f>
        <v>0</v>
      </c>
    </row>
    <row r="268" spans="1:23" ht="13.5" thickBot="1" x14ac:dyDescent="0.25">
      <c r="A268" s="1283">
        <v>3</v>
      </c>
      <c r="B268" s="602">
        <v>1</v>
      </c>
      <c r="C268" s="608">
        <f>C7</f>
        <v>25</v>
      </c>
      <c r="D268" s="608">
        <f t="shared" ref="D268:F268" si="183">D7</f>
        <v>0.1</v>
      </c>
      <c r="E268" s="608">
        <f t="shared" si="183"/>
        <v>0</v>
      </c>
      <c r="F268" s="608">
        <f t="shared" si="183"/>
        <v>0.05</v>
      </c>
      <c r="G268" s="350"/>
      <c r="H268" s="1286">
        <v>3</v>
      </c>
      <c r="I268" s="602">
        <v>1</v>
      </c>
      <c r="J268" s="608">
        <f>I7</f>
        <v>50</v>
      </c>
      <c r="K268" s="608">
        <f t="shared" ref="K268:M268" si="184">J7</f>
        <v>-7.2</v>
      </c>
      <c r="L268" s="608">
        <f t="shared" si="184"/>
        <v>0</v>
      </c>
      <c r="M268" s="608">
        <f t="shared" si="184"/>
        <v>3.6</v>
      </c>
      <c r="N268" s="350"/>
      <c r="O268" s="1286">
        <v>3</v>
      </c>
      <c r="P268" s="602">
        <v>1</v>
      </c>
      <c r="Q268" s="608">
        <f>O7</f>
        <v>850</v>
      </c>
      <c r="R268" s="608" t="str">
        <f t="shared" ref="R268:T268" si="185">P7</f>
        <v>-</v>
      </c>
      <c r="S268" s="608" t="str">
        <f t="shared" si="185"/>
        <v>-</v>
      </c>
      <c r="T268" s="609">
        <f t="shared" si="185"/>
        <v>0</v>
      </c>
      <c r="V268" s="594">
        <v>20</v>
      </c>
      <c r="W268" s="595">
        <f>U213</f>
        <v>0</v>
      </c>
    </row>
    <row r="269" spans="1:23" x14ac:dyDescent="0.2">
      <c r="A269" s="1284"/>
      <c r="B269" s="551">
        <v>2</v>
      </c>
      <c r="C269" s="164">
        <f>C18</f>
        <v>25</v>
      </c>
      <c r="D269" s="164">
        <f t="shared" ref="D269:F269" si="186">D18</f>
        <v>-0.2</v>
      </c>
      <c r="E269" s="164">
        <f t="shared" si="186"/>
        <v>-0.5</v>
      </c>
      <c r="F269" s="164">
        <f t="shared" si="186"/>
        <v>0.15</v>
      </c>
      <c r="G269" s="16"/>
      <c r="H269" s="1287"/>
      <c r="I269" s="551">
        <v>2</v>
      </c>
      <c r="J269" s="164">
        <f>I18</f>
        <v>50</v>
      </c>
      <c r="K269" s="164">
        <f t="shared" ref="K269:M269" si="187">J18</f>
        <v>-1.5</v>
      </c>
      <c r="L269" s="164">
        <f t="shared" si="187"/>
        <v>-1.4</v>
      </c>
      <c r="M269" s="164">
        <f t="shared" si="187"/>
        <v>5.0000000000000044E-2</v>
      </c>
      <c r="N269" s="16"/>
      <c r="O269" s="1287"/>
      <c r="P269" s="551">
        <v>2</v>
      </c>
      <c r="Q269" s="164">
        <f>O18</f>
        <v>850</v>
      </c>
      <c r="R269" s="164" t="str">
        <f t="shared" ref="R269:T269" si="188">P18</f>
        <v>-</v>
      </c>
      <c r="S269" s="164" t="str">
        <f t="shared" si="188"/>
        <v>-</v>
      </c>
      <c r="T269" s="588">
        <f t="shared" si="188"/>
        <v>0</v>
      </c>
    </row>
    <row r="270" spans="1:23" ht="13.5" thickBot="1" x14ac:dyDescent="0.25">
      <c r="A270" s="1284"/>
      <c r="B270" s="551">
        <v>3</v>
      </c>
      <c r="C270" s="164">
        <f>C29</f>
        <v>25</v>
      </c>
      <c r="D270" s="164">
        <f t="shared" ref="D270:F270" si="189">D29</f>
        <v>-0.1</v>
      </c>
      <c r="E270" s="164">
        <f t="shared" si="189"/>
        <v>-0.2</v>
      </c>
      <c r="F270" s="164">
        <f t="shared" si="189"/>
        <v>0.05</v>
      </c>
      <c r="G270" s="16"/>
      <c r="H270" s="1287"/>
      <c r="I270" s="551">
        <v>3</v>
      </c>
      <c r="J270" s="164">
        <f>I29</f>
        <v>50</v>
      </c>
      <c r="K270" s="164">
        <f t="shared" ref="K270:M270" si="190">J29</f>
        <v>-4.9000000000000004</v>
      </c>
      <c r="L270" s="164">
        <f t="shared" si="190"/>
        <v>-2.2999999999999998</v>
      </c>
      <c r="M270" s="164">
        <f t="shared" si="190"/>
        <v>1.3000000000000003</v>
      </c>
      <c r="N270" s="16"/>
      <c r="O270" s="1287"/>
      <c r="P270" s="551">
        <v>3</v>
      </c>
      <c r="Q270" s="164">
        <f>O29</f>
        <v>850</v>
      </c>
      <c r="R270" s="164" t="str">
        <f t="shared" ref="R270:T270" si="191">P29</f>
        <v>-</v>
      </c>
      <c r="S270" s="164" t="str">
        <f t="shared" si="191"/>
        <v>-</v>
      </c>
      <c r="T270" s="588">
        <f t="shared" si="191"/>
        <v>0</v>
      </c>
    </row>
    <row r="271" spans="1:23" x14ac:dyDescent="0.2">
      <c r="A271" s="1284"/>
      <c r="B271" s="551">
        <v>4</v>
      </c>
      <c r="C271" s="164">
        <f>C40</f>
        <v>25</v>
      </c>
      <c r="D271" s="164">
        <f t="shared" ref="D271:F271" si="192">D40</f>
        <v>-0.5</v>
      </c>
      <c r="E271" s="164">
        <f t="shared" si="192"/>
        <v>-0.5</v>
      </c>
      <c r="F271" s="164">
        <f t="shared" si="192"/>
        <v>0</v>
      </c>
      <c r="G271" s="16"/>
      <c r="H271" s="1287"/>
      <c r="I271" s="551">
        <v>4</v>
      </c>
      <c r="J271" s="164">
        <f>I40</f>
        <v>50</v>
      </c>
      <c r="K271" s="164">
        <f t="shared" ref="K271:M271" si="193">J40</f>
        <v>-1</v>
      </c>
      <c r="L271" s="164">
        <f t="shared" si="193"/>
        <v>-1</v>
      </c>
      <c r="M271" s="164">
        <f t="shared" si="193"/>
        <v>0</v>
      </c>
      <c r="N271" s="16"/>
      <c r="O271" s="1287"/>
      <c r="P271" s="551">
        <v>4</v>
      </c>
      <c r="Q271" s="164">
        <f>O40</f>
        <v>850</v>
      </c>
      <c r="R271" s="164" t="str">
        <f t="shared" ref="R271:T271" si="194">P40</f>
        <v>-</v>
      </c>
      <c r="S271" s="164" t="str">
        <f t="shared" si="194"/>
        <v>-</v>
      </c>
      <c r="T271" s="588">
        <f t="shared" si="194"/>
        <v>0</v>
      </c>
      <c r="V271" s="1271" t="s">
        <v>195</v>
      </c>
      <c r="W271" s="1272"/>
    </row>
    <row r="272" spans="1:23" x14ac:dyDescent="0.2">
      <c r="A272" s="1284"/>
      <c r="B272" s="551">
        <v>5</v>
      </c>
      <c r="C272" s="164">
        <f>C51</f>
        <v>25</v>
      </c>
      <c r="D272" s="164">
        <f t="shared" ref="D272:F272" si="195">D51</f>
        <v>0.2</v>
      </c>
      <c r="E272" s="164">
        <f t="shared" si="195"/>
        <v>-0.3</v>
      </c>
      <c r="F272" s="164">
        <f t="shared" si="195"/>
        <v>0.25</v>
      </c>
      <c r="G272" s="16"/>
      <c r="H272" s="1287"/>
      <c r="I272" s="551">
        <v>5</v>
      </c>
      <c r="J272" s="164">
        <f>I51</f>
        <v>50</v>
      </c>
      <c r="K272" s="164">
        <f t="shared" ref="K272:M272" si="196">J51</f>
        <v>-6.2</v>
      </c>
      <c r="L272" s="164">
        <f t="shared" si="196"/>
        <v>-2.1</v>
      </c>
      <c r="M272" s="164">
        <f t="shared" si="196"/>
        <v>2.0499999999999998</v>
      </c>
      <c r="N272" s="16"/>
      <c r="O272" s="1287"/>
      <c r="P272" s="551">
        <v>5</v>
      </c>
      <c r="Q272" s="164">
        <f>O51</f>
        <v>850</v>
      </c>
      <c r="R272" s="164" t="str">
        <f t="shared" ref="R272:T272" si="197">P51</f>
        <v>-</v>
      </c>
      <c r="S272" s="164" t="str">
        <f t="shared" si="197"/>
        <v>-</v>
      </c>
      <c r="T272" s="588">
        <f t="shared" si="197"/>
        <v>0</v>
      </c>
      <c r="V272" s="1275" t="s">
        <v>200</v>
      </c>
      <c r="W272" s="1276"/>
    </row>
    <row r="273" spans="1:23" x14ac:dyDescent="0.2">
      <c r="A273" s="1284"/>
      <c r="B273" s="551">
        <v>6</v>
      </c>
      <c r="C273" s="164">
        <f>C62</f>
        <v>25</v>
      </c>
      <c r="D273" s="164">
        <f t="shared" ref="D273:F273" si="198">D62</f>
        <v>-0.1</v>
      </c>
      <c r="E273" s="164">
        <f t="shared" si="198"/>
        <v>0.1</v>
      </c>
      <c r="F273" s="164">
        <f t="shared" si="198"/>
        <v>0.1</v>
      </c>
      <c r="G273" s="16"/>
      <c r="H273" s="1287"/>
      <c r="I273" s="551">
        <v>6</v>
      </c>
      <c r="J273" s="164">
        <f>I62</f>
        <v>50</v>
      </c>
      <c r="K273" s="164">
        <f t="shared" ref="K273:M273" si="199">J62</f>
        <v>1.2</v>
      </c>
      <c r="L273" s="164">
        <f t="shared" si="199"/>
        <v>-2.5</v>
      </c>
      <c r="M273" s="164">
        <f t="shared" si="199"/>
        <v>1.85</v>
      </c>
      <c r="N273" s="16"/>
      <c r="O273" s="1287"/>
      <c r="P273" s="551">
        <v>6</v>
      </c>
      <c r="Q273" s="164">
        <f>O62</f>
        <v>850</v>
      </c>
      <c r="R273" s="164">
        <f t="shared" ref="R273:T273" si="200">P62</f>
        <v>1.1000000000000001</v>
      </c>
      <c r="S273" s="164" t="str">
        <f t="shared" si="200"/>
        <v>-</v>
      </c>
      <c r="T273" s="588">
        <f t="shared" si="200"/>
        <v>0</v>
      </c>
      <c r="V273" s="586">
        <v>1</v>
      </c>
      <c r="W273" s="587">
        <f>U5</f>
        <v>0</v>
      </c>
    </row>
    <row r="274" spans="1:23" x14ac:dyDescent="0.2">
      <c r="A274" s="1284"/>
      <c r="B274" s="551">
        <v>7</v>
      </c>
      <c r="C274" s="164">
        <f>C73</f>
        <v>25</v>
      </c>
      <c r="D274" s="164">
        <f t="shared" ref="D274:F274" si="201">D73</f>
        <v>-0.2</v>
      </c>
      <c r="E274" s="164">
        <f t="shared" si="201"/>
        <v>0</v>
      </c>
      <c r="F274" s="164">
        <f t="shared" si="201"/>
        <v>0.1</v>
      </c>
      <c r="G274" s="16"/>
      <c r="H274" s="1287"/>
      <c r="I274" s="551">
        <v>7</v>
      </c>
      <c r="J274" s="164">
        <f>I73</f>
        <v>50</v>
      </c>
      <c r="K274" s="164">
        <f t="shared" ref="K274:M274" si="202">J73</f>
        <v>0.8</v>
      </c>
      <c r="L274" s="164">
        <f t="shared" si="202"/>
        <v>0.6</v>
      </c>
      <c r="M274" s="164">
        <f t="shared" si="202"/>
        <v>0.10000000000000003</v>
      </c>
      <c r="N274" s="16"/>
      <c r="O274" s="1287"/>
      <c r="P274" s="551">
        <v>7</v>
      </c>
      <c r="Q274" s="164">
        <f>O73</f>
        <v>850</v>
      </c>
      <c r="R274" s="164">
        <f t="shared" ref="R274:T274" si="203">P73</f>
        <v>1.7</v>
      </c>
      <c r="S274" s="164" t="str">
        <f t="shared" si="203"/>
        <v>-</v>
      </c>
      <c r="T274" s="588">
        <f t="shared" si="203"/>
        <v>0</v>
      </c>
      <c r="V274" s="589">
        <v>2</v>
      </c>
      <c r="W274" s="587">
        <f>U16</f>
        <v>0</v>
      </c>
    </row>
    <row r="275" spans="1:23" x14ac:dyDescent="0.2">
      <c r="A275" s="1284"/>
      <c r="B275" s="551">
        <v>8</v>
      </c>
      <c r="C275" s="164">
        <f>C84</f>
        <v>25</v>
      </c>
      <c r="D275" s="164">
        <f t="shared" ref="D275:F275" si="204">D84</f>
        <v>-0.4</v>
      </c>
      <c r="E275" s="164">
        <f t="shared" si="204"/>
        <v>-0.2</v>
      </c>
      <c r="F275" s="164">
        <f t="shared" si="204"/>
        <v>0.1</v>
      </c>
      <c r="G275" s="16"/>
      <c r="H275" s="1287"/>
      <c r="I275" s="551">
        <v>8</v>
      </c>
      <c r="J275" s="164">
        <f>I84</f>
        <v>50</v>
      </c>
      <c r="K275" s="164">
        <f t="shared" ref="K275:M275" si="205">J84</f>
        <v>-1.2</v>
      </c>
      <c r="L275" s="164">
        <f t="shared" si="205"/>
        <v>1.3</v>
      </c>
      <c r="M275" s="164">
        <f t="shared" si="205"/>
        <v>1.25</v>
      </c>
      <c r="N275" s="16"/>
      <c r="O275" s="1287"/>
      <c r="P275" s="551">
        <v>8</v>
      </c>
      <c r="Q275" s="164">
        <f>O84</f>
        <v>850</v>
      </c>
      <c r="R275" s="164">
        <f t="shared" ref="R275:T275" si="206">P84</f>
        <v>0</v>
      </c>
      <c r="S275" s="164" t="str">
        <f t="shared" si="206"/>
        <v>-</v>
      </c>
      <c r="T275" s="588">
        <f t="shared" si="206"/>
        <v>0</v>
      </c>
      <c r="V275" s="589">
        <v>3</v>
      </c>
      <c r="W275" s="610">
        <f>U27</f>
        <v>0</v>
      </c>
    </row>
    <row r="276" spans="1:23" x14ac:dyDescent="0.2">
      <c r="A276" s="1284"/>
      <c r="B276" s="551">
        <v>9</v>
      </c>
      <c r="C276" s="164">
        <f>C95</f>
        <v>25</v>
      </c>
      <c r="D276" s="164">
        <f t="shared" ref="D276:F276" si="207">D95</f>
        <v>-0.4</v>
      </c>
      <c r="E276" s="164" t="str">
        <f t="shared" si="207"/>
        <v>-</v>
      </c>
      <c r="F276" s="164">
        <f t="shared" si="207"/>
        <v>0</v>
      </c>
      <c r="G276" s="16"/>
      <c r="H276" s="1287"/>
      <c r="I276" s="551">
        <v>9</v>
      </c>
      <c r="J276" s="164">
        <f>I95</f>
        <v>50</v>
      </c>
      <c r="K276" s="164">
        <f t="shared" ref="K276:M276" si="208">J95</f>
        <v>-0.9</v>
      </c>
      <c r="L276" s="164" t="str">
        <f t="shared" si="208"/>
        <v>-</v>
      </c>
      <c r="M276" s="164">
        <f t="shared" si="208"/>
        <v>0</v>
      </c>
      <c r="N276" s="16"/>
      <c r="O276" s="1287"/>
      <c r="P276" s="551">
        <v>9</v>
      </c>
      <c r="Q276" s="164">
        <f>O95</f>
        <v>850</v>
      </c>
      <c r="R276" s="164">
        <f t="shared" ref="R276:T276" si="209">P95</f>
        <v>0</v>
      </c>
      <c r="S276" s="164" t="str">
        <f t="shared" si="209"/>
        <v>-</v>
      </c>
      <c r="T276" s="588">
        <f t="shared" si="209"/>
        <v>0</v>
      </c>
      <c r="V276" s="589">
        <v>4</v>
      </c>
      <c r="W276" s="610">
        <f>U39</f>
        <v>0</v>
      </c>
    </row>
    <row r="277" spans="1:23" x14ac:dyDescent="0.2">
      <c r="A277" s="1284"/>
      <c r="B277" s="551">
        <v>10</v>
      </c>
      <c r="C277" s="164">
        <f>C106</f>
        <v>25</v>
      </c>
      <c r="D277" s="164">
        <f t="shared" ref="D277:F277" si="210">D106</f>
        <v>0.1</v>
      </c>
      <c r="E277" s="164">
        <f t="shared" si="210"/>
        <v>-0.5</v>
      </c>
      <c r="F277" s="164">
        <f t="shared" si="210"/>
        <v>0.3</v>
      </c>
      <c r="G277" s="16"/>
      <c r="H277" s="1287"/>
      <c r="I277" s="551">
        <v>10</v>
      </c>
      <c r="J277" s="164">
        <f>I106</f>
        <v>50</v>
      </c>
      <c r="K277" s="164">
        <f t="shared" ref="K277:M277" si="211">J106</f>
        <v>-3.1</v>
      </c>
      <c r="L277" s="164">
        <f t="shared" si="211"/>
        <v>-6.1</v>
      </c>
      <c r="M277" s="164">
        <f t="shared" si="211"/>
        <v>1.4999999999999998</v>
      </c>
      <c r="N277" s="16"/>
      <c r="O277" s="1287"/>
      <c r="P277" s="551">
        <v>10</v>
      </c>
      <c r="Q277" s="164">
        <f>O106</f>
        <v>850</v>
      </c>
      <c r="R277" s="164" t="str">
        <f t="shared" ref="R277:T277" si="212">P106</f>
        <v>-</v>
      </c>
      <c r="S277" s="164" t="str">
        <f t="shared" si="212"/>
        <v>-</v>
      </c>
      <c r="T277" s="588">
        <f t="shared" si="212"/>
        <v>0</v>
      </c>
      <c r="V277" s="589">
        <v>5</v>
      </c>
      <c r="W277" s="610">
        <f>U49</f>
        <v>0</v>
      </c>
    </row>
    <row r="278" spans="1:23" x14ac:dyDescent="0.2">
      <c r="A278" s="1284"/>
      <c r="B278" s="551">
        <v>11</v>
      </c>
      <c r="C278" s="164">
        <f>C117</f>
        <v>24.6</v>
      </c>
      <c r="D278" s="164">
        <f t="shared" ref="D278:F278" si="213">D117</f>
        <v>0.5</v>
      </c>
      <c r="E278" s="164" t="str">
        <f t="shared" si="213"/>
        <v>-</v>
      </c>
      <c r="F278" s="164">
        <f t="shared" si="213"/>
        <v>0</v>
      </c>
      <c r="G278" s="16"/>
      <c r="H278" s="1287"/>
      <c r="I278" s="551">
        <v>11</v>
      </c>
      <c r="J278" s="164">
        <f>I117</f>
        <v>62.5</v>
      </c>
      <c r="K278" s="164">
        <f t="shared" ref="K278:M278" si="214">J117</f>
        <v>-5.6</v>
      </c>
      <c r="L278" s="164" t="str">
        <f t="shared" si="214"/>
        <v>-</v>
      </c>
      <c r="M278" s="164">
        <f t="shared" si="214"/>
        <v>0</v>
      </c>
      <c r="N278" s="16"/>
      <c r="O278" s="1287"/>
      <c r="P278" s="551">
        <v>11</v>
      </c>
      <c r="Q278" s="164">
        <f>O117</f>
        <v>850</v>
      </c>
      <c r="R278" s="164" t="str">
        <f t="shared" ref="R278:T278" si="215">P117</f>
        <v>-</v>
      </c>
      <c r="S278" s="164" t="str">
        <f t="shared" si="215"/>
        <v>-</v>
      </c>
      <c r="T278" s="588">
        <f t="shared" si="215"/>
        <v>0</v>
      </c>
      <c r="V278" s="586">
        <v>6</v>
      </c>
      <c r="W278" s="587">
        <f>U60</f>
        <v>1.8</v>
      </c>
    </row>
    <row r="279" spans="1:23" x14ac:dyDescent="0.2">
      <c r="A279" s="1284"/>
      <c r="B279" s="551">
        <v>12</v>
      </c>
      <c r="C279" s="164">
        <f>C128</f>
        <v>25</v>
      </c>
      <c r="D279" s="164">
        <f t="shared" ref="D279:F279" si="216">D128</f>
        <v>0</v>
      </c>
      <c r="E279" s="164" t="str">
        <f t="shared" si="216"/>
        <v>-</v>
      </c>
      <c r="F279" s="164">
        <f t="shared" si="216"/>
        <v>0</v>
      </c>
      <c r="G279" s="16"/>
      <c r="H279" s="1287"/>
      <c r="I279" s="551">
        <v>12</v>
      </c>
      <c r="J279" s="164">
        <f>I128</f>
        <v>50</v>
      </c>
      <c r="K279" s="164">
        <f t="shared" ref="K279:M279" si="217">J128</f>
        <v>0</v>
      </c>
      <c r="L279" s="164" t="str">
        <f t="shared" si="217"/>
        <v>-</v>
      </c>
      <c r="M279" s="164">
        <f t="shared" si="217"/>
        <v>0</v>
      </c>
      <c r="N279" s="16"/>
      <c r="O279" s="1287"/>
      <c r="P279" s="551">
        <v>12</v>
      </c>
      <c r="Q279" s="164">
        <f>O128</f>
        <v>900</v>
      </c>
      <c r="R279" s="164">
        <f t="shared" ref="R279:T279" si="218">P128</f>
        <v>-0.6</v>
      </c>
      <c r="S279" s="164" t="str">
        <f t="shared" si="218"/>
        <v>-</v>
      </c>
      <c r="T279" s="588">
        <f t="shared" si="218"/>
        <v>0</v>
      </c>
      <c r="V279" s="586">
        <v>7</v>
      </c>
      <c r="W279" s="587">
        <f>U71</f>
        <v>1.6</v>
      </c>
    </row>
    <row r="280" spans="1:23" x14ac:dyDescent="0.2">
      <c r="A280" s="1284"/>
      <c r="B280" s="551">
        <v>13</v>
      </c>
      <c r="C280" s="164">
        <f>C139</f>
        <v>25</v>
      </c>
      <c r="D280" s="164">
        <f t="shared" ref="D280:F280" si="219">D139</f>
        <v>-0.2</v>
      </c>
      <c r="E280" s="164" t="str">
        <f t="shared" si="219"/>
        <v>-</v>
      </c>
      <c r="F280" s="164">
        <f t="shared" si="219"/>
        <v>0</v>
      </c>
      <c r="G280" s="16"/>
      <c r="H280" s="1287"/>
      <c r="I280" s="551">
        <v>13</v>
      </c>
      <c r="J280" s="164">
        <f>I139</f>
        <v>50</v>
      </c>
      <c r="K280" s="164">
        <f t="shared" ref="K280:M280" si="220">J139</f>
        <v>-1.3</v>
      </c>
      <c r="L280" s="164" t="str">
        <f t="shared" si="220"/>
        <v>-</v>
      </c>
      <c r="M280" s="164">
        <f t="shared" si="220"/>
        <v>0</v>
      </c>
      <c r="N280" s="16"/>
      <c r="O280" s="1287"/>
      <c r="P280" s="551">
        <v>13</v>
      </c>
      <c r="Q280" s="164">
        <f>O139</f>
        <v>980</v>
      </c>
      <c r="R280" s="164">
        <f t="shared" ref="R280:T280" si="221">P139</f>
        <v>1</v>
      </c>
      <c r="S280" s="164" t="str">
        <f t="shared" si="221"/>
        <v>-</v>
      </c>
      <c r="T280" s="588">
        <f t="shared" si="221"/>
        <v>0</v>
      </c>
      <c r="V280" s="586">
        <v>8</v>
      </c>
      <c r="W280" s="587">
        <f>U82</f>
        <v>2.2000000000000002</v>
      </c>
    </row>
    <row r="281" spans="1:23" x14ac:dyDescent="0.2">
      <c r="A281" s="1284"/>
      <c r="B281" s="551">
        <v>14</v>
      </c>
      <c r="C281" s="164">
        <f>C150</f>
        <v>25</v>
      </c>
      <c r="D281" s="164">
        <f t="shared" ref="D281:F281" si="222">D150</f>
        <v>-0.1</v>
      </c>
      <c r="E281" s="164" t="str">
        <f t="shared" si="222"/>
        <v>-</v>
      </c>
      <c r="F281" s="164">
        <f t="shared" si="222"/>
        <v>0</v>
      </c>
      <c r="G281" s="16"/>
      <c r="H281" s="1287"/>
      <c r="I281" s="551">
        <v>14</v>
      </c>
      <c r="J281" s="164">
        <f>I151</f>
        <v>60</v>
      </c>
      <c r="K281" s="164">
        <f t="shared" ref="K281:M281" si="223">J151</f>
        <v>-0.6</v>
      </c>
      <c r="L281" s="164" t="str">
        <f t="shared" si="223"/>
        <v>-</v>
      </c>
      <c r="M281" s="164">
        <f t="shared" si="223"/>
        <v>0</v>
      </c>
      <c r="N281" s="16"/>
      <c r="O281" s="1287"/>
      <c r="P281" s="551">
        <v>14</v>
      </c>
      <c r="Q281" s="164">
        <f>O150</f>
        <v>980</v>
      </c>
      <c r="R281" s="164">
        <f t="shared" ref="R281:T281" si="224">P150</f>
        <v>1</v>
      </c>
      <c r="S281" s="164" t="str">
        <f t="shared" si="224"/>
        <v>-</v>
      </c>
      <c r="T281" s="588">
        <f t="shared" si="224"/>
        <v>0</v>
      </c>
      <c r="V281" s="586">
        <v>9</v>
      </c>
      <c r="W281" s="587">
        <f>U93</f>
        <v>2.2000000000000002</v>
      </c>
    </row>
    <row r="282" spans="1:23" x14ac:dyDescent="0.2">
      <c r="A282" s="1284"/>
      <c r="B282" s="551">
        <v>15</v>
      </c>
      <c r="C282" s="164">
        <f>C161</f>
        <v>25</v>
      </c>
      <c r="D282" s="164">
        <f t="shared" ref="D282:F282" si="225">D161</f>
        <v>-0.4</v>
      </c>
      <c r="E282" s="164" t="str">
        <f t="shared" si="225"/>
        <v>-</v>
      </c>
      <c r="F282" s="164">
        <f t="shared" si="225"/>
        <v>0</v>
      </c>
      <c r="G282" s="16"/>
      <c r="H282" s="1287"/>
      <c r="I282" s="551">
        <v>15</v>
      </c>
      <c r="J282" s="164">
        <f>I161</f>
        <v>50</v>
      </c>
      <c r="K282" s="164">
        <f t="shared" ref="K282:M282" si="226">J161</f>
        <v>-0.3</v>
      </c>
      <c r="L282" s="164" t="str">
        <f t="shared" si="226"/>
        <v>-</v>
      </c>
      <c r="M282" s="164">
        <f t="shared" si="226"/>
        <v>0</v>
      </c>
      <c r="N282" s="16"/>
      <c r="O282" s="1287"/>
      <c r="P282" s="551">
        <v>15</v>
      </c>
      <c r="Q282" s="164">
        <f>O161</f>
        <v>980</v>
      </c>
      <c r="R282" s="164">
        <f t="shared" ref="R282:T282" si="227">P161</f>
        <v>1</v>
      </c>
      <c r="S282" s="164" t="str">
        <f t="shared" si="227"/>
        <v>-</v>
      </c>
      <c r="T282" s="588">
        <f t="shared" si="227"/>
        <v>0</v>
      </c>
      <c r="V282" s="586">
        <v>10</v>
      </c>
      <c r="W282" s="587">
        <f>U104</f>
        <v>0</v>
      </c>
    </row>
    <row r="283" spans="1:23" x14ac:dyDescent="0.2">
      <c r="A283" s="1284"/>
      <c r="B283" s="551">
        <v>16</v>
      </c>
      <c r="C283" s="164">
        <f>C172</f>
        <v>25</v>
      </c>
      <c r="D283" s="164">
        <f t="shared" ref="D283:F283" si="228">D172</f>
        <v>0.2</v>
      </c>
      <c r="E283" s="164" t="str">
        <f t="shared" si="228"/>
        <v>-</v>
      </c>
      <c r="F283" s="164">
        <f t="shared" si="228"/>
        <v>0</v>
      </c>
      <c r="G283" s="16"/>
      <c r="H283" s="1287"/>
      <c r="I283" s="551">
        <v>16</v>
      </c>
      <c r="J283" s="164">
        <f>I172</f>
        <v>50</v>
      </c>
      <c r="K283" s="164">
        <f t="shared" ref="K283:M283" si="229">J172</f>
        <v>-1.4</v>
      </c>
      <c r="L283" s="164" t="str">
        <f t="shared" si="229"/>
        <v>-</v>
      </c>
      <c r="M283" s="164">
        <f t="shared" si="229"/>
        <v>0</v>
      </c>
      <c r="N283" s="16"/>
      <c r="O283" s="1287"/>
      <c r="P283" s="551">
        <v>16</v>
      </c>
      <c r="Q283" s="164">
        <f>O172</f>
        <v>900</v>
      </c>
      <c r="R283" s="164">
        <f t="shared" ref="R283:T283" si="230">P172</f>
        <v>-1.7</v>
      </c>
      <c r="S283" s="164" t="str">
        <f t="shared" si="230"/>
        <v>-</v>
      </c>
      <c r="T283" s="588">
        <f t="shared" si="230"/>
        <v>0</v>
      </c>
      <c r="V283" s="586">
        <v>11</v>
      </c>
      <c r="W283" s="587">
        <f>U115</f>
        <v>0</v>
      </c>
    </row>
    <row r="284" spans="1:23" x14ac:dyDescent="0.2">
      <c r="A284" s="1284"/>
      <c r="B284" s="551">
        <v>17</v>
      </c>
      <c r="C284" s="164">
        <f>C183</f>
        <v>25</v>
      </c>
      <c r="D284" s="164">
        <f t="shared" ref="D284:F284" si="231">D183</f>
        <v>0</v>
      </c>
      <c r="E284" s="164" t="str">
        <f t="shared" si="231"/>
        <v>-</v>
      </c>
      <c r="F284" s="164">
        <f t="shared" si="231"/>
        <v>0</v>
      </c>
      <c r="G284" s="16"/>
      <c r="H284" s="1287"/>
      <c r="I284" s="551">
        <v>17</v>
      </c>
      <c r="J284" s="164">
        <f>I183</f>
        <v>50</v>
      </c>
      <c r="K284" s="164">
        <f t="shared" ref="K284:M284" si="232">J183</f>
        <v>0.2</v>
      </c>
      <c r="L284" s="164" t="str">
        <f t="shared" si="232"/>
        <v>-</v>
      </c>
      <c r="M284" s="164">
        <f t="shared" si="232"/>
        <v>0</v>
      </c>
      <c r="N284" s="16"/>
      <c r="O284" s="1287"/>
      <c r="P284" s="551">
        <v>17</v>
      </c>
      <c r="Q284" s="164">
        <f>O183</f>
        <v>980</v>
      </c>
      <c r="R284" s="164">
        <f t="shared" ref="R284:T284" si="233">P183</f>
        <v>-0.6</v>
      </c>
      <c r="S284" s="164" t="str">
        <f t="shared" si="233"/>
        <v>-</v>
      </c>
      <c r="T284" s="588">
        <f t="shared" si="233"/>
        <v>0</v>
      </c>
      <c r="V284" s="586">
        <v>12</v>
      </c>
      <c r="W284" s="605">
        <f>U126</f>
        <v>2.4</v>
      </c>
    </row>
    <row r="285" spans="1:23" x14ac:dyDescent="0.2">
      <c r="A285" s="1284"/>
      <c r="B285" s="551">
        <v>18</v>
      </c>
      <c r="C285" s="164">
        <f>C194</f>
        <v>25</v>
      </c>
      <c r="D285" s="164">
        <f t="shared" ref="D285:F285" si="234">D194</f>
        <v>-0.2</v>
      </c>
      <c r="E285" s="164" t="str">
        <f t="shared" si="234"/>
        <v>-</v>
      </c>
      <c r="F285" s="164">
        <f t="shared" si="234"/>
        <v>0</v>
      </c>
      <c r="G285" s="16"/>
      <c r="H285" s="1287"/>
      <c r="I285" s="551">
        <v>18</v>
      </c>
      <c r="J285" s="164">
        <f>I194</f>
        <v>50</v>
      </c>
      <c r="K285" s="164">
        <f t="shared" ref="K285:M285" si="235">J194</f>
        <v>-0.2</v>
      </c>
      <c r="L285" s="164" t="str">
        <f t="shared" si="235"/>
        <v>-</v>
      </c>
      <c r="M285" s="164">
        <f t="shared" si="235"/>
        <v>0</v>
      </c>
      <c r="N285" s="16"/>
      <c r="O285" s="1287"/>
      <c r="P285" s="551">
        <v>18</v>
      </c>
      <c r="Q285" s="164">
        <f>O194</f>
        <v>900</v>
      </c>
      <c r="R285" s="164">
        <f t="shared" ref="R285:T285" si="236">P194</f>
        <v>-1.1000000000000001</v>
      </c>
      <c r="S285" s="164" t="str">
        <f t="shared" si="236"/>
        <v>-</v>
      </c>
      <c r="T285" s="588">
        <f t="shared" si="236"/>
        <v>0</v>
      </c>
      <c r="V285" s="586">
        <v>13</v>
      </c>
      <c r="W285" s="587">
        <f>U137</f>
        <v>1.5</v>
      </c>
    </row>
    <row r="286" spans="1:23" x14ac:dyDescent="0.2">
      <c r="A286" s="1284"/>
      <c r="B286" s="551">
        <v>19</v>
      </c>
      <c r="C286" s="164">
        <f>C194</f>
        <v>25</v>
      </c>
      <c r="D286" s="164">
        <f t="shared" ref="D286:F286" si="237">D194</f>
        <v>-0.2</v>
      </c>
      <c r="E286" s="164" t="str">
        <f t="shared" si="237"/>
        <v>-</v>
      </c>
      <c r="F286" s="164">
        <f t="shared" si="237"/>
        <v>0</v>
      </c>
      <c r="G286" s="16"/>
      <c r="H286" s="1287"/>
      <c r="I286" s="551">
        <v>19</v>
      </c>
      <c r="J286" s="164">
        <f>I205</f>
        <v>62.5</v>
      </c>
      <c r="K286" s="164">
        <f t="shared" ref="K286:M286" si="238">J205</f>
        <v>0</v>
      </c>
      <c r="L286" s="164" t="str">
        <f t="shared" si="238"/>
        <v>-</v>
      </c>
      <c r="M286" s="164">
        <f t="shared" si="238"/>
        <v>0</v>
      </c>
      <c r="N286" s="16"/>
      <c r="O286" s="1287"/>
      <c r="P286" s="551">
        <v>19</v>
      </c>
      <c r="Q286" s="164">
        <f>O205</f>
        <v>850</v>
      </c>
      <c r="R286" s="164" t="str">
        <f t="shared" ref="R286:T286" si="239">P205</f>
        <v>-</v>
      </c>
      <c r="S286" s="164" t="str">
        <f t="shared" si="239"/>
        <v>-</v>
      </c>
      <c r="T286" s="588">
        <f t="shared" si="239"/>
        <v>0</v>
      </c>
      <c r="V286" s="586">
        <v>14</v>
      </c>
      <c r="W286" s="587">
        <f>U148</f>
        <v>1.5</v>
      </c>
    </row>
    <row r="287" spans="1:23" ht="13.5" thickBot="1" x14ac:dyDescent="0.25">
      <c r="A287" s="1285"/>
      <c r="B287" s="596">
        <v>20</v>
      </c>
      <c r="C287" s="606">
        <f>C216</f>
        <v>24.6</v>
      </c>
      <c r="D287" s="606">
        <f t="shared" ref="D287:F287" si="240">D216</f>
        <v>0</v>
      </c>
      <c r="E287" s="606" t="str">
        <f t="shared" si="240"/>
        <v>-</v>
      </c>
      <c r="F287" s="606">
        <f t="shared" si="240"/>
        <v>0</v>
      </c>
      <c r="G287" s="598"/>
      <c r="H287" s="1288"/>
      <c r="I287" s="596">
        <v>20</v>
      </c>
      <c r="J287" s="606">
        <f>I216</f>
        <v>62.5</v>
      </c>
      <c r="K287" s="606">
        <f t="shared" ref="K287:M287" si="241">J216</f>
        <v>0</v>
      </c>
      <c r="L287" s="606" t="str">
        <f t="shared" si="241"/>
        <v>-</v>
      </c>
      <c r="M287" s="606">
        <f t="shared" si="241"/>
        <v>0</v>
      </c>
      <c r="N287" s="598"/>
      <c r="O287" s="1288"/>
      <c r="P287" s="596">
        <v>20</v>
      </c>
      <c r="Q287" s="606">
        <f>O216</f>
        <v>850</v>
      </c>
      <c r="R287" s="606" t="str">
        <f t="shared" ref="R287:T287" si="242">P216</f>
        <v>-</v>
      </c>
      <c r="S287" s="606" t="str">
        <f t="shared" si="242"/>
        <v>-</v>
      </c>
      <c r="T287" s="607">
        <f t="shared" si="242"/>
        <v>0</v>
      </c>
      <c r="V287" s="586">
        <v>15</v>
      </c>
      <c r="W287" s="587">
        <f>U159</f>
        <v>1.5</v>
      </c>
    </row>
    <row r="288" spans="1:23" ht="13.5" thickBot="1" x14ac:dyDescent="0.25">
      <c r="A288" s="166"/>
      <c r="B288" s="167"/>
      <c r="C288" s="171"/>
      <c r="D288" s="171"/>
      <c r="E288" s="171"/>
      <c r="F288" s="172"/>
      <c r="G288" s="27"/>
      <c r="H288" s="166"/>
      <c r="I288" s="173"/>
      <c r="J288" s="171"/>
      <c r="K288" s="171"/>
      <c r="L288" s="171"/>
      <c r="M288" s="172"/>
      <c r="N288" s="16"/>
      <c r="O288" s="166"/>
      <c r="P288" s="173"/>
      <c r="Q288" s="171"/>
      <c r="R288" s="171"/>
      <c r="S288" s="171"/>
      <c r="T288" s="172"/>
      <c r="V288" s="586">
        <v>16</v>
      </c>
      <c r="W288" s="593">
        <f>U170</f>
        <v>2.2999999999999998</v>
      </c>
    </row>
    <row r="289" spans="1:23" x14ac:dyDescent="0.2">
      <c r="A289" s="1283">
        <v>4</v>
      </c>
      <c r="B289" s="602">
        <v>1</v>
      </c>
      <c r="C289" s="608">
        <f>C8</f>
        <v>30</v>
      </c>
      <c r="D289" s="608">
        <f t="shared" ref="D289:F289" si="243">D8</f>
        <v>-0.2</v>
      </c>
      <c r="E289" s="608">
        <f t="shared" si="243"/>
        <v>0</v>
      </c>
      <c r="F289" s="608">
        <f t="shared" si="243"/>
        <v>0.1</v>
      </c>
      <c r="G289" s="350"/>
      <c r="H289" s="1286">
        <v>4</v>
      </c>
      <c r="I289" s="602">
        <v>1</v>
      </c>
      <c r="J289" s="608">
        <f>I8</f>
        <v>60</v>
      </c>
      <c r="K289" s="608">
        <f t="shared" ref="K289:M289" si="244">J8</f>
        <v>-5.2</v>
      </c>
      <c r="L289" s="608">
        <f t="shared" si="244"/>
        <v>0</v>
      </c>
      <c r="M289" s="608">
        <f t="shared" si="244"/>
        <v>2.6</v>
      </c>
      <c r="N289" s="350"/>
      <c r="O289" s="1286">
        <v>4</v>
      </c>
      <c r="P289" s="602">
        <v>1</v>
      </c>
      <c r="Q289" s="608">
        <f>O8</f>
        <v>900</v>
      </c>
      <c r="R289" s="608" t="str">
        <f t="shared" ref="R289:T289" si="245">P8</f>
        <v>-</v>
      </c>
      <c r="S289" s="608" t="str">
        <f t="shared" si="245"/>
        <v>-</v>
      </c>
      <c r="T289" s="609">
        <f t="shared" si="245"/>
        <v>0</v>
      </c>
      <c r="V289" s="586">
        <v>17</v>
      </c>
      <c r="W289" s="593">
        <f>U181</f>
        <v>2.1</v>
      </c>
    </row>
    <row r="290" spans="1:23" x14ac:dyDescent="0.2">
      <c r="A290" s="1284"/>
      <c r="B290" s="551">
        <v>2</v>
      </c>
      <c r="C290" s="164">
        <f>C19</f>
        <v>30</v>
      </c>
      <c r="D290" s="164">
        <f t="shared" ref="D290:F290" si="246">D19</f>
        <v>-0.3</v>
      </c>
      <c r="E290" s="164">
        <f t="shared" si="246"/>
        <v>-1</v>
      </c>
      <c r="F290" s="164">
        <f t="shared" si="246"/>
        <v>0.35</v>
      </c>
      <c r="G290" s="16"/>
      <c r="H290" s="1287"/>
      <c r="I290" s="551">
        <v>2</v>
      </c>
      <c r="J290" s="164">
        <f>I19</f>
        <v>60</v>
      </c>
      <c r="K290" s="164">
        <f t="shared" ref="K290:M290" si="247">J19</f>
        <v>-1.3</v>
      </c>
      <c r="L290" s="164">
        <f t="shared" si="247"/>
        <v>-1.3</v>
      </c>
      <c r="M290" s="164">
        <f t="shared" si="247"/>
        <v>0</v>
      </c>
      <c r="N290" s="16"/>
      <c r="O290" s="1287"/>
      <c r="P290" s="551">
        <v>2</v>
      </c>
      <c r="Q290" s="164">
        <f>O19</f>
        <v>900</v>
      </c>
      <c r="R290" s="164" t="str">
        <f t="shared" ref="R290:T290" si="248">P19</f>
        <v>-</v>
      </c>
      <c r="S290" s="164" t="str">
        <f t="shared" si="248"/>
        <v>-</v>
      </c>
      <c r="T290" s="588">
        <f t="shared" si="248"/>
        <v>0</v>
      </c>
      <c r="V290" s="586">
        <v>18</v>
      </c>
      <c r="W290" s="593">
        <f>U192</f>
        <v>2.4</v>
      </c>
    </row>
    <row r="291" spans="1:23" x14ac:dyDescent="0.2">
      <c r="A291" s="1284"/>
      <c r="B291" s="551">
        <v>3</v>
      </c>
      <c r="C291" s="164">
        <f>C30</f>
        <v>30</v>
      </c>
      <c r="D291" s="164">
        <f t="shared" ref="D291:F291" si="249">D30</f>
        <v>-0.3</v>
      </c>
      <c r="E291" s="164">
        <f t="shared" si="249"/>
        <v>-0.3</v>
      </c>
      <c r="F291" s="164">
        <f t="shared" si="249"/>
        <v>0</v>
      </c>
      <c r="G291" s="16"/>
      <c r="H291" s="1287"/>
      <c r="I291" s="551">
        <v>3</v>
      </c>
      <c r="J291" s="164">
        <f>I30</f>
        <v>60</v>
      </c>
      <c r="K291" s="164">
        <f t="shared" ref="K291:M291" si="250">J30</f>
        <v>-4.3</v>
      </c>
      <c r="L291" s="164">
        <f t="shared" si="250"/>
        <v>-2.2000000000000002</v>
      </c>
      <c r="M291" s="164">
        <f t="shared" si="250"/>
        <v>1.0499999999999998</v>
      </c>
      <c r="N291" s="16"/>
      <c r="O291" s="1287"/>
      <c r="P291" s="551">
        <v>3</v>
      </c>
      <c r="Q291" s="164">
        <f>O30</f>
        <v>900</v>
      </c>
      <c r="R291" s="164" t="str">
        <f t="shared" ref="R291:T291" si="251">P30</f>
        <v>-</v>
      </c>
      <c r="S291" s="164" t="str">
        <f t="shared" si="251"/>
        <v>-</v>
      </c>
      <c r="T291" s="588">
        <f t="shared" si="251"/>
        <v>0</v>
      </c>
      <c r="V291" s="586">
        <v>19</v>
      </c>
      <c r="W291" s="593">
        <f>U203</f>
        <v>0</v>
      </c>
    </row>
    <row r="292" spans="1:23" ht="13.5" thickBot="1" x14ac:dyDescent="0.25">
      <c r="A292" s="1284"/>
      <c r="B292" s="551">
        <v>4</v>
      </c>
      <c r="C292" s="164">
        <f>C41</f>
        <v>30</v>
      </c>
      <c r="D292" s="164">
        <f t="shared" ref="D292:F292" si="252">D41</f>
        <v>-0.6</v>
      </c>
      <c r="E292" s="164">
        <f t="shared" si="252"/>
        <v>-1</v>
      </c>
      <c r="F292" s="164">
        <f t="shared" si="252"/>
        <v>0.2</v>
      </c>
      <c r="G292" s="16"/>
      <c r="H292" s="1287"/>
      <c r="I292" s="551">
        <v>4</v>
      </c>
      <c r="J292" s="164">
        <f>I41</f>
        <v>60</v>
      </c>
      <c r="K292" s="164">
        <f t="shared" ref="K292:M292" si="253">J41</f>
        <v>-0.3</v>
      </c>
      <c r="L292" s="164">
        <f t="shared" si="253"/>
        <v>-0.9</v>
      </c>
      <c r="M292" s="164">
        <f t="shared" si="253"/>
        <v>0.30000000000000004</v>
      </c>
      <c r="N292" s="16"/>
      <c r="O292" s="1287"/>
      <c r="P292" s="551">
        <v>4</v>
      </c>
      <c r="Q292" s="164">
        <f>O41</f>
        <v>900</v>
      </c>
      <c r="R292" s="164" t="str">
        <f t="shared" ref="R292:T292" si="254">P41</f>
        <v>-</v>
      </c>
      <c r="S292" s="164" t="str">
        <f t="shared" si="254"/>
        <v>-</v>
      </c>
      <c r="T292" s="588">
        <f t="shared" si="254"/>
        <v>0</v>
      </c>
      <c r="V292" s="594">
        <v>20</v>
      </c>
      <c r="W292" s="595">
        <f>U214</f>
        <v>0</v>
      </c>
    </row>
    <row r="293" spans="1:23" x14ac:dyDescent="0.2">
      <c r="A293" s="1284"/>
      <c r="B293" s="551">
        <v>5</v>
      </c>
      <c r="C293" s="164">
        <f>C52</f>
        <v>30</v>
      </c>
      <c r="D293" s="164">
        <f t="shared" ref="D293:F293" si="255">D52</f>
        <v>0.1</v>
      </c>
      <c r="E293" s="164">
        <f t="shared" si="255"/>
        <v>-0.7</v>
      </c>
      <c r="F293" s="164">
        <f t="shared" si="255"/>
        <v>0.39999999999999997</v>
      </c>
      <c r="G293" s="16"/>
      <c r="H293" s="1287"/>
      <c r="I293" s="551">
        <v>5</v>
      </c>
      <c r="J293" s="164">
        <f>I52</f>
        <v>60</v>
      </c>
      <c r="K293" s="164">
        <f t="shared" ref="K293:M293" si="256">J52</f>
        <v>-4.2</v>
      </c>
      <c r="L293" s="164">
        <f t="shared" si="256"/>
        <v>-2</v>
      </c>
      <c r="M293" s="164">
        <f t="shared" si="256"/>
        <v>1.1000000000000001</v>
      </c>
      <c r="N293" s="16"/>
      <c r="O293" s="1287"/>
      <c r="P293" s="551">
        <v>5</v>
      </c>
      <c r="Q293" s="164">
        <f>O52</f>
        <v>900</v>
      </c>
      <c r="R293" s="164" t="str">
        <f t="shared" ref="R293:T293" si="257">P52</f>
        <v>-</v>
      </c>
      <c r="S293" s="164" t="str">
        <f t="shared" si="257"/>
        <v>-</v>
      </c>
      <c r="T293" s="588">
        <f t="shared" si="257"/>
        <v>0</v>
      </c>
    </row>
    <row r="294" spans="1:23" x14ac:dyDescent="0.2">
      <c r="A294" s="1284"/>
      <c r="B294" s="551">
        <v>6</v>
      </c>
      <c r="C294" s="164">
        <f>C63</f>
        <v>30</v>
      </c>
      <c r="D294" s="164">
        <f t="shared" ref="D294:F294" si="258">D63</f>
        <v>-0.5</v>
      </c>
      <c r="E294" s="164">
        <f t="shared" si="258"/>
        <v>0.13</v>
      </c>
      <c r="F294" s="164">
        <f t="shared" si="258"/>
        <v>0.315</v>
      </c>
      <c r="G294" s="16"/>
      <c r="H294" s="1287"/>
      <c r="I294" s="551">
        <v>6</v>
      </c>
      <c r="J294" s="164">
        <f>I63</f>
        <v>60</v>
      </c>
      <c r="K294" s="164">
        <f t="shared" ref="K294:M294" si="259">J63</f>
        <v>1.1000000000000001</v>
      </c>
      <c r="L294" s="164">
        <f t="shared" si="259"/>
        <v>-2</v>
      </c>
      <c r="M294" s="164">
        <f t="shared" si="259"/>
        <v>1.55</v>
      </c>
      <c r="N294" s="16"/>
      <c r="O294" s="1287"/>
      <c r="P294" s="551">
        <v>6</v>
      </c>
      <c r="Q294" s="164">
        <f>O63</f>
        <v>900</v>
      </c>
      <c r="R294" s="164">
        <f t="shared" ref="R294:T294" si="260">P63</f>
        <v>0.7</v>
      </c>
      <c r="S294" s="164" t="str">
        <f t="shared" si="260"/>
        <v>-</v>
      </c>
      <c r="T294" s="588">
        <f t="shared" si="260"/>
        <v>0</v>
      </c>
    </row>
    <row r="295" spans="1:23" x14ac:dyDescent="0.2">
      <c r="A295" s="1284"/>
      <c r="B295" s="551">
        <v>7</v>
      </c>
      <c r="C295" s="164">
        <f>C74</f>
        <v>30</v>
      </c>
      <c r="D295" s="164">
        <f t="shared" ref="D295:F295" si="261">D74</f>
        <v>-0.6</v>
      </c>
      <c r="E295" s="164">
        <f t="shared" si="261"/>
        <v>-0.1</v>
      </c>
      <c r="F295" s="164">
        <f t="shared" si="261"/>
        <v>0.25</v>
      </c>
      <c r="G295" s="16"/>
      <c r="H295" s="1287"/>
      <c r="I295" s="551">
        <v>7</v>
      </c>
      <c r="J295" s="164">
        <f>I74</f>
        <v>60</v>
      </c>
      <c r="K295" s="164">
        <f t="shared" ref="K295:M295" si="262">J74</f>
        <v>0.7</v>
      </c>
      <c r="L295" s="164">
        <f t="shared" si="262"/>
        <v>1.5</v>
      </c>
      <c r="M295" s="164">
        <f t="shared" si="262"/>
        <v>0.4</v>
      </c>
      <c r="N295" s="16"/>
      <c r="O295" s="1287"/>
      <c r="P295" s="551">
        <v>7</v>
      </c>
      <c r="Q295" s="164">
        <f>O74</f>
        <v>900</v>
      </c>
      <c r="R295" s="164">
        <f t="shared" ref="R295:T295" si="263">P74</f>
        <v>1</v>
      </c>
      <c r="S295" s="164" t="str">
        <f t="shared" si="263"/>
        <v>-</v>
      </c>
      <c r="T295" s="588">
        <f t="shared" si="263"/>
        <v>0</v>
      </c>
    </row>
    <row r="296" spans="1:23" x14ac:dyDescent="0.2">
      <c r="A296" s="1284"/>
      <c r="B296" s="551">
        <v>8</v>
      </c>
      <c r="C296" s="164">
        <f>C85</f>
        <v>30</v>
      </c>
      <c r="D296" s="164">
        <f t="shared" ref="D296:F296" si="264">D85</f>
        <v>-0.4</v>
      </c>
      <c r="E296" s="164">
        <f t="shared" si="264"/>
        <v>-0.2</v>
      </c>
      <c r="F296" s="164">
        <f t="shared" si="264"/>
        <v>0.1</v>
      </c>
      <c r="G296" s="16"/>
      <c r="H296" s="1287"/>
      <c r="I296" s="551">
        <v>8</v>
      </c>
      <c r="J296" s="164">
        <f>I85</f>
        <v>60</v>
      </c>
      <c r="K296" s="164">
        <f t="shared" ref="K296:M296" si="265">J85</f>
        <v>-1.1000000000000001</v>
      </c>
      <c r="L296" s="164">
        <f t="shared" si="265"/>
        <v>1.7</v>
      </c>
      <c r="M296" s="164">
        <f t="shared" si="265"/>
        <v>1.4</v>
      </c>
      <c r="N296" s="16"/>
      <c r="O296" s="1287"/>
      <c r="P296" s="551">
        <v>8</v>
      </c>
      <c r="Q296" s="164">
        <f>O85</f>
        <v>900</v>
      </c>
      <c r="R296" s="164">
        <f t="shared" ref="R296:T296" si="266">P85</f>
        <v>0</v>
      </c>
      <c r="S296" s="164" t="str">
        <f t="shared" si="266"/>
        <v>-</v>
      </c>
      <c r="T296" s="588">
        <f t="shared" si="266"/>
        <v>0</v>
      </c>
    </row>
    <row r="297" spans="1:23" x14ac:dyDescent="0.2">
      <c r="A297" s="1284"/>
      <c r="B297" s="551">
        <v>9</v>
      </c>
      <c r="C297" s="164">
        <f>C96</f>
        <v>30</v>
      </c>
      <c r="D297" s="164">
        <f t="shared" ref="D297:F297" si="267">D96</f>
        <v>-0.5</v>
      </c>
      <c r="E297" s="164" t="str">
        <f t="shared" si="267"/>
        <v>-</v>
      </c>
      <c r="F297" s="164">
        <f t="shared" si="267"/>
        <v>0</v>
      </c>
      <c r="G297" s="16"/>
      <c r="H297" s="1287"/>
      <c r="I297" s="551">
        <v>9</v>
      </c>
      <c r="J297" s="164">
        <f>I96</f>
        <v>60</v>
      </c>
      <c r="K297" s="164">
        <f t="shared" ref="K297:M297" si="268">J96</f>
        <v>-0.8</v>
      </c>
      <c r="L297" s="164" t="str">
        <f t="shared" si="268"/>
        <v>-</v>
      </c>
      <c r="M297" s="164">
        <f t="shared" si="268"/>
        <v>0</v>
      </c>
      <c r="N297" s="16"/>
      <c r="O297" s="1287"/>
      <c r="P297" s="551">
        <v>9</v>
      </c>
      <c r="Q297" s="164">
        <f>O96</f>
        <v>900</v>
      </c>
      <c r="R297" s="164">
        <f t="shared" ref="R297:T297" si="269">P96</f>
        <v>0</v>
      </c>
      <c r="S297" s="164" t="str">
        <f t="shared" si="269"/>
        <v>-</v>
      </c>
      <c r="T297" s="588">
        <f t="shared" si="269"/>
        <v>0</v>
      </c>
    </row>
    <row r="298" spans="1:23" x14ac:dyDescent="0.2">
      <c r="A298" s="1284"/>
      <c r="B298" s="551">
        <v>10</v>
      </c>
      <c r="C298" s="164">
        <f>C107</f>
        <v>30</v>
      </c>
      <c r="D298" s="164">
        <f t="shared" ref="D298:F298" si="270">D107</f>
        <v>0.1</v>
      </c>
      <c r="E298" s="164">
        <f t="shared" si="270"/>
        <v>0.2</v>
      </c>
      <c r="F298" s="164">
        <f t="shared" si="270"/>
        <v>0.05</v>
      </c>
      <c r="G298" s="16"/>
      <c r="H298" s="1287"/>
      <c r="I298" s="551">
        <v>10</v>
      </c>
      <c r="J298" s="164">
        <f>I107</f>
        <v>60</v>
      </c>
      <c r="K298" s="164">
        <f t="shared" ref="K298:M298" si="271">J107</f>
        <v>-2.1</v>
      </c>
      <c r="L298" s="164">
        <f t="shared" si="271"/>
        <v>-5.6</v>
      </c>
      <c r="M298" s="164">
        <f t="shared" si="271"/>
        <v>1.7499999999999998</v>
      </c>
      <c r="N298" s="16"/>
      <c r="O298" s="1287"/>
      <c r="P298" s="551">
        <v>10</v>
      </c>
      <c r="Q298" s="164">
        <f>O107</f>
        <v>900</v>
      </c>
      <c r="R298" s="164" t="str">
        <f t="shared" ref="R298:T298" si="272">P107</f>
        <v>-</v>
      </c>
      <c r="S298" s="164" t="str">
        <f t="shared" si="272"/>
        <v>-</v>
      </c>
      <c r="T298" s="588">
        <f t="shared" si="272"/>
        <v>0</v>
      </c>
    </row>
    <row r="299" spans="1:23" x14ac:dyDescent="0.2">
      <c r="A299" s="1284"/>
      <c r="B299" s="551">
        <v>11</v>
      </c>
      <c r="C299" s="164">
        <f>C118</f>
        <v>29.5</v>
      </c>
      <c r="D299" s="164">
        <f t="shared" ref="D299:F299" si="273">D118</f>
        <v>0.4</v>
      </c>
      <c r="E299" s="164" t="str">
        <f t="shared" si="273"/>
        <v>-</v>
      </c>
      <c r="F299" s="164">
        <f t="shared" si="273"/>
        <v>0</v>
      </c>
      <c r="G299" s="16"/>
      <c r="H299" s="1287"/>
      <c r="I299" s="551">
        <v>11</v>
      </c>
      <c r="J299" s="164">
        <f>I118</f>
        <v>71.5</v>
      </c>
      <c r="K299" s="164">
        <f t="shared" ref="K299:M299" si="274">J118</f>
        <v>-4.5</v>
      </c>
      <c r="L299" s="164" t="str">
        <f t="shared" si="274"/>
        <v>-</v>
      </c>
      <c r="M299" s="164">
        <f t="shared" si="274"/>
        <v>0</v>
      </c>
      <c r="N299" s="16"/>
      <c r="O299" s="1287"/>
      <c r="P299" s="551">
        <v>11</v>
      </c>
      <c r="Q299" s="164">
        <f>O118</f>
        <v>900</v>
      </c>
      <c r="R299" s="164" t="str">
        <f t="shared" ref="R299:T299" si="275">P118</f>
        <v>-</v>
      </c>
      <c r="S299" s="164" t="str">
        <f t="shared" si="275"/>
        <v>-</v>
      </c>
      <c r="T299" s="588">
        <f t="shared" si="275"/>
        <v>0</v>
      </c>
    </row>
    <row r="300" spans="1:23" x14ac:dyDescent="0.2">
      <c r="A300" s="1284"/>
      <c r="B300" s="551">
        <v>12</v>
      </c>
      <c r="C300" s="164">
        <f>C129</f>
        <v>30</v>
      </c>
      <c r="D300" s="164">
        <f t="shared" ref="D300:F300" si="276">D129</f>
        <v>-0.1</v>
      </c>
      <c r="E300" s="164" t="str">
        <f t="shared" si="276"/>
        <v>-</v>
      </c>
      <c r="F300" s="164">
        <f t="shared" si="276"/>
        <v>0</v>
      </c>
      <c r="G300" s="16"/>
      <c r="H300" s="1287"/>
      <c r="I300" s="551">
        <v>12</v>
      </c>
      <c r="J300" s="164">
        <f>I129</f>
        <v>60</v>
      </c>
      <c r="K300" s="164">
        <f t="shared" ref="K300:M300" si="277">J129</f>
        <v>0</v>
      </c>
      <c r="L300" s="164" t="str">
        <f t="shared" si="277"/>
        <v>-</v>
      </c>
      <c r="M300" s="164">
        <f t="shared" si="277"/>
        <v>0</v>
      </c>
      <c r="N300" s="16"/>
      <c r="O300" s="1287"/>
      <c r="P300" s="551">
        <v>12</v>
      </c>
      <c r="Q300" s="164">
        <f>O129</f>
        <v>950</v>
      </c>
      <c r="R300" s="164">
        <f t="shared" ref="R300:T300" si="278">P129</f>
        <v>-0.7</v>
      </c>
      <c r="S300" s="164" t="str">
        <f t="shared" si="278"/>
        <v>-</v>
      </c>
      <c r="T300" s="588">
        <f t="shared" si="278"/>
        <v>0</v>
      </c>
    </row>
    <row r="301" spans="1:23" x14ac:dyDescent="0.2">
      <c r="A301" s="1284"/>
      <c r="B301" s="551">
        <v>13</v>
      </c>
      <c r="C301" s="164">
        <f>C151</f>
        <v>30</v>
      </c>
      <c r="D301" s="164">
        <f t="shared" ref="D301:F301" si="279">D151</f>
        <v>-0.3</v>
      </c>
      <c r="E301" s="164" t="str">
        <f t="shared" si="279"/>
        <v>-</v>
      </c>
      <c r="F301" s="164">
        <f t="shared" si="279"/>
        <v>0</v>
      </c>
      <c r="G301" s="16"/>
      <c r="H301" s="1287"/>
      <c r="I301" s="551">
        <v>13</v>
      </c>
      <c r="J301" s="164">
        <f>I140</f>
        <v>60</v>
      </c>
      <c r="K301" s="164">
        <f t="shared" ref="K301:M301" si="280">J140</f>
        <v>-1.5</v>
      </c>
      <c r="L301" s="164" t="str">
        <f t="shared" si="280"/>
        <v>-</v>
      </c>
      <c r="M301" s="164">
        <f t="shared" si="280"/>
        <v>0</v>
      </c>
      <c r="N301" s="16"/>
      <c r="O301" s="1287"/>
      <c r="P301" s="551">
        <v>13</v>
      </c>
      <c r="Q301" s="164">
        <f>O140</f>
        <v>990</v>
      </c>
      <c r="R301" s="164">
        <f t="shared" ref="R301:T301" si="281">P140</f>
        <v>1.1000000000000001</v>
      </c>
      <c r="S301" s="164" t="str">
        <f t="shared" si="281"/>
        <v>-</v>
      </c>
      <c r="T301" s="588">
        <f t="shared" si="281"/>
        <v>0</v>
      </c>
    </row>
    <row r="302" spans="1:23" x14ac:dyDescent="0.2">
      <c r="A302" s="1284"/>
      <c r="B302" s="551">
        <v>14</v>
      </c>
      <c r="C302" s="164">
        <f>C151</f>
        <v>30</v>
      </c>
      <c r="D302" s="164">
        <f t="shared" ref="D302:F302" si="282">D151</f>
        <v>-0.3</v>
      </c>
      <c r="E302" s="164" t="str">
        <f t="shared" si="282"/>
        <v>-</v>
      </c>
      <c r="F302" s="164">
        <f t="shared" si="282"/>
        <v>0</v>
      </c>
      <c r="G302" s="16"/>
      <c r="H302" s="1287"/>
      <c r="I302" s="551">
        <v>14</v>
      </c>
      <c r="J302" s="164">
        <f>I151</f>
        <v>60</v>
      </c>
      <c r="K302" s="164">
        <f t="shared" ref="K302:M302" si="283">J151</f>
        <v>-0.6</v>
      </c>
      <c r="L302" s="164" t="str">
        <f t="shared" si="283"/>
        <v>-</v>
      </c>
      <c r="M302" s="164">
        <f t="shared" si="283"/>
        <v>0</v>
      </c>
      <c r="N302" s="16"/>
      <c r="O302" s="1287"/>
      <c r="P302" s="551">
        <v>14</v>
      </c>
      <c r="Q302" s="164">
        <f>O151</f>
        <v>990</v>
      </c>
      <c r="R302" s="164">
        <f t="shared" ref="R302:T302" si="284">P151</f>
        <v>1.1000000000000001</v>
      </c>
      <c r="S302" s="164" t="str">
        <f t="shared" si="284"/>
        <v>-</v>
      </c>
      <c r="T302" s="588">
        <f t="shared" si="284"/>
        <v>0</v>
      </c>
    </row>
    <row r="303" spans="1:23" x14ac:dyDescent="0.2">
      <c r="A303" s="1284"/>
      <c r="B303" s="551">
        <v>15</v>
      </c>
      <c r="C303" s="164">
        <f>C162</f>
        <v>30</v>
      </c>
      <c r="D303" s="164">
        <f t="shared" ref="D303:F303" si="285">D162</f>
        <v>-0.2</v>
      </c>
      <c r="E303" s="164" t="str">
        <f t="shared" si="285"/>
        <v>-</v>
      </c>
      <c r="F303" s="164">
        <f t="shared" si="285"/>
        <v>0</v>
      </c>
      <c r="G303" s="16"/>
      <c r="H303" s="1287"/>
      <c r="I303" s="551">
        <v>15</v>
      </c>
      <c r="J303" s="164">
        <f>I162</f>
        <v>60</v>
      </c>
      <c r="K303" s="164">
        <f t="shared" ref="K303:M303" si="286">J162</f>
        <v>-0.5</v>
      </c>
      <c r="L303" s="164" t="str">
        <f t="shared" si="286"/>
        <v>-</v>
      </c>
      <c r="M303" s="164">
        <f t="shared" si="286"/>
        <v>0</v>
      </c>
      <c r="N303" s="16"/>
      <c r="O303" s="1287"/>
      <c r="P303" s="551">
        <v>15</v>
      </c>
      <c r="Q303" s="164">
        <f>O162</f>
        <v>990</v>
      </c>
      <c r="R303" s="164">
        <f t="shared" ref="R303:T303" si="287">P162</f>
        <v>1.1000000000000001</v>
      </c>
      <c r="S303" s="164" t="str">
        <f t="shared" si="287"/>
        <v>-</v>
      </c>
      <c r="T303" s="588">
        <f t="shared" si="287"/>
        <v>0</v>
      </c>
    </row>
    <row r="304" spans="1:23" x14ac:dyDescent="0.2">
      <c r="A304" s="1284"/>
      <c r="B304" s="551">
        <v>16</v>
      </c>
      <c r="C304" s="164">
        <f>C173</f>
        <v>30</v>
      </c>
      <c r="D304" s="164">
        <f t="shared" ref="D304:F304" si="288">D173</f>
        <v>0.2</v>
      </c>
      <c r="E304" s="164" t="str">
        <f t="shared" si="288"/>
        <v>-</v>
      </c>
      <c r="F304" s="164">
        <f t="shared" si="288"/>
        <v>0</v>
      </c>
      <c r="G304" s="16"/>
      <c r="H304" s="1287"/>
      <c r="I304" s="551">
        <v>16</v>
      </c>
      <c r="J304" s="164">
        <f>I173</f>
        <v>60</v>
      </c>
      <c r="K304" s="164">
        <f t="shared" ref="K304:M304" si="289">J173</f>
        <v>-1.5</v>
      </c>
      <c r="L304" s="164" t="str">
        <f t="shared" si="289"/>
        <v>-</v>
      </c>
      <c r="M304" s="164">
        <f t="shared" si="289"/>
        <v>0</v>
      </c>
      <c r="N304" s="16"/>
      <c r="O304" s="1287"/>
      <c r="P304" s="551">
        <v>16</v>
      </c>
      <c r="Q304" s="164">
        <f>O173</f>
        <v>950</v>
      </c>
      <c r="R304" s="164">
        <f t="shared" ref="R304:T304" si="290">P173</f>
        <v>-1.1000000000000001</v>
      </c>
      <c r="S304" s="164" t="str">
        <f t="shared" si="290"/>
        <v>-</v>
      </c>
      <c r="T304" s="588">
        <f t="shared" si="290"/>
        <v>0</v>
      </c>
    </row>
    <row r="305" spans="1:20" x14ac:dyDescent="0.2">
      <c r="A305" s="1284"/>
      <c r="B305" s="551">
        <v>17</v>
      </c>
      <c r="C305" s="164">
        <f>C184</f>
        <v>30</v>
      </c>
      <c r="D305" s="164">
        <f t="shared" ref="D305:F305" si="291">D184</f>
        <v>-0.2</v>
      </c>
      <c r="E305" s="164" t="str">
        <f t="shared" si="291"/>
        <v>-</v>
      </c>
      <c r="F305" s="164">
        <f t="shared" si="291"/>
        <v>0</v>
      </c>
      <c r="G305" s="16"/>
      <c r="H305" s="1287"/>
      <c r="I305" s="551">
        <v>17</v>
      </c>
      <c r="J305" s="164">
        <f>I184</f>
        <v>60</v>
      </c>
      <c r="K305" s="164">
        <f t="shared" ref="K305:M305" si="292">J184</f>
        <v>0</v>
      </c>
      <c r="L305" s="164" t="str">
        <f t="shared" si="292"/>
        <v>-</v>
      </c>
      <c r="M305" s="164">
        <f t="shared" si="292"/>
        <v>0</v>
      </c>
      <c r="N305" s="16"/>
      <c r="O305" s="1287"/>
      <c r="P305" s="551">
        <v>17</v>
      </c>
      <c r="Q305" s="164">
        <f>O184</f>
        <v>990</v>
      </c>
      <c r="R305" s="164">
        <f t="shared" ref="R305:T305" si="293">P184</f>
        <v>-0.6</v>
      </c>
      <c r="S305" s="164" t="str">
        <f t="shared" si="293"/>
        <v>-</v>
      </c>
      <c r="T305" s="588">
        <f t="shared" si="293"/>
        <v>0</v>
      </c>
    </row>
    <row r="306" spans="1:20" x14ac:dyDescent="0.2">
      <c r="A306" s="1284"/>
      <c r="B306" s="551">
        <v>18</v>
      </c>
      <c r="C306" s="164">
        <f>C195</f>
        <v>30</v>
      </c>
      <c r="D306" s="164">
        <f t="shared" ref="D306:F306" si="294">D195</f>
        <v>-0.2</v>
      </c>
      <c r="E306" s="164" t="str">
        <f t="shared" si="294"/>
        <v>-</v>
      </c>
      <c r="F306" s="164">
        <f t="shared" si="294"/>
        <v>0</v>
      </c>
      <c r="G306" s="16"/>
      <c r="H306" s="1287"/>
      <c r="I306" s="551">
        <v>18</v>
      </c>
      <c r="J306" s="164">
        <f>I195</f>
        <v>60</v>
      </c>
      <c r="K306" s="164">
        <f t="shared" ref="K306:M306" si="295">J195</f>
        <v>-0.2</v>
      </c>
      <c r="L306" s="164" t="str">
        <f t="shared" si="295"/>
        <v>-</v>
      </c>
      <c r="M306" s="164">
        <f t="shared" si="295"/>
        <v>0</v>
      </c>
      <c r="N306" s="16"/>
      <c r="O306" s="1287"/>
      <c r="P306" s="551">
        <v>18</v>
      </c>
      <c r="Q306" s="164">
        <f>O195</f>
        <v>950</v>
      </c>
      <c r="R306" s="164">
        <f t="shared" ref="R306:T306" si="296">P195</f>
        <v>-0.9</v>
      </c>
      <c r="S306" s="164" t="str">
        <f t="shared" si="296"/>
        <v>-</v>
      </c>
      <c r="T306" s="588">
        <f t="shared" si="296"/>
        <v>0</v>
      </c>
    </row>
    <row r="307" spans="1:20" x14ac:dyDescent="0.2">
      <c r="A307" s="1284"/>
      <c r="B307" s="551">
        <v>19</v>
      </c>
      <c r="C307" s="164">
        <f>C206</f>
        <v>29.5</v>
      </c>
      <c r="D307" s="164">
        <f t="shared" ref="D307:F307" si="297">D206</f>
        <v>0</v>
      </c>
      <c r="E307" s="164" t="str">
        <f t="shared" si="297"/>
        <v>-</v>
      </c>
      <c r="F307" s="164">
        <f t="shared" si="297"/>
        <v>0</v>
      </c>
      <c r="G307" s="16"/>
      <c r="H307" s="1287"/>
      <c r="I307" s="551">
        <v>19</v>
      </c>
      <c r="J307" s="164">
        <f>I206</f>
        <v>71.5</v>
      </c>
      <c r="K307" s="164">
        <f t="shared" ref="K307:M307" si="298">J206</f>
        <v>0</v>
      </c>
      <c r="L307" s="164" t="str">
        <f t="shared" si="298"/>
        <v>-</v>
      </c>
      <c r="M307" s="164">
        <f t="shared" si="298"/>
        <v>0</v>
      </c>
      <c r="N307" s="16"/>
      <c r="O307" s="1287"/>
      <c r="P307" s="551">
        <v>19</v>
      </c>
      <c r="Q307" s="164">
        <f>O206</f>
        <v>900</v>
      </c>
      <c r="R307" s="164" t="str">
        <f t="shared" ref="R307:T307" si="299">P206</f>
        <v>-</v>
      </c>
      <c r="S307" s="164" t="str">
        <f t="shared" si="299"/>
        <v>-</v>
      </c>
      <c r="T307" s="588">
        <f t="shared" si="299"/>
        <v>0</v>
      </c>
    </row>
    <row r="308" spans="1:20" ht="13.5" thickBot="1" x14ac:dyDescent="0.25">
      <c r="A308" s="1285"/>
      <c r="B308" s="596">
        <v>20</v>
      </c>
      <c r="C308" s="606">
        <f>C217</f>
        <v>29.5</v>
      </c>
      <c r="D308" s="606">
        <f t="shared" ref="D308:F308" si="300">D217</f>
        <v>0</v>
      </c>
      <c r="E308" s="606" t="str">
        <f t="shared" si="300"/>
        <v>-</v>
      </c>
      <c r="F308" s="606">
        <f t="shared" si="300"/>
        <v>0</v>
      </c>
      <c r="G308" s="598"/>
      <c r="H308" s="1288"/>
      <c r="I308" s="596">
        <v>20</v>
      </c>
      <c r="J308" s="606">
        <f>I217</f>
        <v>71.5</v>
      </c>
      <c r="K308" s="606">
        <f t="shared" ref="K308:M308" si="301">J217</f>
        <v>0</v>
      </c>
      <c r="L308" s="606" t="str">
        <f t="shared" si="301"/>
        <v>-</v>
      </c>
      <c r="M308" s="606">
        <f t="shared" si="301"/>
        <v>0</v>
      </c>
      <c r="N308" s="598"/>
      <c r="O308" s="1288"/>
      <c r="P308" s="596">
        <v>20</v>
      </c>
      <c r="Q308" s="606">
        <f>O217</f>
        <v>900</v>
      </c>
      <c r="R308" s="606" t="str">
        <f t="shared" ref="R308:T308" si="302">P217</f>
        <v>-</v>
      </c>
      <c r="S308" s="606" t="str">
        <f t="shared" si="302"/>
        <v>-</v>
      </c>
      <c r="T308" s="607">
        <f t="shared" si="302"/>
        <v>0</v>
      </c>
    </row>
    <row r="309" spans="1:20" ht="13.5" thickBot="1" x14ac:dyDescent="0.25">
      <c r="A309" s="166"/>
      <c r="B309" s="167"/>
      <c r="C309" s="171"/>
      <c r="D309" s="171"/>
      <c r="E309" s="171"/>
      <c r="F309" s="172"/>
      <c r="G309" s="27"/>
      <c r="H309" s="166"/>
      <c r="I309" s="173"/>
      <c r="J309" s="171"/>
      <c r="K309" s="171"/>
      <c r="L309" s="171"/>
      <c r="M309" s="172"/>
      <c r="N309" s="16"/>
      <c r="O309" s="166"/>
      <c r="P309" s="173"/>
      <c r="Q309" s="171"/>
      <c r="R309" s="171"/>
      <c r="S309" s="171"/>
      <c r="T309" s="172"/>
    </row>
    <row r="310" spans="1:20" x14ac:dyDescent="0.2">
      <c r="A310" s="1283">
        <v>5</v>
      </c>
      <c r="B310" s="602">
        <v>1</v>
      </c>
      <c r="C310" s="608">
        <f>C9</f>
        <v>35</v>
      </c>
      <c r="D310" s="608">
        <f t="shared" ref="D310:F310" si="303">D9</f>
        <v>-0.5</v>
      </c>
      <c r="E310" s="608">
        <f t="shared" si="303"/>
        <v>0</v>
      </c>
      <c r="F310" s="608">
        <f t="shared" si="303"/>
        <v>0.25</v>
      </c>
      <c r="G310" s="350"/>
      <c r="H310" s="1286">
        <v>5</v>
      </c>
      <c r="I310" s="602">
        <v>1</v>
      </c>
      <c r="J310" s="608">
        <f>I20</f>
        <v>70</v>
      </c>
      <c r="K310" s="608">
        <f t="shared" ref="K310:M310" si="304">J20</f>
        <v>-1.1000000000000001</v>
      </c>
      <c r="L310" s="608">
        <f t="shared" si="304"/>
        <v>-1</v>
      </c>
      <c r="M310" s="608">
        <f t="shared" si="304"/>
        <v>5.0000000000000044E-2</v>
      </c>
      <c r="N310" s="350"/>
      <c r="O310" s="1286">
        <v>5</v>
      </c>
      <c r="P310" s="602">
        <v>1</v>
      </c>
      <c r="Q310" s="608">
        <f>O9</f>
        <v>1000</v>
      </c>
      <c r="R310" s="608" t="str">
        <f t="shared" ref="R310:T310" si="305">P9</f>
        <v>-</v>
      </c>
      <c r="S310" s="608" t="str">
        <f t="shared" si="305"/>
        <v>-</v>
      </c>
      <c r="T310" s="609">
        <f t="shared" si="305"/>
        <v>0</v>
      </c>
    </row>
    <row r="311" spans="1:20" x14ac:dyDescent="0.2">
      <c r="A311" s="1284"/>
      <c r="B311" s="551">
        <v>2</v>
      </c>
      <c r="C311" s="164">
        <f>C20</f>
        <v>35</v>
      </c>
      <c r="D311" s="164">
        <f t="shared" ref="D311:F311" si="306">D20</f>
        <v>-0.3</v>
      </c>
      <c r="E311" s="164">
        <f t="shared" si="306"/>
        <v>-1.6</v>
      </c>
      <c r="F311" s="164">
        <f t="shared" si="306"/>
        <v>0.65</v>
      </c>
      <c r="G311" s="16"/>
      <c r="H311" s="1287"/>
      <c r="I311" s="551">
        <v>2</v>
      </c>
      <c r="J311" s="164">
        <f>I20</f>
        <v>70</v>
      </c>
      <c r="K311" s="164">
        <f t="shared" ref="K311:M311" si="307">J20</f>
        <v>-1.1000000000000001</v>
      </c>
      <c r="L311" s="164">
        <f t="shared" si="307"/>
        <v>-1</v>
      </c>
      <c r="M311" s="164">
        <f t="shared" si="307"/>
        <v>5.0000000000000044E-2</v>
      </c>
      <c r="N311" s="16"/>
      <c r="O311" s="1287"/>
      <c r="P311" s="551">
        <v>2</v>
      </c>
      <c r="Q311" s="164">
        <f>O20</f>
        <v>1000</v>
      </c>
      <c r="R311" s="164" t="str">
        <f t="shared" ref="R311:T311" si="308">P20</f>
        <v>-</v>
      </c>
      <c r="S311" s="164" t="str">
        <f t="shared" si="308"/>
        <v>-</v>
      </c>
      <c r="T311" s="588">
        <f t="shared" si="308"/>
        <v>0</v>
      </c>
    </row>
    <row r="312" spans="1:20" x14ac:dyDescent="0.2">
      <c r="A312" s="1284"/>
      <c r="B312" s="551">
        <v>3</v>
      </c>
      <c r="C312" s="164">
        <f>C31</f>
        <v>35</v>
      </c>
      <c r="D312" s="164">
        <f t="shared" ref="D312:F312" si="309">D31</f>
        <v>-0.5</v>
      </c>
      <c r="E312" s="164">
        <f t="shared" si="309"/>
        <v>-0.4</v>
      </c>
      <c r="F312" s="164">
        <f t="shared" si="309"/>
        <v>4.9999999999999989E-2</v>
      </c>
      <c r="G312" s="16"/>
      <c r="H312" s="1287"/>
      <c r="I312" s="551">
        <v>3</v>
      </c>
      <c r="J312" s="164">
        <f>I31</f>
        <v>70</v>
      </c>
      <c r="K312" s="164">
        <f t="shared" ref="K312:M312" si="310">J31</f>
        <v>-3.6</v>
      </c>
      <c r="L312" s="164">
        <f t="shared" si="310"/>
        <v>-1.6</v>
      </c>
      <c r="M312" s="164">
        <f t="shared" si="310"/>
        <v>1</v>
      </c>
      <c r="N312" s="16"/>
      <c r="O312" s="1287"/>
      <c r="P312" s="551">
        <v>3</v>
      </c>
      <c r="Q312" s="164">
        <f>O31</f>
        <v>1000</v>
      </c>
      <c r="R312" s="164" t="str">
        <f t="shared" ref="R312:T312" si="311">P31</f>
        <v>-</v>
      </c>
      <c r="S312" s="164" t="str">
        <f t="shared" si="311"/>
        <v>-</v>
      </c>
      <c r="T312" s="588">
        <f t="shared" si="311"/>
        <v>0</v>
      </c>
    </row>
    <row r="313" spans="1:20" x14ac:dyDescent="0.2">
      <c r="A313" s="1284"/>
      <c r="B313" s="551">
        <v>4</v>
      </c>
      <c r="C313" s="164">
        <f>C42</f>
        <v>35</v>
      </c>
      <c r="D313" s="164">
        <f t="shared" ref="D313:F313" si="312">D42</f>
        <v>-0.6</v>
      </c>
      <c r="E313" s="164">
        <f t="shared" si="312"/>
        <v>-1.5</v>
      </c>
      <c r="F313" s="164">
        <f t="shared" si="312"/>
        <v>0.45</v>
      </c>
      <c r="G313" s="16"/>
      <c r="H313" s="1287"/>
      <c r="I313" s="551">
        <v>4</v>
      </c>
      <c r="J313" s="164">
        <f>I42</f>
        <v>70</v>
      </c>
      <c r="K313" s="164">
        <f t="shared" ref="K313:M313" si="313">J42</f>
        <v>0.7</v>
      </c>
      <c r="L313" s="164">
        <f t="shared" si="313"/>
        <v>-0.7</v>
      </c>
      <c r="M313" s="164">
        <f t="shared" si="313"/>
        <v>0.7</v>
      </c>
      <c r="N313" s="16"/>
      <c r="O313" s="1287"/>
      <c r="P313" s="551">
        <v>4</v>
      </c>
      <c r="Q313" s="164">
        <f>O42</f>
        <v>1000</v>
      </c>
      <c r="R313" s="164" t="str">
        <f t="shared" ref="R313:T313" si="314">P42</f>
        <v>-</v>
      </c>
      <c r="S313" s="164" t="str">
        <f t="shared" si="314"/>
        <v>-</v>
      </c>
      <c r="T313" s="588">
        <f t="shared" si="314"/>
        <v>0</v>
      </c>
    </row>
    <row r="314" spans="1:20" x14ac:dyDescent="0.2">
      <c r="A314" s="1284"/>
      <c r="B314" s="551">
        <v>5</v>
      </c>
      <c r="C314" s="164">
        <f>C53</f>
        <v>35</v>
      </c>
      <c r="D314" s="164">
        <f t="shared" ref="D314:F314" si="315">D53</f>
        <v>0</v>
      </c>
      <c r="E314" s="164">
        <f t="shared" si="315"/>
        <v>-1.1000000000000001</v>
      </c>
      <c r="F314" s="164">
        <f t="shared" si="315"/>
        <v>0.55000000000000004</v>
      </c>
      <c r="G314" s="16"/>
      <c r="H314" s="1287"/>
      <c r="I314" s="551">
        <v>5</v>
      </c>
      <c r="J314" s="164">
        <f>I53</f>
        <v>70</v>
      </c>
      <c r="K314" s="164">
        <f t="shared" ref="K314:M314" si="316">J53</f>
        <v>-2.1</v>
      </c>
      <c r="L314" s="164">
        <f t="shared" si="316"/>
        <v>-1.6</v>
      </c>
      <c r="M314" s="164">
        <f t="shared" si="316"/>
        <v>0.25</v>
      </c>
      <c r="N314" s="16"/>
      <c r="O314" s="1287"/>
      <c r="P314" s="551">
        <v>5</v>
      </c>
      <c r="Q314" s="164">
        <f>O53</f>
        <v>1000</v>
      </c>
      <c r="R314" s="164" t="str">
        <f t="shared" ref="R314:T314" si="317">P53</f>
        <v>-</v>
      </c>
      <c r="S314" s="164" t="str">
        <f t="shared" si="317"/>
        <v>-</v>
      </c>
      <c r="T314" s="588">
        <f t="shared" si="317"/>
        <v>0</v>
      </c>
    </row>
    <row r="315" spans="1:20" x14ac:dyDescent="0.2">
      <c r="A315" s="1284"/>
      <c r="B315" s="551">
        <v>6</v>
      </c>
      <c r="C315" s="164">
        <f>C64</f>
        <v>35</v>
      </c>
      <c r="D315" s="164">
        <f t="shared" ref="D315:F315" si="318">D64</f>
        <v>-0.9</v>
      </c>
      <c r="E315" s="164">
        <f t="shared" si="318"/>
        <v>0.1</v>
      </c>
      <c r="F315" s="164">
        <f t="shared" si="318"/>
        <v>0.5</v>
      </c>
      <c r="G315" s="16"/>
      <c r="H315" s="1287"/>
      <c r="I315" s="551">
        <v>6</v>
      </c>
      <c r="J315" s="164">
        <f>I64</f>
        <v>70</v>
      </c>
      <c r="K315" s="164">
        <f t="shared" ref="K315:M315" si="319">J64</f>
        <v>0.9</v>
      </c>
      <c r="L315" s="164">
        <f t="shared" si="319"/>
        <v>-2.1</v>
      </c>
      <c r="M315" s="164">
        <f t="shared" si="319"/>
        <v>1.5</v>
      </c>
      <c r="N315" s="16"/>
      <c r="O315" s="1287"/>
      <c r="P315" s="551">
        <v>6</v>
      </c>
      <c r="Q315" s="164">
        <f>O64</f>
        <v>1000</v>
      </c>
      <c r="R315" s="164">
        <f t="shared" ref="R315:T315" si="320">P64</f>
        <v>-0.3</v>
      </c>
      <c r="S315" s="164" t="str">
        <f t="shared" si="320"/>
        <v>-</v>
      </c>
      <c r="T315" s="588">
        <f t="shared" si="320"/>
        <v>0</v>
      </c>
    </row>
    <row r="316" spans="1:20" x14ac:dyDescent="0.2">
      <c r="A316" s="1284"/>
      <c r="B316" s="551">
        <v>7</v>
      </c>
      <c r="C316" s="164">
        <f>C75</f>
        <v>35</v>
      </c>
      <c r="D316" s="164">
        <f t="shared" ref="D316:F316" si="321">D75</f>
        <v>-1.1000000000000001</v>
      </c>
      <c r="E316" s="164">
        <f t="shared" si="321"/>
        <v>-0.1</v>
      </c>
      <c r="F316" s="164">
        <f t="shared" si="321"/>
        <v>0.5</v>
      </c>
      <c r="G316" s="16"/>
      <c r="H316" s="1287"/>
      <c r="I316" s="551">
        <v>7</v>
      </c>
      <c r="J316" s="164">
        <f>I75</f>
        <v>70</v>
      </c>
      <c r="K316" s="164">
        <f t="shared" ref="K316:M316" si="322">J75</f>
        <v>0.9</v>
      </c>
      <c r="L316" s="164">
        <f t="shared" si="322"/>
        <v>2.8</v>
      </c>
      <c r="M316" s="164">
        <f t="shared" si="322"/>
        <v>0.95</v>
      </c>
      <c r="N316" s="16"/>
      <c r="O316" s="1287"/>
      <c r="P316" s="551">
        <v>7</v>
      </c>
      <c r="Q316" s="164">
        <f>O75</f>
        <v>1000</v>
      </c>
      <c r="R316" s="164">
        <f t="shared" ref="R316:T316" si="323">P75</f>
        <v>-0.4</v>
      </c>
      <c r="S316" s="164">
        <f t="shared" si="323"/>
        <v>-1.6</v>
      </c>
      <c r="T316" s="588">
        <f t="shared" si="323"/>
        <v>0.60000000000000009</v>
      </c>
    </row>
    <row r="317" spans="1:20" x14ac:dyDescent="0.2">
      <c r="A317" s="1284"/>
      <c r="B317" s="551">
        <v>8</v>
      </c>
      <c r="C317" s="164">
        <f>C86</f>
        <v>35</v>
      </c>
      <c r="D317" s="164">
        <f t="shared" ref="D317:F317" si="324">D86</f>
        <v>-0.5</v>
      </c>
      <c r="E317" s="164">
        <f t="shared" si="324"/>
        <v>-0.3</v>
      </c>
      <c r="F317" s="164">
        <f t="shared" si="324"/>
        <v>0.1</v>
      </c>
      <c r="G317" s="16"/>
      <c r="H317" s="1287"/>
      <c r="I317" s="551">
        <v>8</v>
      </c>
      <c r="J317" s="164">
        <f>I86</f>
        <v>70</v>
      </c>
      <c r="K317" s="164">
        <f t="shared" ref="K317:M317" si="325">J86</f>
        <v>-1.2</v>
      </c>
      <c r="L317" s="164">
        <f t="shared" si="325"/>
        <v>2.1</v>
      </c>
      <c r="M317" s="164">
        <f t="shared" si="325"/>
        <v>1.65</v>
      </c>
      <c r="N317" s="16"/>
      <c r="O317" s="1287"/>
      <c r="P317" s="551">
        <v>8</v>
      </c>
      <c r="Q317" s="164">
        <f>O86</f>
        <v>1000</v>
      </c>
      <c r="R317" s="164">
        <f t="shared" ref="R317:T317" si="326">P86</f>
        <v>0.2</v>
      </c>
      <c r="S317" s="164" t="str">
        <f t="shared" si="326"/>
        <v>-</v>
      </c>
      <c r="T317" s="588">
        <f t="shared" si="326"/>
        <v>0</v>
      </c>
    </row>
    <row r="318" spans="1:20" x14ac:dyDescent="0.2">
      <c r="A318" s="1284"/>
      <c r="B318" s="551">
        <v>9</v>
      </c>
      <c r="C318" s="164">
        <f>C97</f>
        <v>35</v>
      </c>
      <c r="D318" s="164">
        <f t="shared" ref="D318:F318" si="327">D97</f>
        <v>-0.5</v>
      </c>
      <c r="E318" s="164" t="str">
        <f t="shared" si="327"/>
        <v>-</v>
      </c>
      <c r="F318" s="164">
        <f t="shared" si="327"/>
        <v>0</v>
      </c>
      <c r="G318" s="16"/>
      <c r="H318" s="1287"/>
      <c r="I318" s="551">
        <v>9</v>
      </c>
      <c r="J318" s="164">
        <f>I97</f>
        <v>70</v>
      </c>
      <c r="K318" s="164">
        <f t="shared" ref="K318:M318" si="328">J97</f>
        <v>-0.6</v>
      </c>
      <c r="L318" s="164" t="str">
        <f t="shared" si="328"/>
        <v>-</v>
      </c>
      <c r="M318" s="164">
        <f t="shared" si="328"/>
        <v>0</v>
      </c>
      <c r="N318" s="16"/>
      <c r="O318" s="1287"/>
      <c r="P318" s="551">
        <v>9</v>
      </c>
      <c r="Q318" s="164">
        <f>O97</f>
        <v>1000</v>
      </c>
      <c r="R318" s="164">
        <f t="shared" ref="R318:T318" si="329">P97</f>
        <v>0.2</v>
      </c>
      <c r="S318" s="164" t="str">
        <f t="shared" si="329"/>
        <v>-</v>
      </c>
      <c r="T318" s="588">
        <f t="shared" si="329"/>
        <v>0</v>
      </c>
    </row>
    <row r="319" spans="1:20" x14ac:dyDescent="0.2">
      <c r="A319" s="1284"/>
      <c r="B319" s="551">
        <v>10</v>
      </c>
      <c r="C319" s="164">
        <f>C108</f>
        <v>35</v>
      </c>
      <c r="D319" s="164">
        <f t="shared" ref="D319:F319" si="330">D108</f>
        <v>0.2</v>
      </c>
      <c r="E319" s="164">
        <f t="shared" si="330"/>
        <v>0.8</v>
      </c>
      <c r="F319" s="164">
        <f t="shared" si="330"/>
        <v>0.30000000000000004</v>
      </c>
      <c r="G319" s="16"/>
      <c r="H319" s="1287"/>
      <c r="I319" s="551">
        <v>10</v>
      </c>
      <c r="J319" s="164">
        <f>I108</f>
        <v>70</v>
      </c>
      <c r="K319" s="164">
        <f t="shared" ref="K319:M319" si="331">J108</f>
        <v>-0.3</v>
      </c>
      <c r="L319" s="164">
        <f t="shared" si="331"/>
        <v>-5.0999999999999996</v>
      </c>
      <c r="M319" s="164">
        <f t="shared" si="331"/>
        <v>2.4</v>
      </c>
      <c r="N319" s="16"/>
      <c r="O319" s="1287"/>
      <c r="P319" s="551">
        <v>10</v>
      </c>
      <c r="Q319" s="164">
        <f>O108</f>
        <v>1000</v>
      </c>
      <c r="R319" s="164" t="str">
        <f t="shared" ref="R319:T319" si="332">P108</f>
        <v>-</v>
      </c>
      <c r="S319" s="164" t="str">
        <f t="shared" si="332"/>
        <v>-</v>
      </c>
      <c r="T319" s="588">
        <f t="shared" si="332"/>
        <v>0</v>
      </c>
    </row>
    <row r="320" spans="1:20" x14ac:dyDescent="0.2">
      <c r="A320" s="1284"/>
      <c r="B320" s="551">
        <v>11</v>
      </c>
      <c r="C320" s="164">
        <f>C119</f>
        <v>34.5</v>
      </c>
      <c r="D320" s="164">
        <f t="shared" ref="D320:F320" si="333">D119</f>
        <v>0.4</v>
      </c>
      <c r="E320" s="164" t="str">
        <f t="shared" si="333"/>
        <v>-</v>
      </c>
      <c r="F320" s="164">
        <f t="shared" si="333"/>
        <v>0</v>
      </c>
      <c r="G320" s="16"/>
      <c r="H320" s="1287"/>
      <c r="I320" s="551">
        <v>11</v>
      </c>
      <c r="J320" s="164">
        <f>I119</f>
        <v>80.8</v>
      </c>
      <c r="K320" s="164">
        <f t="shared" ref="K320:M320" si="334">J119</f>
        <v>-1.7</v>
      </c>
      <c r="L320" s="164" t="str">
        <f t="shared" si="334"/>
        <v>-</v>
      </c>
      <c r="M320" s="164">
        <f t="shared" si="334"/>
        <v>0</v>
      </c>
      <c r="N320" s="16"/>
      <c r="O320" s="1287"/>
      <c r="P320" s="551">
        <v>11</v>
      </c>
      <c r="Q320" s="164">
        <f>O119</f>
        <v>1000</v>
      </c>
      <c r="R320" s="164" t="str">
        <f t="shared" ref="R320:T320" si="335">P119</f>
        <v>-</v>
      </c>
      <c r="S320" s="164" t="str">
        <f t="shared" si="335"/>
        <v>-</v>
      </c>
      <c r="T320" s="588">
        <f t="shared" si="335"/>
        <v>0</v>
      </c>
    </row>
    <row r="321" spans="1:20" x14ac:dyDescent="0.2">
      <c r="A321" s="1284"/>
      <c r="B321" s="551">
        <v>12</v>
      </c>
      <c r="C321" s="164">
        <f>C130</f>
        <v>35</v>
      </c>
      <c r="D321" s="164">
        <f t="shared" ref="D321:F321" si="336">D130</f>
        <v>-0.2</v>
      </c>
      <c r="E321" s="164" t="str">
        <f t="shared" si="336"/>
        <v>-</v>
      </c>
      <c r="F321" s="164">
        <f t="shared" si="336"/>
        <v>0</v>
      </c>
      <c r="G321" s="16"/>
      <c r="H321" s="1287"/>
      <c r="I321" s="551">
        <v>12</v>
      </c>
      <c r="J321" s="164">
        <f>I130</f>
        <v>70</v>
      </c>
      <c r="K321" s="164">
        <f t="shared" ref="K321:M321" si="337">J130</f>
        <v>-0.1</v>
      </c>
      <c r="L321" s="164" t="str">
        <f t="shared" si="337"/>
        <v>-</v>
      </c>
      <c r="M321" s="164">
        <f t="shared" si="337"/>
        <v>0</v>
      </c>
      <c r="N321" s="16"/>
      <c r="O321" s="1287"/>
      <c r="P321" s="551">
        <v>12</v>
      </c>
      <c r="Q321" s="164">
        <f>O130</f>
        <v>1000</v>
      </c>
      <c r="R321" s="164">
        <f t="shared" ref="R321:T321" si="338">P130</f>
        <v>-0.8</v>
      </c>
      <c r="S321" s="164" t="str">
        <f t="shared" si="338"/>
        <v>-</v>
      </c>
      <c r="T321" s="588">
        <f t="shared" si="338"/>
        <v>0</v>
      </c>
    </row>
    <row r="322" spans="1:20" x14ac:dyDescent="0.2">
      <c r="A322" s="1284"/>
      <c r="B322" s="551">
        <v>13</v>
      </c>
      <c r="C322" s="164">
        <f>C141</f>
        <v>35</v>
      </c>
      <c r="D322" s="164">
        <f t="shared" ref="D322:F322" si="339">D141</f>
        <v>0.3</v>
      </c>
      <c r="E322" s="164" t="str">
        <f t="shared" si="339"/>
        <v>-</v>
      </c>
      <c r="F322" s="164">
        <f t="shared" si="339"/>
        <v>0</v>
      </c>
      <c r="G322" s="16"/>
      <c r="H322" s="1287"/>
      <c r="I322" s="551">
        <v>13</v>
      </c>
      <c r="J322" s="164">
        <f>I141</f>
        <v>70</v>
      </c>
      <c r="K322" s="164">
        <f t="shared" ref="K322:M322" si="340">J141</f>
        <v>-1.9</v>
      </c>
      <c r="L322" s="164" t="str">
        <f t="shared" si="340"/>
        <v>-</v>
      </c>
      <c r="M322" s="164">
        <f t="shared" si="340"/>
        <v>0</v>
      </c>
      <c r="N322" s="16"/>
      <c r="O322" s="1287"/>
      <c r="P322" s="551">
        <v>13</v>
      </c>
      <c r="Q322" s="164">
        <f>O141</f>
        <v>1000</v>
      </c>
      <c r="R322" s="164">
        <f t="shared" ref="R322:T322" si="341">P141</f>
        <v>1.1000000000000001</v>
      </c>
      <c r="S322" s="164" t="str">
        <f t="shared" si="341"/>
        <v>-</v>
      </c>
      <c r="T322" s="588">
        <f t="shared" si="341"/>
        <v>0</v>
      </c>
    </row>
    <row r="323" spans="1:20" x14ac:dyDescent="0.2">
      <c r="A323" s="1284"/>
      <c r="B323" s="551">
        <v>14</v>
      </c>
      <c r="C323" s="164">
        <f>C152</f>
        <v>35</v>
      </c>
      <c r="D323" s="164">
        <f t="shared" ref="D323:F323" si="342">D152</f>
        <v>-0.6</v>
      </c>
      <c r="E323" s="164" t="str">
        <f t="shared" si="342"/>
        <v>-</v>
      </c>
      <c r="F323" s="164">
        <f t="shared" si="342"/>
        <v>0</v>
      </c>
      <c r="G323" s="16"/>
      <c r="H323" s="1287"/>
      <c r="I323" s="551">
        <v>14</v>
      </c>
      <c r="J323" s="164">
        <f>I152</f>
        <v>70</v>
      </c>
      <c r="K323" s="164">
        <f t="shared" ref="K323:M323" si="343">J152</f>
        <v>-0.8</v>
      </c>
      <c r="L323" s="164" t="str">
        <f t="shared" si="343"/>
        <v>-</v>
      </c>
      <c r="M323" s="164">
        <f t="shared" si="343"/>
        <v>0</v>
      </c>
      <c r="N323" s="16"/>
      <c r="O323" s="1287"/>
      <c r="P323" s="551">
        <v>14</v>
      </c>
      <c r="Q323" s="164">
        <f>O152</f>
        <v>1000</v>
      </c>
      <c r="R323" s="164">
        <f t="shared" ref="R323:T323" si="344">P152</f>
        <v>1.1000000000000001</v>
      </c>
      <c r="S323" s="164" t="str">
        <f t="shared" si="344"/>
        <v>-</v>
      </c>
      <c r="T323" s="588">
        <f t="shared" si="344"/>
        <v>0</v>
      </c>
    </row>
    <row r="324" spans="1:20" x14ac:dyDescent="0.2">
      <c r="A324" s="1284"/>
      <c r="B324" s="551">
        <v>15</v>
      </c>
      <c r="C324" s="164">
        <f>C163</f>
        <v>35</v>
      </c>
      <c r="D324" s="164">
        <f t="shared" ref="D324:F324" si="345">D163</f>
        <v>-0.1</v>
      </c>
      <c r="E324" s="164" t="str">
        <f t="shared" si="345"/>
        <v>-</v>
      </c>
      <c r="F324" s="164">
        <f t="shared" si="345"/>
        <v>0</v>
      </c>
      <c r="G324" s="16"/>
      <c r="H324" s="1287"/>
      <c r="I324" s="551">
        <v>15</v>
      </c>
      <c r="J324" s="164">
        <f>I163</f>
        <v>70</v>
      </c>
      <c r="K324" s="164">
        <f t="shared" ref="K324:M324" si="346">J163</f>
        <v>-0.8</v>
      </c>
      <c r="L324" s="164" t="str">
        <f t="shared" si="346"/>
        <v>-</v>
      </c>
      <c r="M324" s="164">
        <f t="shared" si="346"/>
        <v>0</v>
      </c>
      <c r="N324" s="16"/>
      <c r="O324" s="1287"/>
      <c r="P324" s="551">
        <v>15</v>
      </c>
      <c r="Q324" s="164">
        <f>O163</f>
        <v>1000</v>
      </c>
      <c r="R324" s="164">
        <f t="shared" ref="R324:T324" si="347">P163</f>
        <v>1.1000000000000001</v>
      </c>
      <c r="S324" s="164" t="str">
        <f t="shared" si="347"/>
        <v>-</v>
      </c>
      <c r="T324" s="588">
        <f t="shared" si="347"/>
        <v>0</v>
      </c>
    </row>
    <row r="325" spans="1:20" x14ac:dyDescent="0.2">
      <c r="A325" s="1284"/>
      <c r="B325" s="551">
        <v>16</v>
      </c>
      <c r="C325" s="164">
        <f>C174</f>
        <v>35</v>
      </c>
      <c r="D325" s="164">
        <f t="shared" ref="D325:F325" si="348">D174</f>
        <v>0.1</v>
      </c>
      <c r="E325" s="164" t="str">
        <f t="shared" si="348"/>
        <v>-</v>
      </c>
      <c r="F325" s="164">
        <f t="shared" si="348"/>
        <v>0</v>
      </c>
      <c r="G325" s="16"/>
      <c r="H325" s="1287"/>
      <c r="I325" s="551">
        <v>16</v>
      </c>
      <c r="J325" s="164">
        <f>I174</f>
        <v>70</v>
      </c>
      <c r="K325" s="164">
        <f t="shared" ref="K325:M325" si="349">J174</f>
        <v>-1.8</v>
      </c>
      <c r="L325" s="164" t="str">
        <f t="shared" si="349"/>
        <v>-</v>
      </c>
      <c r="M325" s="164">
        <f t="shared" si="349"/>
        <v>0</v>
      </c>
      <c r="N325" s="16"/>
      <c r="O325" s="1287"/>
      <c r="P325" s="551">
        <v>16</v>
      </c>
      <c r="Q325" s="164">
        <f>O174</f>
        <v>1000</v>
      </c>
      <c r="R325" s="164">
        <f t="shared" ref="R325:T325" si="350">P174</f>
        <v>-0.4</v>
      </c>
      <c r="S325" s="164" t="str">
        <f t="shared" si="350"/>
        <v>-</v>
      </c>
      <c r="T325" s="588">
        <f t="shared" si="350"/>
        <v>0</v>
      </c>
    </row>
    <row r="326" spans="1:20" x14ac:dyDescent="0.2">
      <c r="A326" s="1284"/>
      <c r="B326" s="551">
        <v>17</v>
      </c>
      <c r="C326" s="164">
        <f>C185</f>
        <v>35</v>
      </c>
      <c r="D326" s="164">
        <f t="shared" ref="D326:F326" si="351">D185</f>
        <v>-0.5</v>
      </c>
      <c r="E326" s="164" t="str">
        <f t="shared" si="351"/>
        <v>-</v>
      </c>
      <c r="F326" s="164">
        <f t="shared" si="351"/>
        <v>0</v>
      </c>
      <c r="G326" s="16"/>
      <c r="H326" s="1287"/>
      <c r="I326" s="551">
        <v>17</v>
      </c>
      <c r="J326" s="164">
        <f>I185</f>
        <v>70</v>
      </c>
      <c r="K326" s="164">
        <f t="shared" ref="K326:M326" si="352">J185</f>
        <v>-0.3</v>
      </c>
      <c r="L326" s="164" t="str">
        <f t="shared" si="352"/>
        <v>-</v>
      </c>
      <c r="M326" s="164">
        <f t="shared" si="352"/>
        <v>0</v>
      </c>
      <c r="N326" s="16"/>
      <c r="O326" s="1287"/>
      <c r="P326" s="551">
        <v>17</v>
      </c>
      <c r="Q326" s="164">
        <f>O185</f>
        <v>1000</v>
      </c>
      <c r="R326" s="164">
        <f t="shared" ref="R326:T326" si="353">P185</f>
        <v>-0.6</v>
      </c>
      <c r="S326" s="164" t="str">
        <f t="shared" si="353"/>
        <v>-</v>
      </c>
      <c r="T326" s="588">
        <f t="shared" si="353"/>
        <v>0</v>
      </c>
    </row>
    <row r="327" spans="1:20" x14ac:dyDescent="0.2">
      <c r="A327" s="1284"/>
      <c r="B327" s="551">
        <v>18</v>
      </c>
      <c r="C327" s="164">
        <f>C196</f>
        <v>35</v>
      </c>
      <c r="D327" s="164">
        <f t="shared" ref="D327:F327" si="354">D196</f>
        <v>-0.3</v>
      </c>
      <c r="E327" s="164" t="str">
        <f t="shared" si="354"/>
        <v>-</v>
      </c>
      <c r="F327" s="164">
        <f t="shared" si="354"/>
        <v>0</v>
      </c>
      <c r="G327" s="16"/>
      <c r="H327" s="1287"/>
      <c r="I327" s="551">
        <v>18</v>
      </c>
      <c r="J327" s="164">
        <f>I196</f>
        <v>70</v>
      </c>
      <c r="K327" s="164">
        <f t="shared" ref="K327:M327" si="355">J196</f>
        <v>-0.3</v>
      </c>
      <c r="L327" s="164" t="str">
        <f t="shared" si="355"/>
        <v>-</v>
      </c>
      <c r="M327" s="164">
        <f t="shared" si="355"/>
        <v>0</v>
      </c>
      <c r="N327" s="16"/>
      <c r="O327" s="1287"/>
      <c r="P327" s="551">
        <v>18</v>
      </c>
      <c r="Q327" s="164">
        <f>O196</f>
        <v>1000</v>
      </c>
      <c r="R327" s="164">
        <f t="shared" ref="R327:T327" si="356">P196</f>
        <v>-0.8</v>
      </c>
      <c r="S327" s="164" t="str">
        <f t="shared" si="356"/>
        <v>-</v>
      </c>
      <c r="T327" s="588">
        <f t="shared" si="356"/>
        <v>0</v>
      </c>
    </row>
    <row r="328" spans="1:20" x14ac:dyDescent="0.2">
      <c r="A328" s="1284"/>
      <c r="B328" s="551">
        <v>19</v>
      </c>
      <c r="C328" s="164">
        <f>C207</f>
        <v>34.5</v>
      </c>
      <c r="D328" s="164">
        <f t="shared" ref="D328:F328" si="357">D207</f>
        <v>0</v>
      </c>
      <c r="E328" s="164" t="str">
        <f t="shared" si="357"/>
        <v>-</v>
      </c>
      <c r="F328" s="164">
        <f t="shared" si="357"/>
        <v>0</v>
      </c>
      <c r="G328" s="16"/>
      <c r="H328" s="1287"/>
      <c r="I328" s="551">
        <v>19</v>
      </c>
      <c r="J328" s="164">
        <f>I207</f>
        <v>80.8</v>
      </c>
      <c r="K328" s="164">
        <f t="shared" ref="K328:M328" si="358">J207</f>
        <v>0</v>
      </c>
      <c r="L328" s="164" t="str">
        <f t="shared" si="358"/>
        <v>-</v>
      </c>
      <c r="M328" s="164">
        <f t="shared" si="358"/>
        <v>0</v>
      </c>
      <c r="N328" s="16"/>
      <c r="O328" s="1287"/>
      <c r="P328" s="551">
        <v>19</v>
      </c>
      <c r="Q328" s="164">
        <f>O207</f>
        <v>1000</v>
      </c>
      <c r="R328" s="164" t="str">
        <f t="shared" ref="R328:T328" si="359">P207</f>
        <v>-</v>
      </c>
      <c r="S328" s="164" t="str">
        <f t="shared" si="359"/>
        <v>-</v>
      </c>
      <c r="T328" s="588">
        <f t="shared" si="359"/>
        <v>0</v>
      </c>
    </row>
    <row r="329" spans="1:20" ht="13.5" thickBot="1" x14ac:dyDescent="0.25">
      <c r="A329" s="1285"/>
      <c r="B329" s="596">
        <v>20</v>
      </c>
      <c r="C329" s="606">
        <f>C218</f>
        <v>34.5</v>
      </c>
      <c r="D329" s="606">
        <f t="shared" ref="D329:F329" si="360">D218</f>
        <v>0</v>
      </c>
      <c r="E329" s="606" t="str">
        <f t="shared" si="360"/>
        <v>-</v>
      </c>
      <c r="F329" s="606">
        <f t="shared" si="360"/>
        <v>0</v>
      </c>
      <c r="G329" s="598"/>
      <c r="H329" s="1288"/>
      <c r="I329" s="596">
        <v>20</v>
      </c>
      <c r="J329" s="606">
        <f>I218</f>
        <v>80.8</v>
      </c>
      <c r="K329" s="606">
        <f t="shared" ref="K329:M329" si="361">J218</f>
        <v>0</v>
      </c>
      <c r="L329" s="606" t="str">
        <f t="shared" si="361"/>
        <v>-</v>
      </c>
      <c r="M329" s="606">
        <f t="shared" si="361"/>
        <v>0</v>
      </c>
      <c r="N329" s="598"/>
      <c r="O329" s="1288"/>
      <c r="P329" s="596">
        <v>20</v>
      </c>
      <c r="Q329" s="606">
        <f>O218</f>
        <v>1000</v>
      </c>
      <c r="R329" s="606" t="str">
        <f t="shared" ref="R329:T329" si="362">P218</f>
        <v>-</v>
      </c>
      <c r="S329" s="606" t="str">
        <f t="shared" si="362"/>
        <v>-</v>
      </c>
      <c r="T329" s="607">
        <f t="shared" si="362"/>
        <v>0</v>
      </c>
    </row>
    <row r="330" spans="1:20" ht="13.5" thickBot="1" x14ac:dyDescent="0.25">
      <c r="A330" s="166"/>
      <c r="B330" s="167"/>
      <c r="C330" s="171"/>
      <c r="D330" s="171"/>
      <c r="E330" s="171"/>
      <c r="F330" s="172"/>
      <c r="G330" s="27"/>
      <c r="H330" s="166"/>
      <c r="I330" s="167"/>
      <c r="J330" s="171"/>
      <c r="K330" s="171"/>
      <c r="L330" s="171"/>
      <c r="M330" s="172"/>
      <c r="N330" s="16"/>
      <c r="O330" s="166"/>
      <c r="P330" s="167"/>
      <c r="Q330" s="171"/>
      <c r="R330" s="171"/>
      <c r="S330" s="171"/>
      <c r="T330" s="172"/>
    </row>
    <row r="331" spans="1:20" x14ac:dyDescent="0.2">
      <c r="A331" s="1283">
        <v>6</v>
      </c>
      <c r="B331" s="602">
        <v>1</v>
      </c>
      <c r="C331" s="608">
        <f>C10</f>
        <v>37</v>
      </c>
      <c r="D331" s="608">
        <f t="shared" ref="D331:F331" si="363">D10</f>
        <v>-0.6</v>
      </c>
      <c r="E331" s="608">
        <f t="shared" si="363"/>
        <v>0</v>
      </c>
      <c r="F331" s="608">
        <f t="shared" si="363"/>
        <v>0.3</v>
      </c>
      <c r="G331" s="350"/>
      <c r="H331" s="1286">
        <v>6</v>
      </c>
      <c r="I331" s="602">
        <v>1</v>
      </c>
      <c r="J331" s="608">
        <f>I10</f>
        <v>80</v>
      </c>
      <c r="K331" s="608">
        <f t="shared" ref="K331:M331" si="364">J10</f>
        <v>0.7</v>
      </c>
      <c r="L331" s="608">
        <f t="shared" si="364"/>
        <v>0</v>
      </c>
      <c r="M331" s="608">
        <f t="shared" si="364"/>
        <v>0.35</v>
      </c>
      <c r="N331" s="350"/>
      <c r="O331" s="1286">
        <v>6</v>
      </c>
      <c r="P331" s="602">
        <v>1</v>
      </c>
      <c r="Q331" s="608">
        <f>O10</f>
        <v>1005</v>
      </c>
      <c r="R331" s="608" t="str">
        <f t="shared" ref="R331:T331" si="365">P10</f>
        <v>-</v>
      </c>
      <c r="S331" s="608" t="str">
        <f t="shared" si="365"/>
        <v>-</v>
      </c>
      <c r="T331" s="609">
        <f t="shared" si="365"/>
        <v>0</v>
      </c>
    </row>
    <row r="332" spans="1:20" x14ac:dyDescent="0.2">
      <c r="A332" s="1284"/>
      <c r="B332" s="551">
        <v>2</v>
      </c>
      <c r="C332" s="164">
        <f>C21</f>
        <v>37</v>
      </c>
      <c r="D332" s="164">
        <f t="shared" ref="D332:F332" si="366">D21</f>
        <v>-0.3</v>
      </c>
      <c r="E332" s="164">
        <f t="shared" si="366"/>
        <v>-1.8</v>
      </c>
      <c r="F332" s="164">
        <f t="shared" si="366"/>
        <v>0.75</v>
      </c>
      <c r="G332" s="16"/>
      <c r="H332" s="1287"/>
      <c r="I332" s="551">
        <v>2</v>
      </c>
      <c r="J332" s="164">
        <f>I21</f>
        <v>80</v>
      </c>
      <c r="K332" s="164">
        <f t="shared" ref="K332:M332" si="367">J21</f>
        <v>-0.7</v>
      </c>
      <c r="L332" s="164">
        <f t="shared" si="367"/>
        <v>-0.4</v>
      </c>
      <c r="M332" s="164">
        <f t="shared" si="367"/>
        <v>0.14999999999999997</v>
      </c>
      <c r="N332" s="16"/>
      <c r="O332" s="1287"/>
      <c r="P332" s="551">
        <v>2</v>
      </c>
      <c r="Q332" s="164">
        <f>O21</f>
        <v>1005</v>
      </c>
      <c r="R332" s="164" t="str">
        <f t="shared" ref="R332:T332" si="368">P21</f>
        <v>-</v>
      </c>
      <c r="S332" s="164" t="str">
        <f t="shared" si="368"/>
        <v>-</v>
      </c>
      <c r="T332" s="588">
        <f t="shared" si="368"/>
        <v>0</v>
      </c>
    </row>
    <row r="333" spans="1:20" x14ac:dyDescent="0.2">
      <c r="A333" s="1284"/>
      <c r="B333" s="551">
        <v>3</v>
      </c>
      <c r="C333" s="164">
        <f>C32</f>
        <v>37</v>
      </c>
      <c r="D333" s="164">
        <f t="shared" ref="D333:F333" si="369">D32</f>
        <v>-0.6</v>
      </c>
      <c r="E333" s="164">
        <f t="shared" si="369"/>
        <v>-0.5</v>
      </c>
      <c r="F333" s="164">
        <f t="shared" si="369"/>
        <v>4.9999999999999989E-2</v>
      </c>
      <c r="G333" s="16"/>
      <c r="H333" s="1287"/>
      <c r="I333" s="551">
        <v>3</v>
      </c>
      <c r="J333" s="164">
        <f>I32</f>
        <v>80</v>
      </c>
      <c r="K333" s="164">
        <f t="shared" ref="K333:M333" si="370">J32</f>
        <v>-2.9</v>
      </c>
      <c r="L333" s="164">
        <f t="shared" si="370"/>
        <v>-0.6</v>
      </c>
      <c r="M333" s="164">
        <f t="shared" si="370"/>
        <v>1.1499999999999999</v>
      </c>
      <c r="N333" s="16"/>
      <c r="O333" s="1287"/>
      <c r="P333" s="551">
        <v>3</v>
      </c>
      <c r="Q333" s="164">
        <f>O32</f>
        <v>1005</v>
      </c>
      <c r="R333" s="164" t="str">
        <f t="shared" ref="R333:T333" si="371">P32</f>
        <v>-</v>
      </c>
      <c r="S333" s="164" t="str">
        <f t="shared" si="371"/>
        <v>-</v>
      </c>
      <c r="T333" s="588">
        <f t="shared" si="371"/>
        <v>0</v>
      </c>
    </row>
    <row r="334" spans="1:20" x14ac:dyDescent="0.2">
      <c r="A334" s="1284"/>
      <c r="B334" s="551">
        <v>4</v>
      </c>
      <c r="C334" s="164">
        <f>C43</f>
        <v>37</v>
      </c>
      <c r="D334" s="164">
        <f t="shared" ref="D334:F334" si="372">D43</f>
        <v>-0.6</v>
      </c>
      <c r="E334" s="164">
        <f t="shared" si="372"/>
        <v>-1.8</v>
      </c>
      <c r="F334" s="164">
        <f t="shared" si="372"/>
        <v>0.60000000000000009</v>
      </c>
      <c r="G334" s="16"/>
      <c r="H334" s="1287"/>
      <c r="I334" s="551">
        <v>4</v>
      </c>
      <c r="J334" s="164">
        <f>I43</f>
        <v>80</v>
      </c>
      <c r="K334" s="164">
        <f t="shared" ref="K334:M334" si="373">J43</f>
        <v>1.9</v>
      </c>
      <c r="L334" s="164">
        <f t="shared" si="373"/>
        <v>-0.4</v>
      </c>
      <c r="M334" s="164">
        <f t="shared" si="373"/>
        <v>1.1499999999999999</v>
      </c>
      <c r="N334" s="16"/>
      <c r="O334" s="1287"/>
      <c r="P334" s="551">
        <v>4</v>
      </c>
      <c r="Q334" s="164">
        <f>O43</f>
        <v>1005</v>
      </c>
      <c r="R334" s="164" t="str">
        <f t="shared" ref="R334:T334" si="374">P43</f>
        <v>-</v>
      </c>
      <c r="S334" s="164" t="str">
        <f t="shared" si="374"/>
        <v>-</v>
      </c>
      <c r="T334" s="588">
        <f t="shared" si="374"/>
        <v>0</v>
      </c>
    </row>
    <row r="335" spans="1:20" x14ac:dyDescent="0.2">
      <c r="A335" s="1284"/>
      <c r="B335" s="551">
        <v>5</v>
      </c>
      <c r="C335" s="164">
        <f>C54</f>
        <v>37</v>
      </c>
      <c r="D335" s="164">
        <f t="shared" ref="D335:F335" si="375">D54</f>
        <v>0</v>
      </c>
      <c r="E335" s="164">
        <f t="shared" si="375"/>
        <v>-1.2</v>
      </c>
      <c r="F335" s="164">
        <f t="shared" si="375"/>
        <v>0.6</v>
      </c>
      <c r="G335" s="16"/>
      <c r="H335" s="1287"/>
      <c r="I335" s="551">
        <v>5</v>
      </c>
      <c r="J335" s="164">
        <f>I54</f>
        <v>80</v>
      </c>
      <c r="K335" s="164">
        <f t="shared" ref="K335:M335" si="376">J54</f>
        <v>0.2</v>
      </c>
      <c r="L335" s="164">
        <f t="shared" si="376"/>
        <v>-0.9</v>
      </c>
      <c r="M335" s="164">
        <f t="shared" si="376"/>
        <v>0.55000000000000004</v>
      </c>
      <c r="N335" s="16"/>
      <c r="O335" s="1287"/>
      <c r="P335" s="551">
        <v>5</v>
      </c>
      <c r="Q335" s="164">
        <f>O54</f>
        <v>1005</v>
      </c>
      <c r="R335" s="164" t="str">
        <f t="shared" ref="R335:T335" si="377">P54</f>
        <v>-</v>
      </c>
      <c r="S335" s="164" t="str">
        <f t="shared" si="377"/>
        <v>-</v>
      </c>
      <c r="T335" s="588">
        <f t="shared" si="377"/>
        <v>0</v>
      </c>
    </row>
    <row r="336" spans="1:20" x14ac:dyDescent="0.2">
      <c r="A336" s="1284"/>
      <c r="B336" s="551">
        <v>6</v>
      </c>
      <c r="C336" s="164">
        <f>C65</f>
        <v>37</v>
      </c>
      <c r="D336" s="164">
        <f t="shared" ref="D336:F336" si="378">D65</f>
        <v>-1.1000000000000001</v>
      </c>
      <c r="E336" s="164">
        <f t="shared" si="378"/>
        <v>0</v>
      </c>
      <c r="F336" s="164">
        <f t="shared" si="378"/>
        <v>0.55000000000000004</v>
      </c>
      <c r="G336" s="16"/>
      <c r="H336" s="1287"/>
      <c r="I336" s="551">
        <v>6</v>
      </c>
      <c r="J336" s="164">
        <f>I65</f>
        <v>80</v>
      </c>
      <c r="K336" s="164">
        <f t="shared" ref="K336:M336" si="379">J65</f>
        <v>0.8</v>
      </c>
      <c r="L336" s="164">
        <f t="shared" si="379"/>
        <v>-2.6</v>
      </c>
      <c r="M336" s="164">
        <f t="shared" si="379"/>
        <v>1.7000000000000002</v>
      </c>
      <c r="N336" s="16"/>
      <c r="O336" s="1287"/>
      <c r="P336" s="551">
        <v>6</v>
      </c>
      <c r="Q336" s="164">
        <f>O65</f>
        <v>1005</v>
      </c>
      <c r="R336" s="164">
        <f t="shared" ref="R336:T336" si="380">P65</f>
        <v>-0.3</v>
      </c>
      <c r="S336" s="164" t="str">
        <f t="shared" si="380"/>
        <v>-</v>
      </c>
      <c r="T336" s="588">
        <f t="shared" si="380"/>
        <v>0</v>
      </c>
    </row>
    <row r="337" spans="1:20" x14ac:dyDescent="0.2">
      <c r="A337" s="1284"/>
      <c r="B337" s="551">
        <v>7</v>
      </c>
      <c r="C337" s="164">
        <f>C76</f>
        <v>37</v>
      </c>
      <c r="D337" s="164">
        <f t="shared" ref="D337:F337" si="381">D76</f>
        <v>-1.4</v>
      </c>
      <c r="E337" s="164">
        <f t="shared" si="381"/>
        <v>-0.1</v>
      </c>
      <c r="F337" s="164">
        <f t="shared" si="381"/>
        <v>0.64999999999999991</v>
      </c>
      <c r="G337" s="16"/>
      <c r="H337" s="1287"/>
      <c r="I337" s="551">
        <v>7</v>
      </c>
      <c r="J337" s="164">
        <f>I76</f>
        <v>80</v>
      </c>
      <c r="K337" s="164">
        <f t="shared" ref="K337:M337" si="382">J76</f>
        <v>1.2</v>
      </c>
      <c r="L337" s="164">
        <f t="shared" si="382"/>
        <v>4.4000000000000004</v>
      </c>
      <c r="M337" s="164">
        <f t="shared" si="382"/>
        <v>1.6</v>
      </c>
      <c r="N337" s="16"/>
      <c r="O337" s="1287"/>
      <c r="P337" s="551">
        <v>7</v>
      </c>
      <c r="Q337" s="164">
        <f>O76</f>
        <v>1005</v>
      </c>
      <c r="R337" s="164">
        <f t="shared" ref="R337:T337" si="383">P76</f>
        <v>-0.5</v>
      </c>
      <c r="S337" s="164">
        <f t="shared" si="383"/>
        <v>-1.6</v>
      </c>
      <c r="T337" s="588">
        <f t="shared" si="383"/>
        <v>0.55000000000000004</v>
      </c>
    </row>
    <row r="338" spans="1:20" x14ac:dyDescent="0.2">
      <c r="A338" s="1284"/>
      <c r="B338" s="551">
        <v>8</v>
      </c>
      <c r="C338" s="164">
        <f>C87</f>
        <v>37</v>
      </c>
      <c r="D338" s="164">
        <f t="shared" ref="D338:F338" si="384">D87</f>
        <v>-0.5</v>
      </c>
      <c r="E338" s="164">
        <f t="shared" si="384"/>
        <v>-0.3</v>
      </c>
      <c r="F338" s="164">
        <f t="shared" si="384"/>
        <v>0.1</v>
      </c>
      <c r="G338" s="16"/>
      <c r="H338" s="1287"/>
      <c r="I338" s="551">
        <v>8</v>
      </c>
      <c r="J338" s="164">
        <f>I87</f>
        <v>80</v>
      </c>
      <c r="K338" s="164">
        <f t="shared" ref="K338:M338" si="385">J87</f>
        <v>-1.2</v>
      </c>
      <c r="L338" s="164">
        <f t="shared" si="385"/>
        <v>2.6</v>
      </c>
      <c r="M338" s="164">
        <f t="shared" si="385"/>
        <v>1.9</v>
      </c>
      <c r="N338" s="16"/>
      <c r="O338" s="1287"/>
      <c r="P338" s="551">
        <v>8</v>
      </c>
      <c r="Q338" s="164">
        <f>O87</f>
        <v>1005</v>
      </c>
      <c r="R338" s="164">
        <f t="shared" ref="R338:T338" si="386">P87</f>
        <v>0.2</v>
      </c>
      <c r="S338" s="164" t="str">
        <f t="shared" si="386"/>
        <v>-</v>
      </c>
      <c r="T338" s="588">
        <f t="shared" si="386"/>
        <v>0</v>
      </c>
    </row>
    <row r="339" spans="1:20" x14ac:dyDescent="0.2">
      <c r="A339" s="1284"/>
      <c r="B339" s="551">
        <v>9</v>
      </c>
      <c r="C339" s="164">
        <f>C98</f>
        <v>37</v>
      </c>
      <c r="D339" s="164">
        <f t="shared" ref="D339:F339" si="387">D98</f>
        <v>-0.5</v>
      </c>
      <c r="E339" s="164" t="str">
        <f t="shared" si="387"/>
        <v>-</v>
      </c>
      <c r="F339" s="164">
        <f t="shared" si="387"/>
        <v>0</v>
      </c>
      <c r="G339" s="16"/>
      <c r="H339" s="1287"/>
      <c r="I339" s="551">
        <v>9</v>
      </c>
      <c r="J339" s="164">
        <f>I98</f>
        <v>80</v>
      </c>
      <c r="K339" s="164">
        <f t="shared" ref="K339:M339" si="388">J98</f>
        <v>-0.5</v>
      </c>
      <c r="L339" s="164" t="str">
        <f t="shared" si="388"/>
        <v>-</v>
      </c>
      <c r="M339" s="164">
        <f t="shared" si="388"/>
        <v>0</v>
      </c>
      <c r="N339" s="16"/>
      <c r="O339" s="1287"/>
      <c r="P339" s="551">
        <v>9</v>
      </c>
      <c r="Q339" s="164">
        <f>O98</f>
        <v>1005</v>
      </c>
      <c r="R339" s="164">
        <f t="shared" ref="R339:T339" si="389">P98</f>
        <v>0.2</v>
      </c>
      <c r="S339" s="164" t="str">
        <f t="shared" si="389"/>
        <v>-</v>
      </c>
      <c r="T339" s="588">
        <f t="shared" si="389"/>
        <v>0</v>
      </c>
    </row>
    <row r="340" spans="1:20" x14ac:dyDescent="0.2">
      <c r="A340" s="1284"/>
      <c r="B340" s="551">
        <v>10</v>
      </c>
      <c r="C340" s="164">
        <f>C109</f>
        <v>37</v>
      </c>
      <c r="D340" s="164">
        <f t="shared" ref="D340:F340" si="390">D109</f>
        <v>0.2</v>
      </c>
      <c r="E340" s="164">
        <f t="shared" si="390"/>
        <v>0.4</v>
      </c>
      <c r="F340" s="164">
        <f t="shared" si="390"/>
        <v>0.1</v>
      </c>
      <c r="G340" s="16"/>
      <c r="H340" s="1287"/>
      <c r="I340" s="551">
        <v>10</v>
      </c>
      <c r="J340" s="164">
        <f>I109</f>
        <v>80</v>
      </c>
      <c r="K340" s="164">
        <f t="shared" ref="K340:M340" si="391">J109</f>
        <v>2.2000000000000002</v>
      </c>
      <c r="L340" s="164">
        <f t="shared" si="391"/>
        <v>-4.7</v>
      </c>
      <c r="M340" s="164">
        <f t="shared" si="391"/>
        <v>3.45</v>
      </c>
      <c r="N340" s="16"/>
      <c r="O340" s="1287"/>
      <c r="P340" s="551">
        <v>10</v>
      </c>
      <c r="Q340" s="164">
        <f>O109</f>
        <v>1005</v>
      </c>
      <c r="R340" s="164" t="str">
        <f t="shared" ref="R340:T340" si="392">P109</f>
        <v>-</v>
      </c>
      <c r="S340" s="164" t="str">
        <f t="shared" si="392"/>
        <v>-</v>
      </c>
      <c r="T340" s="588">
        <f t="shared" si="392"/>
        <v>0</v>
      </c>
    </row>
    <row r="341" spans="1:20" x14ac:dyDescent="0.2">
      <c r="A341" s="1284"/>
      <c r="B341" s="551">
        <v>11</v>
      </c>
      <c r="C341" s="164">
        <f>C120</f>
        <v>39.5</v>
      </c>
      <c r="D341" s="164">
        <f t="shared" ref="D341:F341" si="393">D120</f>
        <v>0.5</v>
      </c>
      <c r="E341" s="164" t="str">
        <f t="shared" si="393"/>
        <v>-</v>
      </c>
      <c r="F341" s="164">
        <f t="shared" si="393"/>
        <v>0</v>
      </c>
      <c r="G341" s="16"/>
      <c r="H341" s="1287"/>
      <c r="I341" s="551">
        <v>11</v>
      </c>
      <c r="J341" s="164">
        <f>I120</f>
        <v>88.7</v>
      </c>
      <c r="K341" s="164">
        <f t="shared" ref="K341:M341" si="394">J120</f>
        <v>2.6</v>
      </c>
      <c r="L341" s="164" t="str">
        <f t="shared" si="394"/>
        <v>-</v>
      </c>
      <c r="M341" s="164">
        <f t="shared" si="394"/>
        <v>0</v>
      </c>
      <c r="N341" s="16"/>
      <c r="O341" s="1287"/>
      <c r="P341" s="551">
        <v>11</v>
      </c>
      <c r="Q341" s="164">
        <f>O120</f>
        <v>1005</v>
      </c>
      <c r="R341" s="164" t="str">
        <f t="shared" ref="R341:T341" si="395">P120</f>
        <v>-</v>
      </c>
      <c r="S341" s="164" t="str">
        <f t="shared" si="395"/>
        <v>-</v>
      </c>
      <c r="T341" s="588">
        <f t="shared" si="395"/>
        <v>0</v>
      </c>
    </row>
    <row r="342" spans="1:20" x14ac:dyDescent="0.2">
      <c r="A342" s="1284"/>
      <c r="B342" s="551">
        <v>12</v>
      </c>
      <c r="C342" s="164">
        <f>C131</f>
        <v>37</v>
      </c>
      <c r="D342" s="164">
        <f t="shared" ref="D342:F342" si="396">D131</f>
        <v>-0.3</v>
      </c>
      <c r="E342" s="164" t="str">
        <f t="shared" si="396"/>
        <v>-</v>
      </c>
      <c r="F342" s="164">
        <f t="shared" si="396"/>
        <v>0</v>
      </c>
      <c r="G342" s="16"/>
      <c r="H342" s="1287"/>
      <c r="I342" s="551">
        <v>12</v>
      </c>
      <c r="J342" s="164">
        <f>I131</f>
        <v>80</v>
      </c>
      <c r="K342" s="164">
        <f t="shared" ref="K342:M342" si="397">J131</f>
        <v>-0.5</v>
      </c>
      <c r="L342" s="164" t="str">
        <f t="shared" si="397"/>
        <v>-</v>
      </c>
      <c r="M342" s="164">
        <f t="shared" si="397"/>
        <v>0</v>
      </c>
      <c r="N342" s="16"/>
      <c r="O342" s="1287"/>
      <c r="P342" s="551">
        <v>12</v>
      </c>
      <c r="Q342" s="164">
        <f>O131</f>
        <v>1005</v>
      </c>
      <c r="R342" s="164">
        <f t="shared" ref="R342:T342" si="398">P131</f>
        <v>-0.8</v>
      </c>
      <c r="S342" s="164" t="str">
        <f t="shared" si="398"/>
        <v>-</v>
      </c>
      <c r="T342" s="588">
        <f t="shared" si="398"/>
        <v>0</v>
      </c>
    </row>
    <row r="343" spans="1:20" x14ac:dyDescent="0.2">
      <c r="A343" s="1284"/>
      <c r="B343" s="551">
        <v>13</v>
      </c>
      <c r="C343" s="164">
        <f>C142</f>
        <v>37</v>
      </c>
      <c r="D343" s="164">
        <f t="shared" ref="D343:F343" si="399">D142</f>
        <v>0.4</v>
      </c>
      <c r="E343" s="164" t="str">
        <f t="shared" si="399"/>
        <v>-</v>
      </c>
      <c r="F343" s="164">
        <f t="shared" si="399"/>
        <v>0</v>
      </c>
      <c r="G343" s="16"/>
      <c r="H343" s="1287"/>
      <c r="I343" s="551">
        <v>13</v>
      </c>
      <c r="J343" s="164">
        <f>I142</f>
        <v>80</v>
      </c>
      <c r="K343" s="164">
        <f t="shared" ref="K343:M343" si="400">J142</f>
        <v>-2.5</v>
      </c>
      <c r="L343" s="164" t="str">
        <f t="shared" si="400"/>
        <v>-</v>
      </c>
      <c r="M343" s="164">
        <f t="shared" si="400"/>
        <v>0</v>
      </c>
      <c r="N343" s="16"/>
      <c r="O343" s="1287"/>
      <c r="P343" s="551">
        <v>13</v>
      </c>
      <c r="Q343" s="164">
        <f>O142</f>
        <v>1005</v>
      </c>
      <c r="R343" s="164">
        <f t="shared" ref="R343:T343" si="401">P142</f>
        <v>1.1000000000000001</v>
      </c>
      <c r="S343" s="164" t="str">
        <f t="shared" si="401"/>
        <v>-</v>
      </c>
      <c r="T343" s="588">
        <f t="shared" si="401"/>
        <v>0</v>
      </c>
    </row>
    <row r="344" spans="1:20" x14ac:dyDescent="0.2">
      <c r="A344" s="1284"/>
      <c r="B344" s="551">
        <v>14</v>
      </c>
      <c r="C344" s="164">
        <f>C153</f>
        <v>37</v>
      </c>
      <c r="D344" s="164">
        <f t="shared" ref="D344:F344" si="402">D153</f>
        <v>-0.8</v>
      </c>
      <c r="E344" s="164" t="str">
        <f t="shared" si="402"/>
        <v>-</v>
      </c>
      <c r="F344" s="164">
        <f t="shared" si="402"/>
        <v>0</v>
      </c>
      <c r="G344" s="16"/>
      <c r="H344" s="1287"/>
      <c r="I344" s="551">
        <v>14</v>
      </c>
      <c r="J344" s="164">
        <f>I153</f>
        <v>80</v>
      </c>
      <c r="K344" s="164">
        <f t="shared" ref="K344:M344" si="403">J153</f>
        <v>-0.9</v>
      </c>
      <c r="L344" s="164" t="str">
        <f t="shared" si="403"/>
        <v>-</v>
      </c>
      <c r="M344" s="164">
        <f t="shared" si="403"/>
        <v>0</v>
      </c>
      <c r="N344" s="16"/>
      <c r="O344" s="1287"/>
      <c r="P344" s="551">
        <v>14</v>
      </c>
      <c r="Q344" s="164">
        <f>O153</f>
        <v>1005</v>
      </c>
      <c r="R344" s="164">
        <f t="shared" ref="R344:T344" si="404">P153</f>
        <v>1.1000000000000001</v>
      </c>
      <c r="S344" s="164" t="str">
        <f t="shared" si="404"/>
        <v>-</v>
      </c>
      <c r="T344" s="588">
        <f t="shared" si="404"/>
        <v>0</v>
      </c>
    </row>
    <row r="345" spans="1:20" x14ac:dyDescent="0.2">
      <c r="A345" s="1284"/>
      <c r="B345" s="551">
        <v>15</v>
      </c>
      <c r="C345" s="164">
        <f>C164</f>
        <v>37</v>
      </c>
      <c r="D345" s="164">
        <f t="shared" ref="D345:F345" si="405">D164</f>
        <v>-0.1</v>
      </c>
      <c r="E345" s="164" t="str">
        <f t="shared" si="405"/>
        <v>-</v>
      </c>
      <c r="F345" s="164">
        <f t="shared" si="405"/>
        <v>0</v>
      </c>
      <c r="G345" s="16"/>
      <c r="H345" s="1287"/>
      <c r="I345" s="551">
        <v>15</v>
      </c>
      <c r="J345" s="164">
        <f>I164</f>
        <v>80</v>
      </c>
      <c r="K345" s="164">
        <f t="shared" ref="K345:M345" si="406">J164</f>
        <v>-1.3</v>
      </c>
      <c r="L345" s="164" t="str">
        <f t="shared" si="406"/>
        <v>-</v>
      </c>
      <c r="M345" s="164">
        <f t="shared" si="406"/>
        <v>0</v>
      </c>
      <c r="N345" s="16"/>
      <c r="O345" s="1287"/>
      <c r="P345" s="551">
        <v>15</v>
      </c>
      <c r="Q345" s="164">
        <f>O164</f>
        <v>1005</v>
      </c>
      <c r="R345" s="164">
        <f t="shared" ref="R345:T345" si="407">P164</f>
        <v>1.1000000000000001</v>
      </c>
      <c r="S345" s="164" t="str">
        <f t="shared" si="407"/>
        <v>-</v>
      </c>
      <c r="T345" s="588">
        <f t="shared" si="407"/>
        <v>0</v>
      </c>
    </row>
    <row r="346" spans="1:20" x14ac:dyDescent="0.2">
      <c r="A346" s="1284"/>
      <c r="B346" s="551">
        <v>16</v>
      </c>
      <c r="C346" s="164">
        <f>C175</f>
        <v>37</v>
      </c>
      <c r="D346" s="164">
        <f t="shared" ref="D346:F346" si="408">D175</f>
        <v>0</v>
      </c>
      <c r="E346" s="164" t="str">
        <f t="shared" si="408"/>
        <v>-</v>
      </c>
      <c r="F346" s="164">
        <f t="shared" si="408"/>
        <v>0</v>
      </c>
      <c r="G346" s="16"/>
      <c r="H346" s="1287"/>
      <c r="I346" s="551">
        <v>16</v>
      </c>
      <c r="J346" s="164">
        <f>I175</f>
        <v>80</v>
      </c>
      <c r="K346" s="164">
        <f t="shared" ref="K346:M346" si="409">J175</f>
        <v>-2.2999999999999998</v>
      </c>
      <c r="L346" s="164" t="str">
        <f t="shared" si="409"/>
        <v>-</v>
      </c>
      <c r="M346" s="164">
        <f t="shared" si="409"/>
        <v>0</v>
      </c>
      <c r="N346" s="16"/>
      <c r="O346" s="1287"/>
      <c r="P346" s="551">
        <v>16</v>
      </c>
      <c r="Q346" s="164">
        <f>O175</f>
        <v>1005</v>
      </c>
      <c r="R346" s="164">
        <f t="shared" ref="R346:T346" si="410">P175</f>
        <v>-0.4</v>
      </c>
      <c r="S346" s="164" t="str">
        <f t="shared" si="410"/>
        <v>-</v>
      </c>
      <c r="T346" s="588">
        <f t="shared" si="410"/>
        <v>0</v>
      </c>
    </row>
    <row r="347" spans="1:20" x14ac:dyDescent="0.2">
      <c r="A347" s="1284"/>
      <c r="B347" s="551">
        <v>17</v>
      </c>
      <c r="C347" s="164">
        <f>C186</f>
        <v>37</v>
      </c>
      <c r="D347" s="164">
        <f t="shared" ref="D347:F347" si="411">D186</f>
        <v>-0.6</v>
      </c>
      <c r="E347" s="164" t="str">
        <f t="shared" si="411"/>
        <v>-</v>
      </c>
      <c r="F347" s="164">
        <f t="shared" si="411"/>
        <v>0</v>
      </c>
      <c r="G347" s="16"/>
      <c r="H347" s="1287"/>
      <c r="I347" s="551">
        <v>17</v>
      </c>
      <c r="J347" s="164">
        <f>I186</f>
        <v>80</v>
      </c>
      <c r="K347" s="164">
        <f t="shared" ref="K347:M347" si="412">J186</f>
        <v>-0.8</v>
      </c>
      <c r="L347" s="164" t="str">
        <f t="shared" si="412"/>
        <v>-</v>
      </c>
      <c r="M347" s="164">
        <f t="shared" si="412"/>
        <v>0</v>
      </c>
      <c r="N347" s="16"/>
      <c r="O347" s="1287"/>
      <c r="P347" s="551">
        <v>17</v>
      </c>
      <c r="Q347" s="164">
        <f>O186</f>
        <v>1005</v>
      </c>
      <c r="R347" s="164">
        <f t="shared" ref="R347:T347" si="413">P186</f>
        <v>-0.6</v>
      </c>
      <c r="S347" s="164" t="str">
        <f t="shared" si="413"/>
        <v>-</v>
      </c>
      <c r="T347" s="588">
        <f t="shared" si="413"/>
        <v>0</v>
      </c>
    </row>
    <row r="348" spans="1:20" x14ac:dyDescent="0.2">
      <c r="A348" s="1284"/>
      <c r="B348" s="551">
        <v>18</v>
      </c>
      <c r="C348" s="164">
        <f>C197</f>
        <v>37</v>
      </c>
      <c r="D348" s="164">
        <f t="shared" ref="D348:F348" si="414">D197</f>
        <v>-0.3</v>
      </c>
      <c r="E348" s="164" t="str">
        <f t="shared" si="414"/>
        <v>-</v>
      </c>
      <c r="F348" s="164">
        <f t="shared" si="414"/>
        <v>0</v>
      </c>
      <c r="G348" s="16"/>
      <c r="H348" s="1287"/>
      <c r="I348" s="551">
        <v>18</v>
      </c>
      <c r="J348" s="164">
        <f>I197</f>
        <v>80</v>
      </c>
      <c r="K348" s="164">
        <f t="shared" ref="K348:M348" si="415">J197</f>
        <v>-0.5</v>
      </c>
      <c r="L348" s="164" t="str">
        <f t="shared" si="415"/>
        <v>-</v>
      </c>
      <c r="M348" s="164">
        <f t="shared" si="415"/>
        <v>0</v>
      </c>
      <c r="N348" s="16"/>
      <c r="O348" s="1287"/>
      <c r="P348" s="551">
        <v>18</v>
      </c>
      <c r="Q348" s="164">
        <f>O197</f>
        <v>1005</v>
      </c>
      <c r="R348" s="164">
        <f t="shared" ref="R348:T348" si="416">P197</f>
        <v>-0.7</v>
      </c>
      <c r="S348" s="164" t="str">
        <f t="shared" si="416"/>
        <v>-</v>
      </c>
      <c r="T348" s="588">
        <f t="shared" si="416"/>
        <v>0</v>
      </c>
    </row>
    <row r="349" spans="1:20" x14ac:dyDescent="0.2">
      <c r="A349" s="1284"/>
      <c r="B349" s="551">
        <v>19</v>
      </c>
      <c r="C349" s="164">
        <f>C208</f>
        <v>39.5</v>
      </c>
      <c r="D349" s="164">
        <f t="shared" ref="D349:F349" si="417">D208</f>
        <v>0</v>
      </c>
      <c r="E349" s="164" t="str">
        <f t="shared" si="417"/>
        <v>-</v>
      </c>
      <c r="F349" s="164">
        <f t="shared" si="417"/>
        <v>0</v>
      </c>
      <c r="G349" s="16"/>
      <c r="H349" s="1287"/>
      <c r="I349" s="551">
        <v>19</v>
      </c>
      <c r="J349" s="164">
        <f>I208</f>
        <v>88.7</v>
      </c>
      <c r="K349" s="164">
        <f t="shared" ref="K349:M349" si="418">J208</f>
        <v>0</v>
      </c>
      <c r="L349" s="164" t="str">
        <f t="shared" si="418"/>
        <v>-</v>
      </c>
      <c r="M349" s="164">
        <f t="shared" si="418"/>
        <v>0</v>
      </c>
      <c r="N349" s="16"/>
      <c r="O349" s="1287"/>
      <c r="P349" s="551">
        <v>19</v>
      </c>
      <c r="Q349" s="164">
        <f>O208</f>
        <v>1005</v>
      </c>
      <c r="R349" s="164" t="str">
        <f t="shared" ref="R349:T349" si="419">P208</f>
        <v>-</v>
      </c>
      <c r="S349" s="164" t="str">
        <f t="shared" si="419"/>
        <v>-</v>
      </c>
      <c r="T349" s="588">
        <f t="shared" si="419"/>
        <v>0</v>
      </c>
    </row>
    <row r="350" spans="1:20" ht="13.5" thickBot="1" x14ac:dyDescent="0.25">
      <c r="A350" s="1285"/>
      <c r="B350" s="596">
        <v>20</v>
      </c>
      <c r="C350" s="606">
        <f>C219</f>
        <v>39.5</v>
      </c>
      <c r="D350" s="606">
        <f t="shared" ref="D350:F350" si="420">D219</f>
        <v>0</v>
      </c>
      <c r="E350" s="606" t="str">
        <f t="shared" si="420"/>
        <v>-</v>
      </c>
      <c r="F350" s="606">
        <f t="shared" si="420"/>
        <v>0</v>
      </c>
      <c r="G350" s="598"/>
      <c r="H350" s="1288"/>
      <c r="I350" s="596">
        <v>20</v>
      </c>
      <c r="J350" s="606">
        <f>I219</f>
        <v>88.7</v>
      </c>
      <c r="K350" s="606">
        <f t="shared" ref="K350:M350" si="421">J219</f>
        <v>0</v>
      </c>
      <c r="L350" s="606" t="str">
        <f t="shared" si="421"/>
        <v>-</v>
      </c>
      <c r="M350" s="606">
        <f t="shared" si="421"/>
        <v>0</v>
      </c>
      <c r="N350" s="598"/>
      <c r="O350" s="1288"/>
      <c r="P350" s="596">
        <v>20</v>
      </c>
      <c r="Q350" s="606">
        <f>O219</f>
        <v>1005</v>
      </c>
      <c r="R350" s="606" t="str">
        <f t="shared" ref="R350:T350" si="422">P219</f>
        <v>-</v>
      </c>
      <c r="S350" s="606" t="str">
        <f t="shared" si="422"/>
        <v>-</v>
      </c>
      <c r="T350" s="607">
        <f t="shared" si="422"/>
        <v>0</v>
      </c>
    </row>
    <row r="351" spans="1:20" ht="13.5" thickBot="1" x14ac:dyDescent="0.25">
      <c r="A351" s="166"/>
      <c r="B351" s="167"/>
      <c r="C351" s="171"/>
      <c r="D351" s="171"/>
      <c r="E351" s="171"/>
      <c r="F351" s="172"/>
      <c r="G351" s="27"/>
      <c r="H351" s="174"/>
      <c r="I351" s="167"/>
      <c r="J351" s="171"/>
      <c r="K351" s="171"/>
      <c r="L351" s="171"/>
      <c r="M351" s="172"/>
      <c r="N351" s="16"/>
      <c r="O351" s="174"/>
      <c r="P351" s="167"/>
      <c r="Q351" s="171"/>
      <c r="R351" s="171"/>
      <c r="S351" s="171"/>
      <c r="T351" s="172"/>
    </row>
    <row r="352" spans="1:20" x14ac:dyDescent="0.2">
      <c r="A352" s="1289">
        <v>7</v>
      </c>
      <c r="B352" s="602">
        <v>1</v>
      </c>
      <c r="C352" s="608">
        <f>C11</f>
        <v>40</v>
      </c>
      <c r="D352" s="608">
        <f t="shared" ref="D352:F352" si="423">D11</f>
        <v>-0.8</v>
      </c>
      <c r="E352" s="608">
        <f t="shared" si="423"/>
        <v>0</v>
      </c>
      <c r="F352" s="608">
        <f t="shared" si="423"/>
        <v>0.4</v>
      </c>
      <c r="G352" s="350"/>
      <c r="H352" s="1290">
        <v>7</v>
      </c>
      <c r="I352" s="602">
        <v>1</v>
      </c>
      <c r="J352" s="608">
        <f>I11</f>
        <v>90</v>
      </c>
      <c r="K352" s="608">
        <f t="shared" ref="K352:M352" si="424">J11</f>
        <v>4.5</v>
      </c>
      <c r="L352" s="608">
        <f t="shared" si="424"/>
        <v>0</v>
      </c>
      <c r="M352" s="608">
        <f t="shared" si="424"/>
        <v>2.25</v>
      </c>
      <c r="N352" s="350"/>
      <c r="O352" s="1290">
        <v>7</v>
      </c>
      <c r="P352" s="602">
        <v>1</v>
      </c>
      <c r="Q352" s="608">
        <f>O11</f>
        <v>1020</v>
      </c>
      <c r="R352" s="608" t="str">
        <f t="shared" ref="R352:T352" si="425">P11</f>
        <v>-</v>
      </c>
      <c r="S352" s="608" t="str">
        <f t="shared" si="425"/>
        <v>-</v>
      </c>
      <c r="T352" s="609">
        <f t="shared" si="425"/>
        <v>0</v>
      </c>
    </row>
    <row r="353" spans="1:20" x14ac:dyDescent="0.2">
      <c r="A353" s="1278"/>
      <c r="B353" s="551">
        <v>2</v>
      </c>
      <c r="C353" s="164">
        <f>C22</f>
        <v>40</v>
      </c>
      <c r="D353" s="164">
        <f t="shared" ref="D353:F353" si="426">D22</f>
        <v>-0.3</v>
      </c>
      <c r="E353" s="164">
        <f t="shared" si="426"/>
        <v>-2.1</v>
      </c>
      <c r="F353" s="164">
        <f t="shared" si="426"/>
        <v>0.9</v>
      </c>
      <c r="G353" s="16"/>
      <c r="H353" s="1281"/>
      <c r="I353" s="551">
        <v>2</v>
      </c>
      <c r="J353" s="164">
        <f>I22</f>
        <v>90</v>
      </c>
      <c r="K353" s="164">
        <f t="shared" ref="K353:M353" si="427">J22</f>
        <v>-0.3</v>
      </c>
      <c r="L353" s="164">
        <f t="shared" si="427"/>
        <v>0.6</v>
      </c>
      <c r="M353" s="164">
        <f t="shared" si="427"/>
        <v>0.44999999999999996</v>
      </c>
      <c r="N353" s="16"/>
      <c r="O353" s="1281"/>
      <c r="P353" s="551">
        <v>2</v>
      </c>
      <c r="Q353" s="164">
        <f>O22</f>
        <v>1020</v>
      </c>
      <c r="R353" s="164" t="str">
        <f t="shared" ref="R353:T353" si="428">P22</f>
        <v>-</v>
      </c>
      <c r="S353" s="164" t="str">
        <f t="shared" si="428"/>
        <v>-</v>
      </c>
      <c r="T353" s="588">
        <f t="shared" si="428"/>
        <v>0</v>
      </c>
    </row>
    <row r="354" spans="1:20" x14ac:dyDescent="0.2">
      <c r="A354" s="1278"/>
      <c r="B354" s="551">
        <v>3</v>
      </c>
      <c r="C354" s="164">
        <f>C33</f>
        <v>40</v>
      </c>
      <c r="D354" s="164">
        <f t="shared" ref="D354:F354" si="429">D33</f>
        <v>-0.7</v>
      </c>
      <c r="E354" s="164">
        <f t="shared" si="429"/>
        <v>-0.5</v>
      </c>
      <c r="F354" s="164">
        <f t="shared" si="429"/>
        <v>9.9999999999999978E-2</v>
      </c>
      <c r="G354" s="16"/>
      <c r="H354" s="1281"/>
      <c r="I354" s="551">
        <v>3</v>
      </c>
      <c r="J354" s="164">
        <f>I33</f>
        <v>90</v>
      </c>
      <c r="K354" s="164">
        <f t="shared" ref="K354:M354" si="430">J33</f>
        <v>-2</v>
      </c>
      <c r="L354" s="164">
        <f t="shared" si="430"/>
        <v>0.9</v>
      </c>
      <c r="M354" s="164">
        <f t="shared" si="430"/>
        <v>1.45</v>
      </c>
      <c r="N354" s="16"/>
      <c r="O354" s="1281"/>
      <c r="P354" s="551">
        <v>3</v>
      </c>
      <c r="Q354" s="164">
        <f>O33</f>
        <v>1020</v>
      </c>
      <c r="R354" s="164" t="str">
        <f t="shared" ref="R354:T354" si="431">P33</f>
        <v>-</v>
      </c>
      <c r="S354" s="164" t="str">
        <f t="shared" si="431"/>
        <v>-</v>
      </c>
      <c r="T354" s="588">
        <f t="shared" si="431"/>
        <v>0</v>
      </c>
    </row>
    <row r="355" spans="1:20" x14ac:dyDescent="0.2">
      <c r="A355" s="1278"/>
      <c r="B355" s="551">
        <v>4</v>
      </c>
      <c r="C355" s="164">
        <f>C44</f>
        <v>40</v>
      </c>
      <c r="D355" s="164">
        <f t="shared" ref="D355:F355" si="432">D44</f>
        <v>-0.6</v>
      </c>
      <c r="E355" s="164">
        <f t="shared" si="432"/>
        <v>-2.1</v>
      </c>
      <c r="F355" s="164">
        <f t="shared" si="432"/>
        <v>0.75</v>
      </c>
      <c r="G355" s="16"/>
      <c r="H355" s="1281"/>
      <c r="I355" s="551">
        <v>4</v>
      </c>
      <c r="J355" s="164">
        <f>I44</f>
        <v>90</v>
      </c>
      <c r="K355" s="164">
        <f t="shared" ref="K355:M355" si="433">J44</f>
        <v>3.3</v>
      </c>
      <c r="L355" s="164">
        <f t="shared" si="433"/>
        <v>0.2</v>
      </c>
      <c r="M355" s="164">
        <f t="shared" si="433"/>
        <v>1.5499999999999998</v>
      </c>
      <c r="N355" s="16"/>
      <c r="O355" s="1281"/>
      <c r="P355" s="551">
        <v>4</v>
      </c>
      <c r="Q355" s="164">
        <f>O44</f>
        <v>1020</v>
      </c>
      <c r="R355" s="164" t="str">
        <f t="shared" ref="R355:T355" si="434">P44</f>
        <v>-</v>
      </c>
      <c r="S355" s="164" t="str">
        <f t="shared" si="434"/>
        <v>-</v>
      </c>
      <c r="T355" s="588">
        <f t="shared" si="434"/>
        <v>0</v>
      </c>
    </row>
    <row r="356" spans="1:20" x14ac:dyDescent="0.2">
      <c r="A356" s="1278"/>
      <c r="B356" s="551">
        <v>5</v>
      </c>
      <c r="C356" s="164">
        <f>C55</f>
        <v>40</v>
      </c>
      <c r="D356" s="164">
        <f t="shared" ref="D356:F356" si="435">D55</f>
        <v>-0.1</v>
      </c>
      <c r="E356" s="164">
        <f t="shared" si="435"/>
        <v>-1.5</v>
      </c>
      <c r="F356" s="164">
        <f t="shared" si="435"/>
        <v>0.7</v>
      </c>
      <c r="G356" s="16"/>
      <c r="H356" s="1281"/>
      <c r="I356" s="551">
        <v>5</v>
      </c>
      <c r="J356" s="164">
        <f>I55</f>
        <v>90</v>
      </c>
      <c r="K356" s="164">
        <f t="shared" ref="K356:M356" si="436">J55</f>
        <v>2.7</v>
      </c>
      <c r="L356" s="164">
        <f t="shared" si="436"/>
        <v>0.2</v>
      </c>
      <c r="M356" s="164">
        <f t="shared" si="436"/>
        <v>1.25</v>
      </c>
      <c r="N356" s="16"/>
      <c r="O356" s="1281"/>
      <c r="P356" s="551">
        <v>5</v>
      </c>
      <c r="Q356" s="164">
        <f>O55</f>
        <v>1020</v>
      </c>
      <c r="R356" s="164" t="str">
        <f t="shared" ref="R356:T356" si="437">P55</f>
        <v>-</v>
      </c>
      <c r="S356" s="164" t="str">
        <f t="shared" si="437"/>
        <v>-</v>
      </c>
      <c r="T356" s="588">
        <f t="shared" si="437"/>
        <v>0</v>
      </c>
    </row>
    <row r="357" spans="1:20" x14ac:dyDescent="0.2">
      <c r="A357" s="1278"/>
      <c r="B357" s="551">
        <v>6</v>
      </c>
      <c r="C357" s="164">
        <f>C66</f>
        <v>40</v>
      </c>
      <c r="D357" s="164">
        <f t="shared" ref="D357:F357" si="438">D66</f>
        <v>-1.4</v>
      </c>
      <c r="E357" s="164">
        <f t="shared" si="438"/>
        <v>-0.1</v>
      </c>
      <c r="F357" s="164">
        <f t="shared" si="438"/>
        <v>0.64999999999999991</v>
      </c>
      <c r="G357" s="16"/>
      <c r="H357" s="1281"/>
      <c r="I357" s="551">
        <v>6</v>
      </c>
      <c r="J357" s="164">
        <f>I66</f>
        <v>90</v>
      </c>
      <c r="K357" s="164">
        <f t="shared" ref="K357:M357" si="439">J66</f>
        <v>0.7</v>
      </c>
      <c r="L357" s="164">
        <f t="shared" si="439"/>
        <v>-2.6</v>
      </c>
      <c r="M357" s="164">
        <f t="shared" si="439"/>
        <v>1.65</v>
      </c>
      <c r="N357" s="16"/>
      <c r="O357" s="1281"/>
      <c r="P357" s="551">
        <v>6</v>
      </c>
      <c r="Q357" s="164">
        <f>O66</f>
        <v>1020</v>
      </c>
      <c r="R357" s="164">
        <f t="shared" ref="R357:T357" si="440">P66</f>
        <v>0</v>
      </c>
      <c r="S357" s="164" t="str">
        <f t="shared" si="440"/>
        <v>-</v>
      </c>
      <c r="T357" s="588">
        <f t="shared" si="440"/>
        <v>0</v>
      </c>
    </row>
    <row r="358" spans="1:20" x14ac:dyDescent="0.2">
      <c r="A358" s="1278"/>
      <c r="B358" s="551">
        <v>7</v>
      </c>
      <c r="C358" s="164">
        <f>C77</f>
        <v>40</v>
      </c>
      <c r="D358" s="164">
        <f t="shared" ref="D358:F358" si="441">D77</f>
        <v>-1.7</v>
      </c>
      <c r="E358" s="164">
        <f t="shared" si="441"/>
        <v>-0.1</v>
      </c>
      <c r="F358" s="164">
        <f t="shared" si="441"/>
        <v>0.79999999999999993</v>
      </c>
      <c r="G358" s="16"/>
      <c r="H358" s="1281"/>
      <c r="I358" s="551">
        <v>7</v>
      </c>
      <c r="J358" s="164">
        <f>I77</f>
        <v>90</v>
      </c>
      <c r="K358" s="164">
        <f t="shared" ref="K358:M358" si="442">J77</f>
        <v>1.8</v>
      </c>
      <c r="L358" s="164">
        <f t="shared" si="442"/>
        <v>4.4000000000000004</v>
      </c>
      <c r="M358" s="164">
        <f t="shared" si="442"/>
        <v>1.3000000000000003</v>
      </c>
      <c r="N358" s="16"/>
      <c r="O358" s="1281"/>
      <c r="P358" s="551">
        <v>7</v>
      </c>
      <c r="Q358" s="164">
        <f>O77</f>
        <v>1020</v>
      </c>
      <c r="R358" s="164">
        <f t="shared" ref="R358:T358" si="443">P77</f>
        <v>0</v>
      </c>
      <c r="S358" s="164">
        <f t="shared" si="443"/>
        <v>-1.5</v>
      </c>
      <c r="T358" s="588">
        <f t="shared" si="443"/>
        <v>0.75</v>
      </c>
    </row>
    <row r="359" spans="1:20" x14ac:dyDescent="0.2">
      <c r="A359" s="1278"/>
      <c r="B359" s="551">
        <v>8</v>
      </c>
      <c r="C359" s="164">
        <f>C88</f>
        <v>40</v>
      </c>
      <c r="D359" s="164">
        <f t="shared" ref="D359:F359" si="444">D88</f>
        <v>-0.4</v>
      </c>
      <c r="E359" s="164">
        <f t="shared" si="444"/>
        <v>-0.4</v>
      </c>
      <c r="F359" s="164">
        <f t="shared" si="444"/>
        <v>0</v>
      </c>
      <c r="G359" s="16"/>
      <c r="H359" s="1281"/>
      <c r="I359" s="551">
        <v>8</v>
      </c>
      <c r="J359" s="164">
        <f>I88</f>
        <v>90</v>
      </c>
      <c r="K359" s="164">
        <f t="shared" ref="K359:M359" si="445">J88</f>
        <v>-1.3</v>
      </c>
      <c r="L359" s="164">
        <f t="shared" si="445"/>
        <v>2.6</v>
      </c>
      <c r="M359" s="164">
        <f t="shared" si="445"/>
        <v>1.9500000000000002</v>
      </c>
      <c r="N359" s="16"/>
      <c r="O359" s="1281"/>
      <c r="P359" s="551">
        <v>8</v>
      </c>
      <c r="Q359" s="164">
        <f>O88</f>
        <v>1020</v>
      </c>
      <c r="R359" s="164">
        <f t="shared" ref="R359:T359" si="446">P88</f>
        <v>0</v>
      </c>
      <c r="S359" s="164" t="str">
        <f t="shared" si="446"/>
        <v>-</v>
      </c>
      <c r="T359" s="588">
        <f t="shared" si="446"/>
        <v>0</v>
      </c>
    </row>
    <row r="360" spans="1:20" x14ac:dyDescent="0.2">
      <c r="A360" s="1278"/>
      <c r="B360" s="551">
        <v>9</v>
      </c>
      <c r="C360" s="164">
        <f>C99</f>
        <v>40</v>
      </c>
      <c r="D360" s="164">
        <f t="shared" ref="D360:F360" si="447">D99</f>
        <v>-0.4</v>
      </c>
      <c r="E360" s="164" t="str">
        <f t="shared" si="447"/>
        <v>-</v>
      </c>
      <c r="F360" s="164">
        <f t="shared" si="447"/>
        <v>0</v>
      </c>
      <c r="G360" s="16"/>
      <c r="H360" s="1281"/>
      <c r="I360" s="551">
        <v>9</v>
      </c>
      <c r="J360" s="164">
        <f>I99</f>
        <v>90</v>
      </c>
      <c r="K360" s="164">
        <f t="shared" ref="K360:M360" si="448">J99</f>
        <v>-0.2</v>
      </c>
      <c r="L360" s="164" t="str">
        <f t="shared" si="448"/>
        <v>-</v>
      </c>
      <c r="M360" s="164">
        <f t="shared" si="448"/>
        <v>0</v>
      </c>
      <c r="N360" s="16"/>
      <c r="O360" s="1281"/>
      <c r="P360" s="551">
        <v>9</v>
      </c>
      <c r="Q360" s="164">
        <f>O99</f>
        <v>1020</v>
      </c>
      <c r="R360" s="164">
        <f t="shared" ref="R360:T360" si="449">P99</f>
        <v>0</v>
      </c>
      <c r="S360" s="164" t="str">
        <f t="shared" si="449"/>
        <v>-</v>
      </c>
      <c r="T360" s="588">
        <f t="shared" si="449"/>
        <v>0</v>
      </c>
    </row>
    <row r="361" spans="1:20" x14ac:dyDescent="0.2">
      <c r="A361" s="1278"/>
      <c r="B361" s="551">
        <v>10</v>
      </c>
      <c r="C361" s="164">
        <f>C110</f>
        <v>40</v>
      </c>
      <c r="D361" s="164">
        <f t="shared" ref="D361:F361" si="450">D110</f>
        <v>0.2</v>
      </c>
      <c r="E361" s="164">
        <f t="shared" si="450"/>
        <v>0</v>
      </c>
      <c r="F361" s="164">
        <f t="shared" si="450"/>
        <v>0.1</v>
      </c>
      <c r="G361" s="16"/>
      <c r="H361" s="1281"/>
      <c r="I361" s="551">
        <v>10</v>
      </c>
      <c r="J361" s="164">
        <f>I110</f>
        <v>90</v>
      </c>
      <c r="K361" s="164">
        <f t="shared" ref="K361:M361" si="451">J110</f>
        <v>5.4</v>
      </c>
      <c r="L361" s="164">
        <f t="shared" si="451"/>
        <v>0</v>
      </c>
      <c r="M361" s="164">
        <f t="shared" si="451"/>
        <v>2.7</v>
      </c>
      <c r="N361" s="16"/>
      <c r="O361" s="1281"/>
      <c r="P361" s="551">
        <v>10</v>
      </c>
      <c r="Q361" s="164">
        <f>O110</f>
        <v>1020</v>
      </c>
      <c r="R361" s="164" t="str">
        <f t="shared" ref="R361:T361" si="452">P110</f>
        <v>-</v>
      </c>
      <c r="S361" s="164" t="str">
        <f t="shared" si="452"/>
        <v>-</v>
      </c>
      <c r="T361" s="588">
        <f t="shared" si="452"/>
        <v>0</v>
      </c>
    </row>
    <row r="362" spans="1:20" x14ac:dyDescent="0.2">
      <c r="A362" s="1278"/>
      <c r="B362" s="551">
        <v>11</v>
      </c>
      <c r="C362" s="164">
        <f>C121</f>
        <v>40</v>
      </c>
      <c r="D362" s="164">
        <f t="shared" ref="D362:F362" si="453">D121</f>
        <v>0</v>
      </c>
      <c r="E362" s="164" t="str">
        <f t="shared" si="453"/>
        <v>-</v>
      </c>
      <c r="F362" s="164">
        <f t="shared" si="453"/>
        <v>0</v>
      </c>
      <c r="G362" s="16"/>
      <c r="H362" s="1281"/>
      <c r="I362" s="551">
        <v>11</v>
      </c>
      <c r="J362" s="164">
        <f>I121</f>
        <v>90</v>
      </c>
      <c r="K362" s="164">
        <f t="shared" ref="K362:M362" si="454">J121</f>
        <v>0</v>
      </c>
      <c r="L362" s="164" t="str">
        <f t="shared" si="454"/>
        <v>-</v>
      </c>
      <c r="M362" s="164">
        <f t="shared" si="454"/>
        <v>0</v>
      </c>
      <c r="N362" s="16"/>
      <c r="O362" s="1281"/>
      <c r="P362" s="551">
        <v>11</v>
      </c>
      <c r="Q362" s="164">
        <f>O121</f>
        <v>1020</v>
      </c>
      <c r="R362" s="164" t="str">
        <f t="shared" ref="R362:T362" si="455">P121</f>
        <v>-</v>
      </c>
      <c r="S362" s="164" t="str">
        <f t="shared" si="455"/>
        <v>-</v>
      </c>
      <c r="T362" s="588">
        <f t="shared" si="455"/>
        <v>0</v>
      </c>
    </row>
    <row r="363" spans="1:20" x14ac:dyDescent="0.2">
      <c r="A363" s="1278"/>
      <c r="B363" s="551">
        <v>12</v>
      </c>
      <c r="C363" s="164">
        <f>C132</f>
        <v>40</v>
      </c>
      <c r="D363" s="164">
        <f t="shared" ref="D363:F363" si="456">D132</f>
        <v>-0.4</v>
      </c>
      <c r="E363" s="164" t="str">
        <f t="shared" si="456"/>
        <v>-</v>
      </c>
      <c r="F363" s="164">
        <f t="shared" si="456"/>
        <v>0</v>
      </c>
      <c r="G363" s="16"/>
      <c r="H363" s="1281"/>
      <c r="I363" s="551">
        <v>12</v>
      </c>
      <c r="J363" s="164">
        <f>I132</f>
        <v>90</v>
      </c>
      <c r="K363" s="164">
        <f t="shared" ref="K363:M363" si="457">J132</f>
        <v>-0.9</v>
      </c>
      <c r="L363" s="164" t="str">
        <f t="shared" si="457"/>
        <v>-</v>
      </c>
      <c r="M363" s="164">
        <f t="shared" si="457"/>
        <v>0</v>
      </c>
      <c r="N363" s="16"/>
      <c r="O363" s="1281"/>
      <c r="P363" s="551">
        <v>12</v>
      </c>
      <c r="Q363" s="164">
        <f>O132</f>
        <v>1020</v>
      </c>
      <c r="R363" s="164">
        <f t="shared" ref="R363:T363" si="458">P132</f>
        <v>0</v>
      </c>
      <c r="S363" s="164" t="str">
        <f t="shared" si="458"/>
        <v>-</v>
      </c>
      <c r="T363" s="588">
        <f t="shared" si="458"/>
        <v>0</v>
      </c>
    </row>
    <row r="364" spans="1:20" x14ac:dyDescent="0.2">
      <c r="A364" s="1278"/>
      <c r="B364" s="551">
        <v>13</v>
      </c>
      <c r="C364" s="164">
        <f>C143</f>
        <v>40</v>
      </c>
      <c r="D364" s="164">
        <f t="shared" ref="D364:F364" si="459">D143</f>
        <v>0.5</v>
      </c>
      <c r="E364" s="164" t="str">
        <f t="shared" si="459"/>
        <v>-</v>
      </c>
      <c r="F364" s="164">
        <f t="shared" si="459"/>
        <v>0</v>
      </c>
      <c r="G364" s="16"/>
      <c r="H364" s="1281"/>
      <c r="I364" s="551">
        <v>13</v>
      </c>
      <c r="J364" s="164">
        <f>I143</f>
        <v>90</v>
      </c>
      <c r="K364" s="164">
        <f t="shared" ref="K364:M364" si="460">J143</f>
        <v>-3.2</v>
      </c>
      <c r="L364" s="164" t="str">
        <f t="shared" si="460"/>
        <v>-</v>
      </c>
      <c r="M364" s="164">
        <f t="shared" si="460"/>
        <v>0</v>
      </c>
      <c r="N364" s="16"/>
      <c r="O364" s="1281"/>
      <c r="P364" s="551">
        <v>13</v>
      </c>
      <c r="Q364" s="164">
        <f>O143</f>
        <v>1020</v>
      </c>
      <c r="R364" s="164">
        <f t="shared" ref="R364:T364" si="461">P143</f>
        <v>0</v>
      </c>
      <c r="S364" s="164" t="str">
        <f t="shared" si="461"/>
        <v>-</v>
      </c>
      <c r="T364" s="588">
        <f t="shared" si="461"/>
        <v>0</v>
      </c>
    </row>
    <row r="365" spans="1:20" x14ac:dyDescent="0.2">
      <c r="A365" s="1278"/>
      <c r="B365" s="551">
        <v>14</v>
      </c>
      <c r="C365" s="164">
        <f>C154</f>
        <v>40</v>
      </c>
      <c r="D365" s="164">
        <f t="shared" ref="D365:F365" si="462">D154</f>
        <v>-1.1000000000000001</v>
      </c>
      <c r="E365" s="164" t="str">
        <f t="shared" si="462"/>
        <v>-</v>
      </c>
      <c r="F365" s="164">
        <f t="shared" si="462"/>
        <v>0</v>
      </c>
      <c r="G365" s="16"/>
      <c r="H365" s="1281"/>
      <c r="I365" s="551">
        <v>14</v>
      </c>
      <c r="J365" s="164">
        <f>I154</f>
        <v>90</v>
      </c>
      <c r="K365" s="164">
        <f t="shared" ref="K365:M365" si="463">J154</f>
        <v>-0.8</v>
      </c>
      <c r="L365" s="164" t="str">
        <f t="shared" si="463"/>
        <v>-</v>
      </c>
      <c r="M365" s="164">
        <f t="shared" si="463"/>
        <v>0</v>
      </c>
      <c r="N365" s="16"/>
      <c r="O365" s="1281"/>
      <c r="P365" s="551">
        <v>14</v>
      </c>
      <c r="Q365" s="164">
        <f>O154</f>
        <v>1020</v>
      </c>
      <c r="R365" s="164">
        <f t="shared" ref="R365:T365" si="464">P154</f>
        <v>0</v>
      </c>
      <c r="S365" s="164" t="str">
        <f t="shared" si="464"/>
        <v>-</v>
      </c>
      <c r="T365" s="588">
        <f t="shared" si="464"/>
        <v>0</v>
      </c>
    </row>
    <row r="366" spans="1:20" x14ac:dyDescent="0.2">
      <c r="A366" s="1278"/>
      <c r="B366" s="551">
        <v>15</v>
      </c>
      <c r="C366" s="164">
        <f>C165</f>
        <v>40</v>
      </c>
      <c r="D366" s="164">
        <f t="shared" ref="D366:F366" si="465">D165</f>
        <v>0</v>
      </c>
      <c r="E366" s="164" t="str">
        <f t="shared" si="465"/>
        <v>-</v>
      </c>
      <c r="F366" s="164">
        <f t="shared" si="465"/>
        <v>0</v>
      </c>
      <c r="G366" s="16"/>
      <c r="H366" s="1281"/>
      <c r="I366" s="551">
        <v>15</v>
      </c>
      <c r="J366" s="164">
        <f>I165</f>
        <v>90</v>
      </c>
      <c r="K366" s="164">
        <f t="shared" ref="K366:M366" si="466">J165</f>
        <v>-2</v>
      </c>
      <c r="L366" s="164" t="str">
        <f t="shared" si="466"/>
        <v>-</v>
      </c>
      <c r="M366" s="164">
        <f t="shared" si="466"/>
        <v>0</v>
      </c>
      <c r="N366" s="16"/>
      <c r="O366" s="1281"/>
      <c r="P366" s="551">
        <v>15</v>
      </c>
      <c r="Q366" s="164">
        <f>O165</f>
        <v>1020</v>
      </c>
      <c r="R366" s="164">
        <f t="shared" ref="R366:T366" si="467">P165</f>
        <v>0</v>
      </c>
      <c r="S366" s="164" t="str">
        <f t="shared" si="467"/>
        <v>-</v>
      </c>
      <c r="T366" s="588">
        <f t="shared" si="467"/>
        <v>0</v>
      </c>
    </row>
    <row r="367" spans="1:20" x14ac:dyDescent="0.2">
      <c r="A367" s="1278"/>
      <c r="B367" s="551">
        <v>16</v>
      </c>
      <c r="C367" s="164">
        <f>C176</f>
        <v>40</v>
      </c>
      <c r="D367" s="164">
        <f t="shared" ref="D367:F367" si="468">D176</f>
        <v>0</v>
      </c>
      <c r="E367" s="164" t="str">
        <f t="shared" si="468"/>
        <v>-</v>
      </c>
      <c r="F367" s="164">
        <f t="shared" si="468"/>
        <v>0</v>
      </c>
      <c r="G367" s="16"/>
      <c r="H367" s="1281"/>
      <c r="I367" s="551">
        <v>16</v>
      </c>
      <c r="J367" s="164">
        <f>I176</f>
        <v>90</v>
      </c>
      <c r="K367" s="164">
        <f t="shared" ref="K367:M367" si="469">J176</f>
        <v>-3</v>
      </c>
      <c r="L367" s="164" t="str">
        <f t="shared" si="469"/>
        <v>-</v>
      </c>
      <c r="M367" s="164">
        <f t="shared" si="469"/>
        <v>0</v>
      </c>
      <c r="N367" s="16"/>
      <c r="O367" s="1281"/>
      <c r="P367" s="551">
        <v>16</v>
      </c>
      <c r="Q367" s="164">
        <f>O176</f>
        <v>1020</v>
      </c>
      <c r="R367" s="164">
        <f t="shared" ref="R367:T367" si="470">P176</f>
        <v>0</v>
      </c>
      <c r="S367" s="164" t="str">
        <f t="shared" si="470"/>
        <v>-</v>
      </c>
      <c r="T367" s="588">
        <f t="shared" si="470"/>
        <v>0</v>
      </c>
    </row>
    <row r="368" spans="1:20" x14ac:dyDescent="0.2">
      <c r="A368" s="1278"/>
      <c r="B368" s="551">
        <v>17</v>
      </c>
      <c r="C368" s="164">
        <f>C187</f>
        <v>40</v>
      </c>
      <c r="D368" s="164">
        <f t="shared" ref="D368:F368" si="471">D187</f>
        <v>-0.8</v>
      </c>
      <c r="E368" s="164" t="str">
        <f t="shared" si="471"/>
        <v>-</v>
      </c>
      <c r="F368" s="164">
        <f t="shared" si="471"/>
        <v>0</v>
      </c>
      <c r="G368" s="16"/>
      <c r="H368" s="1281"/>
      <c r="I368" s="551">
        <v>17</v>
      </c>
      <c r="J368" s="164">
        <f>I187</f>
        <v>90</v>
      </c>
      <c r="K368" s="164">
        <f t="shared" ref="K368:M368" si="472">J187</f>
        <v>-1.4</v>
      </c>
      <c r="L368" s="164" t="str">
        <f t="shared" si="472"/>
        <v>-</v>
      </c>
      <c r="M368" s="164">
        <f t="shared" si="472"/>
        <v>0</v>
      </c>
      <c r="N368" s="16"/>
      <c r="O368" s="1281"/>
      <c r="P368" s="551">
        <v>17</v>
      </c>
      <c r="Q368" s="164">
        <f>O187</f>
        <v>1020</v>
      </c>
      <c r="R368" s="164">
        <f t="shared" ref="R368:T368" si="473">P187</f>
        <v>0</v>
      </c>
      <c r="S368" s="164" t="str">
        <f t="shared" si="473"/>
        <v>-</v>
      </c>
      <c r="T368" s="588">
        <f t="shared" si="473"/>
        <v>0</v>
      </c>
    </row>
    <row r="369" spans="1:20" x14ac:dyDescent="0.2">
      <c r="A369" s="1278"/>
      <c r="B369" s="551">
        <v>18</v>
      </c>
      <c r="C369" s="164">
        <f>C198</f>
        <v>40</v>
      </c>
      <c r="D369" s="164">
        <f t="shared" ref="D369:F369" si="474">D198</f>
        <v>-0.4</v>
      </c>
      <c r="E369" s="164" t="str">
        <f t="shared" si="474"/>
        <v>-</v>
      </c>
      <c r="F369" s="164">
        <f t="shared" si="474"/>
        <v>0</v>
      </c>
      <c r="G369" s="16"/>
      <c r="H369" s="1281"/>
      <c r="I369" s="551">
        <v>18</v>
      </c>
      <c r="J369" s="164">
        <f>I198</f>
        <v>90</v>
      </c>
      <c r="K369" s="164">
        <f t="shared" ref="K369:M369" si="475">J198</f>
        <v>-0.8</v>
      </c>
      <c r="L369" s="164" t="str">
        <f t="shared" si="475"/>
        <v>-</v>
      </c>
      <c r="M369" s="164">
        <f t="shared" si="475"/>
        <v>0</v>
      </c>
      <c r="N369" s="16"/>
      <c r="O369" s="1281"/>
      <c r="P369" s="551">
        <v>18</v>
      </c>
      <c r="Q369" s="164">
        <f>O198</f>
        <v>1020</v>
      </c>
      <c r="R369" s="164">
        <f t="shared" ref="R369:T369" si="476">P198</f>
        <v>0</v>
      </c>
      <c r="S369" s="164" t="str">
        <f t="shared" si="476"/>
        <v>-</v>
      </c>
      <c r="T369" s="588">
        <f t="shared" si="476"/>
        <v>0</v>
      </c>
    </row>
    <row r="370" spans="1:20" x14ac:dyDescent="0.2">
      <c r="A370" s="1278"/>
      <c r="B370" s="551">
        <v>19</v>
      </c>
      <c r="C370" s="164">
        <f>C209</f>
        <v>40</v>
      </c>
      <c r="D370" s="164">
        <f t="shared" ref="D370:F370" si="477">D209</f>
        <v>0</v>
      </c>
      <c r="E370" s="164" t="str">
        <f t="shared" si="477"/>
        <v>-</v>
      </c>
      <c r="F370" s="164">
        <f t="shared" si="477"/>
        <v>0</v>
      </c>
      <c r="G370" s="16"/>
      <c r="H370" s="1281"/>
      <c r="I370" s="551">
        <v>19</v>
      </c>
      <c r="J370" s="164">
        <f>I209</f>
        <v>90</v>
      </c>
      <c r="K370" s="164">
        <f t="shared" ref="K370:M370" si="478">J209</f>
        <v>0</v>
      </c>
      <c r="L370" s="164" t="str">
        <f t="shared" si="478"/>
        <v>-</v>
      </c>
      <c r="M370" s="164">
        <f t="shared" si="478"/>
        <v>0</v>
      </c>
      <c r="N370" s="16"/>
      <c r="O370" s="1281"/>
      <c r="P370" s="551">
        <v>19</v>
      </c>
      <c r="Q370" s="164">
        <f>O209</f>
        <v>1020</v>
      </c>
      <c r="R370" s="164" t="str">
        <f t="shared" ref="R370:T370" si="479">P209</f>
        <v>-</v>
      </c>
      <c r="S370" s="164" t="str">
        <f t="shared" si="479"/>
        <v>-</v>
      </c>
      <c r="T370" s="588">
        <f t="shared" si="479"/>
        <v>0</v>
      </c>
    </row>
    <row r="371" spans="1:20" ht="13.5" thickBot="1" x14ac:dyDescent="0.25">
      <c r="A371" s="1279"/>
      <c r="B371" s="596">
        <v>20</v>
      </c>
      <c r="C371" s="606">
        <f>C220</f>
        <v>40</v>
      </c>
      <c r="D371" s="606">
        <f t="shared" ref="D371:F371" si="480">D220</f>
        <v>0</v>
      </c>
      <c r="E371" s="606" t="str">
        <f t="shared" si="480"/>
        <v>-</v>
      </c>
      <c r="F371" s="606">
        <f t="shared" si="480"/>
        <v>0</v>
      </c>
      <c r="G371" s="598"/>
      <c r="H371" s="1282"/>
      <c r="I371" s="596">
        <v>20</v>
      </c>
      <c r="J371" s="606">
        <f>I220</f>
        <v>90</v>
      </c>
      <c r="K371" s="606">
        <f t="shared" ref="K371:M371" si="481">J220</f>
        <v>0</v>
      </c>
      <c r="L371" s="606" t="str">
        <f t="shared" si="481"/>
        <v>-</v>
      </c>
      <c r="M371" s="606">
        <f t="shared" si="481"/>
        <v>0</v>
      </c>
      <c r="N371" s="598"/>
      <c r="O371" s="1282"/>
      <c r="P371" s="596">
        <v>20</v>
      </c>
      <c r="Q371" s="606">
        <f>O220</f>
        <v>1020</v>
      </c>
      <c r="R371" s="606" t="str">
        <f t="shared" ref="R371:T371" si="482">P220</f>
        <v>-</v>
      </c>
      <c r="S371" s="606" t="str">
        <f t="shared" si="482"/>
        <v>-</v>
      </c>
      <c r="T371" s="607">
        <f t="shared" si="482"/>
        <v>0</v>
      </c>
    </row>
    <row r="372" spans="1:20" ht="13.5" thickBot="1" x14ac:dyDescent="0.25">
      <c r="A372" s="175"/>
      <c r="B372" s="176"/>
      <c r="C372" s="27"/>
      <c r="D372" s="27"/>
      <c r="E372" s="27"/>
      <c r="F372" s="27"/>
      <c r="G372" s="27"/>
      <c r="H372" s="16"/>
      <c r="I372" s="177"/>
      <c r="J372" s="176"/>
      <c r="K372" s="27"/>
      <c r="L372" s="27"/>
      <c r="M372" s="27"/>
      <c r="N372" s="27"/>
      <c r="O372" s="27"/>
      <c r="P372" s="16"/>
    </row>
    <row r="373" spans="1:20" ht="29.25" customHeight="1" x14ac:dyDescent="0.2">
      <c r="A373" s="178">
        <f>A413</f>
        <v>8</v>
      </c>
      <c r="B373" s="1291" t="str">
        <f>A392</f>
        <v>Thermohygrolight, Merek : Greisinger, Model : GFTB 200, SN : 34903051</v>
      </c>
      <c r="C373" s="1291"/>
      <c r="D373" s="1292"/>
      <c r="E373" s="179"/>
      <c r="F373" s="178">
        <f>A373</f>
        <v>8</v>
      </c>
      <c r="G373" s="1291" t="str">
        <f>B373</f>
        <v>Thermohygrolight, Merek : Greisinger, Model : GFTB 200, SN : 34903051</v>
      </c>
      <c r="H373" s="1291"/>
      <c r="I373" s="1292"/>
      <c r="J373" s="179"/>
      <c r="K373" s="178">
        <f>F373</f>
        <v>8</v>
      </c>
      <c r="L373" s="1291" t="str">
        <f>G373</f>
        <v>Thermohygrolight, Merek : Greisinger, Model : GFTB 200, SN : 34903051</v>
      </c>
      <c r="M373" s="1291"/>
      <c r="N373" s="1292"/>
      <c r="O373" s="12"/>
      <c r="P373" s="178">
        <f>A373</f>
        <v>8</v>
      </c>
      <c r="Q373" s="1291" t="str">
        <f>G373</f>
        <v>Thermohygrolight, Merek : Greisinger, Model : GFTB 200, SN : 34903051</v>
      </c>
      <c r="R373" s="1291"/>
      <c r="S373" s="1291"/>
      <c r="T373" s="1292"/>
    </row>
    <row r="374" spans="1:20" ht="13.5" x14ac:dyDescent="0.2">
      <c r="A374" s="180" t="s">
        <v>196</v>
      </c>
      <c r="B374" s="1293" t="s">
        <v>197</v>
      </c>
      <c r="C374" s="1293"/>
      <c r="D374" s="1294" t="s">
        <v>198</v>
      </c>
      <c r="E374" s="27"/>
      <c r="F374" s="180" t="s">
        <v>199</v>
      </c>
      <c r="G374" s="1293" t="s">
        <v>197</v>
      </c>
      <c r="H374" s="1293"/>
      <c r="I374" s="1294" t="s">
        <v>198</v>
      </c>
      <c r="J374" s="27"/>
      <c r="K374" s="180" t="s">
        <v>200</v>
      </c>
      <c r="L374" s="1293" t="s">
        <v>197</v>
      </c>
      <c r="M374" s="1293"/>
      <c r="N374" s="1294" t="s">
        <v>198</v>
      </c>
      <c r="P374" s="1295"/>
      <c r="Q374" s="1199" t="s">
        <v>224</v>
      </c>
      <c r="R374" s="1199" t="s">
        <v>225</v>
      </c>
      <c r="S374" s="1199" t="s">
        <v>226</v>
      </c>
      <c r="T374" s="1296" t="s">
        <v>195</v>
      </c>
    </row>
    <row r="375" spans="1:20" ht="15" x14ac:dyDescent="0.2">
      <c r="A375" s="87" t="s">
        <v>223</v>
      </c>
      <c r="B375" s="219">
        <f>VLOOKUP(B373,A393:K412,9,FALSE)</f>
        <v>2019</v>
      </c>
      <c r="C375" s="219">
        <f>VLOOKUP(B373,A393:K412,10,FALSE)</f>
        <v>2017</v>
      </c>
      <c r="D375" s="1294"/>
      <c r="E375" s="27"/>
      <c r="F375" s="181" t="s">
        <v>202</v>
      </c>
      <c r="G375" s="219">
        <f>B375</f>
        <v>2019</v>
      </c>
      <c r="H375" s="219">
        <f>C375</f>
        <v>2017</v>
      </c>
      <c r="I375" s="1294"/>
      <c r="J375" s="27"/>
      <c r="K375" s="181" t="s">
        <v>203</v>
      </c>
      <c r="L375" s="219">
        <f>G375</f>
        <v>2019</v>
      </c>
      <c r="M375" s="219">
        <f>H375</f>
        <v>2017</v>
      </c>
      <c r="N375" s="1294"/>
      <c r="P375" s="1295"/>
      <c r="Q375" s="1199"/>
      <c r="R375" s="1199"/>
      <c r="S375" s="1199"/>
      <c r="T375" s="1296"/>
    </row>
    <row r="376" spans="1:20" x14ac:dyDescent="0.2">
      <c r="A376" s="182">
        <f>VLOOKUP($A$373,$B$226:$F$245,2,FALSE)</f>
        <v>15</v>
      </c>
      <c r="B376" s="183">
        <f>VLOOKUP($A$373,$B$226:$F$245,3,FALSE)</f>
        <v>0</v>
      </c>
      <c r="C376" s="183">
        <f>VLOOKUP($A$373,$B$226:$F$245,4,FALSE)</f>
        <v>-0.2</v>
      </c>
      <c r="D376" s="184">
        <f>VLOOKUP($A$373,$B$226:$F$245,5,FALSE)</f>
        <v>0.1</v>
      </c>
      <c r="E376" s="27"/>
      <c r="F376" s="182">
        <f>VLOOKUP($F$373,$I$226:$M$245,2,FALSE)</f>
        <v>30</v>
      </c>
      <c r="G376" s="183">
        <f>VLOOKUP($F$373,$I$226:$M$245,3,FALSE)</f>
        <v>-1.4</v>
      </c>
      <c r="H376" s="183">
        <f>VLOOKUP($F$373,$I$226:$M$245,4,FALSE)</f>
        <v>1</v>
      </c>
      <c r="I376" s="184">
        <f>VLOOKUP($F$373,$I$226:$M$245,5,FALSE)</f>
        <v>1.2</v>
      </c>
      <c r="J376" s="27"/>
      <c r="K376" s="182">
        <f>VLOOKUP($K$373,$P$226:$T$245,2,FALSE)</f>
        <v>750</v>
      </c>
      <c r="L376" s="183">
        <f>VLOOKUP($K$373,$P$226:$T$245,3,FALSE)</f>
        <v>0</v>
      </c>
      <c r="M376" s="183" t="str">
        <f>VLOOKUP($K$373,$P$226:$T$245,4,FALSE)</f>
        <v>-</v>
      </c>
      <c r="N376" s="184">
        <f>VLOOKUP($K$373,$P$226:$T$245,5,FALSE)</f>
        <v>0</v>
      </c>
      <c r="P376" s="1295"/>
      <c r="Q376" s="1199"/>
      <c r="R376" s="1199"/>
      <c r="S376" s="1199"/>
      <c r="T376" s="1296"/>
    </row>
    <row r="377" spans="1:20" x14ac:dyDescent="0.2">
      <c r="A377" s="182">
        <f>VLOOKUP($A$373,$B$247:$F$266,2,FALSE)</f>
        <v>20</v>
      </c>
      <c r="B377" s="183">
        <f>VLOOKUP($A$373,$B$247:$F$266,3,FALSE)</f>
        <v>-0.2</v>
      </c>
      <c r="C377" s="183">
        <f>VLOOKUP($A$373,$B$247:$F$266,4,FALSE)</f>
        <v>-0.2</v>
      </c>
      <c r="D377" s="184">
        <f>VLOOKUP($A$373,$B$247:$F$266,5,FALSE)</f>
        <v>0</v>
      </c>
      <c r="E377" s="27"/>
      <c r="F377" s="182">
        <f>VLOOKUP($F$373,$I$247:$M$266,2,FALSE)</f>
        <v>40</v>
      </c>
      <c r="G377" s="183">
        <f>VLOOKUP($F$373,$I$247:$M$266,3,FALSE)</f>
        <v>-1.2</v>
      </c>
      <c r="H377" s="183">
        <f>VLOOKUP($F$373,$I$247:$M$266,4,FALSE)</f>
        <v>1.1000000000000001</v>
      </c>
      <c r="I377" s="184">
        <f>VLOOKUP($F$373,$I$247:$M$266,5,FALSE)</f>
        <v>1.1499999999999999</v>
      </c>
      <c r="J377" s="27"/>
      <c r="K377" s="182">
        <f>VLOOKUP($K$373,$P$247:$T$266,2,FALSE)</f>
        <v>800</v>
      </c>
      <c r="L377" s="183">
        <f>VLOOKUP($K$373,$P$247:$T$266,3,FALSE)</f>
        <v>0</v>
      </c>
      <c r="M377" s="183" t="str">
        <f>VLOOKUP($K$373,$P$247:$T$266,4,FALSE)</f>
        <v>-</v>
      </c>
      <c r="N377" s="184">
        <f>VLOOKUP($K$373,$P$247:$T$266,5,FALSE)</f>
        <v>0</v>
      </c>
      <c r="P377" s="331" t="s">
        <v>196</v>
      </c>
      <c r="Q377" s="332">
        <f>AVERAGE(ID!E16:F16)</f>
        <v>20</v>
      </c>
      <c r="R377" s="333">
        <f>Q377+C386</f>
        <v>19.8</v>
      </c>
      <c r="S377" s="332">
        <f>STDEV(ID!E16:F16)</f>
        <v>0</v>
      </c>
      <c r="T377" s="334">
        <f>VLOOKUP(P373,V225:W244,2,(FALSE))</f>
        <v>0.3</v>
      </c>
    </row>
    <row r="378" spans="1:20" x14ac:dyDescent="0.2">
      <c r="A378" s="182">
        <f>VLOOKUP($A$373,$B$268:$F$287,2,FALSE)</f>
        <v>25</v>
      </c>
      <c r="B378" s="183">
        <f>VLOOKUP($A$373,$B$268:$F$287,3,FALSE)</f>
        <v>-0.4</v>
      </c>
      <c r="C378" s="183">
        <f>VLOOKUP($A$373,$B$268:$F$287,4,FALSE)</f>
        <v>-0.2</v>
      </c>
      <c r="D378" s="184">
        <f>VLOOKUP($A$373,$B$268:$F$287,5,FALSE)</f>
        <v>0.1</v>
      </c>
      <c r="E378" s="27"/>
      <c r="F378" s="182">
        <f>VLOOKUP($F$373,$I$268:$M$287,2,FALSE)</f>
        <v>50</v>
      </c>
      <c r="G378" s="183">
        <f>VLOOKUP($F$373,$I$268:$M$287,3,FALSE)</f>
        <v>-1.2</v>
      </c>
      <c r="H378" s="183">
        <f>VLOOKUP($F$373,$I$268:$M$287,4,FALSE)</f>
        <v>1.3</v>
      </c>
      <c r="I378" s="184">
        <f>VLOOKUP($F$373,$I$268:$M$287,5,FALSE)</f>
        <v>1.25</v>
      </c>
      <c r="J378" s="27"/>
      <c r="K378" s="182">
        <f>VLOOKUP($K$373,$P$268:$T$287,2,FALSE)</f>
        <v>850</v>
      </c>
      <c r="L378" s="183">
        <f>VLOOKUP($K$373,$P$268:$T$287,3,FALSE)</f>
        <v>0</v>
      </c>
      <c r="M378" s="183" t="str">
        <f>VLOOKUP($K$373,$P$268:$T$287,4,FALSE)</f>
        <v>-</v>
      </c>
      <c r="N378" s="184">
        <f>VLOOKUP($K$373,$P$268:$T$287,5,FALSE)</f>
        <v>0</v>
      </c>
      <c r="P378" s="331" t="s">
        <v>202</v>
      </c>
      <c r="Q378" s="332">
        <f>AVERAGE(ID!E17:F17)</f>
        <v>50</v>
      </c>
      <c r="R378" s="333">
        <f>Q378+H386</f>
        <v>48.8</v>
      </c>
      <c r="S378" s="332">
        <f>STDEV(ID!E17:F17)</f>
        <v>0</v>
      </c>
      <c r="T378" s="334">
        <f>VLOOKUP(P373,V249:W268,2,(FALSE))</f>
        <v>2.6</v>
      </c>
    </row>
    <row r="379" spans="1:20" ht="13.5" thickBot="1" x14ac:dyDescent="0.25">
      <c r="A379" s="182">
        <f>VLOOKUP($A$373,$B$289:$F$308,2,FALSE)</f>
        <v>30</v>
      </c>
      <c r="B379" s="183">
        <f>VLOOKUP($A$373,$B$289:$F$308,3,FALSE)</f>
        <v>-0.4</v>
      </c>
      <c r="C379" s="183">
        <f>VLOOKUP($A$373,$B$289:$F$308,4,FALSE)</f>
        <v>-0.2</v>
      </c>
      <c r="D379" s="184">
        <f>VLOOKUP($A$373,$B$289:$F$308,5,FALSE)</f>
        <v>0.1</v>
      </c>
      <c r="E379" s="27"/>
      <c r="F379" s="182">
        <f>VLOOKUP($F$373,$I$289:$M$308,2,FALSE)</f>
        <v>60</v>
      </c>
      <c r="G379" s="183">
        <f>VLOOKUP($F$373,$I$289:$M$308,3,FALSE)</f>
        <v>-1.1000000000000001</v>
      </c>
      <c r="H379" s="183">
        <f>VLOOKUP($F$373,$I$289:$M$308,4,FALSE)</f>
        <v>1.7</v>
      </c>
      <c r="I379" s="184">
        <f>VLOOKUP($F$373,$I$289:$M$308,5,FALSE)</f>
        <v>1.4</v>
      </c>
      <c r="J379" s="27"/>
      <c r="K379" s="182">
        <f>VLOOKUP($K$373,$P$289:$T$308,2,FALSE)</f>
        <v>900</v>
      </c>
      <c r="L379" s="183">
        <f>VLOOKUP($K$373,$P$289:$T$308,3,FALSE)</f>
        <v>0</v>
      </c>
      <c r="M379" s="183" t="str">
        <f>VLOOKUP($K$373,$P$289:$T$308,4,FALSE)</f>
        <v>-</v>
      </c>
      <c r="N379" s="184">
        <f>VLOOKUP($K$373,$P$289:$T$308,5,FALSE)</f>
        <v>0</v>
      </c>
      <c r="O379" s="611"/>
      <c r="P379" s="612" t="s">
        <v>203</v>
      </c>
      <c r="Q379" s="613"/>
      <c r="R379" s="614">
        <f>Q379+M386</f>
        <v>0</v>
      </c>
      <c r="S379" s="613"/>
      <c r="T379" s="335">
        <f>VLOOKUP(P373,V273:W292,2,(FALSE))</f>
        <v>2.2000000000000002</v>
      </c>
    </row>
    <row r="380" spans="1:20" ht="13.5" thickBot="1" x14ac:dyDescent="0.25">
      <c r="A380" s="182">
        <f>VLOOKUP($A$373,$B$310:$F$329,2,FALSE)</f>
        <v>35</v>
      </c>
      <c r="B380" s="183">
        <f>VLOOKUP($A$373,$B$310:$F$329,3,FALSE)</f>
        <v>-0.5</v>
      </c>
      <c r="C380" s="183">
        <f>VLOOKUP($A$373,$B$310:$F$329,4,FALSE)</f>
        <v>-0.3</v>
      </c>
      <c r="D380" s="184">
        <f>VLOOKUP($A$373,$B$310:$F$329,5,FALSE)</f>
        <v>0.1</v>
      </c>
      <c r="E380" s="27"/>
      <c r="F380" s="182">
        <f>VLOOKUP($F$373,$I$310:$M$329,2,FALSE)</f>
        <v>70</v>
      </c>
      <c r="G380" s="183">
        <f>VLOOKUP($F$373,$I$310:$M$329,3,FALSE)</f>
        <v>-1.2</v>
      </c>
      <c r="H380" s="183">
        <f>VLOOKUP($F$373,$I$310:$M$329,4,FALSE)</f>
        <v>2.1</v>
      </c>
      <c r="I380" s="184">
        <f>VLOOKUP($F$373,$I$310:$M$329,5,FALSE)</f>
        <v>1.65</v>
      </c>
      <c r="J380" s="27"/>
      <c r="K380" s="182">
        <f>VLOOKUP($K$373,$P$310:$T$329,2,FALSE)</f>
        <v>1000</v>
      </c>
      <c r="L380" s="183">
        <f>VLOOKUP($K$373,$P$310:$T$329,3,FALSE)</f>
        <v>0.2</v>
      </c>
      <c r="M380" s="183" t="str">
        <f>VLOOKUP($K$373,$P$310:$T$329,4,FALSE)</f>
        <v>-</v>
      </c>
      <c r="N380" s="184">
        <f>VLOOKUP($K$373,$P$310:$T$329,5,FALSE)</f>
        <v>0</v>
      </c>
      <c r="O380" s="390"/>
      <c r="P380" s="12"/>
      <c r="T380" s="615"/>
    </row>
    <row r="381" spans="1:20" ht="14.25" x14ac:dyDescent="0.2">
      <c r="A381" s="182">
        <f>VLOOKUP($A$373,$B$331:$F$350,2,FALSE)</f>
        <v>37</v>
      </c>
      <c r="B381" s="183">
        <f>VLOOKUP($A$373,$B$331:$F$350,3,FALSE)</f>
        <v>-0.5</v>
      </c>
      <c r="C381" s="183">
        <f>VLOOKUP($A$373,$B$331:$F$350,4,FALSE)</f>
        <v>-0.3</v>
      </c>
      <c r="D381" s="184">
        <f>VLOOKUP($A$373,$B$331:$F$350,5,FALSE)</f>
        <v>0.1</v>
      </c>
      <c r="E381" s="27"/>
      <c r="F381" s="182">
        <f>VLOOKUP($F$373,$I$331:$M$350,2,FALSE)</f>
        <v>80</v>
      </c>
      <c r="G381" s="183">
        <f>VLOOKUP($F$373,$I$331:$M$350,3,FALSE)</f>
        <v>-1.2</v>
      </c>
      <c r="H381" s="183">
        <f>VLOOKUP($F$373,$I$331:$M$350,4,FALSE)</f>
        <v>2.6</v>
      </c>
      <c r="I381" s="184">
        <f>VLOOKUP($F$373,$I$331:$M$350,5,FALSE)</f>
        <v>1.9</v>
      </c>
      <c r="J381" s="27"/>
      <c r="K381" s="182">
        <f>VLOOKUP($K$373,$P$331:$T$350,2,FALSE)</f>
        <v>1005</v>
      </c>
      <c r="L381" s="183">
        <f>VLOOKUP($K$373,$P$331:$T$350,3,FALSE)</f>
        <v>0.2</v>
      </c>
      <c r="M381" s="183" t="str">
        <f>VLOOKUP($K$373,$P$331:$T$350,4,FALSE)</f>
        <v>-</v>
      </c>
      <c r="N381" s="184">
        <f>VLOOKUP($K$373,$P$331:$T$350,5,FALSE)</f>
        <v>0</v>
      </c>
      <c r="O381" s="20"/>
      <c r="P381" s="1297" t="s">
        <v>227</v>
      </c>
      <c r="Q381" s="616" t="str">
        <f>M396&amp;M393&amp;N396&amp;N393&amp;O396&amp;O393</f>
        <v>( 19.8 ± 0.3 ) °C</v>
      </c>
      <c r="R381" s="617"/>
      <c r="T381" s="615"/>
    </row>
    <row r="382" spans="1:20" ht="15" thickBot="1" x14ac:dyDescent="0.25">
      <c r="A382" s="187">
        <f>VLOOKUP($A$373,$B$352:$F$371,2,FALSE)</f>
        <v>40</v>
      </c>
      <c r="B382" s="188">
        <f>VLOOKUP($A$373,$B$352:$F$371,3,FALSE)</f>
        <v>-0.4</v>
      </c>
      <c r="C382" s="188">
        <f>VLOOKUP($A$373,$B$352:$F$371,4,FALSE)</f>
        <v>-0.4</v>
      </c>
      <c r="D382" s="189">
        <f>VLOOKUP($A$373,$B$352:$F$371,5,FALSE)</f>
        <v>0</v>
      </c>
      <c r="E382" s="27"/>
      <c r="F382" s="187">
        <f>VLOOKUP($F$373,$I$352:$M$371,2,FALSE)</f>
        <v>90</v>
      </c>
      <c r="G382" s="188">
        <f>VLOOKUP($F$373,$I$352:$M$371,3,FALSE)</f>
        <v>-1.3</v>
      </c>
      <c r="H382" s="188">
        <f>VLOOKUP($F$373,$I$352:$M$371,4,FALSE)</f>
        <v>2.6</v>
      </c>
      <c r="I382" s="189">
        <f>VLOOKUP($F$373,$I$352:$M$371,5,FALSE)</f>
        <v>1.9500000000000002</v>
      </c>
      <c r="J382" s="27"/>
      <c r="K382" s="187">
        <f>VLOOKUP($K$373,$P$352:$T$371,2,FALSE)</f>
        <v>1020</v>
      </c>
      <c r="L382" s="188">
        <f>VLOOKUP($K$373,$P$352:$T$371,3,FALSE)</f>
        <v>0</v>
      </c>
      <c r="M382" s="188" t="str">
        <f>VLOOKUP($K$373,$P$352:$T$371,4,FALSE)</f>
        <v>-</v>
      </c>
      <c r="N382" s="189">
        <f>VLOOKUP($K$373,$P$352:$T$371,5,FALSE)</f>
        <v>0</v>
      </c>
      <c r="O382" s="20"/>
      <c r="P382" s="1298"/>
      <c r="Q382" s="546" t="str">
        <f>M396&amp;M394&amp;N396&amp;N394&amp;O396&amp;O394</f>
        <v>( 48.8 ± 2.6 ) %RH</v>
      </c>
      <c r="R382" s="618"/>
      <c r="T382" s="615"/>
    </row>
    <row r="383" spans="1:20" ht="15" thickBot="1" x14ac:dyDescent="0.25">
      <c r="A383" s="38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0"/>
      <c r="P383" s="1299"/>
      <c r="Q383" s="619" t="str">
        <f>M396&amp;M395&amp;N396&amp;N395&amp;O396&amp;O395</f>
        <v>( 0.0 ± 2.2 ) hPa</v>
      </c>
      <c r="R383" s="620"/>
      <c r="T383" s="615"/>
    </row>
    <row r="384" spans="1:20" ht="15" thickBot="1" x14ac:dyDescent="0.25">
      <c r="A384" s="1300" t="s">
        <v>228</v>
      </c>
      <c r="B384" s="1301"/>
      <c r="C384" s="1301"/>
      <c r="D384" s="1302"/>
      <c r="E384" s="191"/>
      <c r="F384" s="1300" t="s">
        <v>229</v>
      </c>
      <c r="G384" s="1301"/>
      <c r="H384" s="1301"/>
      <c r="I384" s="1302"/>
      <c r="J384" s="27"/>
      <c r="K384" s="1300" t="s">
        <v>230</v>
      </c>
      <c r="L384" s="1301"/>
      <c r="M384" s="1301"/>
      <c r="N384" s="1302"/>
      <c r="O384" s="20"/>
      <c r="P384" s="337"/>
      <c r="T384" s="615"/>
    </row>
    <row r="385" spans="1:20" ht="13.5" x14ac:dyDescent="0.2">
      <c r="A385" s="340"/>
      <c r="B385" s="192">
        <f>IF(A386&lt;=A377,A376,IF(A386&lt;=A378,A377,IF(A386&lt;=A379,A378,IF(A386&lt;=A380,A379,IF(A386&lt;=A381,A380,IF(A386&lt;=A382,A381))))))</f>
        <v>15</v>
      </c>
      <c r="C385" s="192"/>
      <c r="D385" s="193">
        <f>IF(A386&lt;=A377,B376,IF(A386&lt;=A378,B377,IF(A386&lt;=A379,B378,IF(A386&lt;=A380,B379,IF(A386&lt;=A381,B380,IF(A386&lt;=A382,B381))))))</f>
        <v>0</v>
      </c>
      <c r="E385" s="194"/>
      <c r="F385" s="2"/>
      <c r="G385" s="192">
        <f>IF(F386&lt;=F377,F376,IF(F386&lt;=F378,F377,IF(F386&lt;=F379,F378,IF(F386&lt;=F380,F379,IF(F386&lt;=F381,F380,IF(F386&lt;=F382,F381))))))</f>
        <v>40</v>
      </c>
      <c r="H385" s="192"/>
      <c r="I385" s="193">
        <f>IF(F386&lt;=F377,G376,IF(F386&lt;=F378,G377,IF(F386&lt;=F379,G378,IF(F386&lt;=F380,G379,IF(F386&lt;=F381,G380,IF(F386&lt;=F382,G381))))))</f>
        <v>-1.2</v>
      </c>
      <c r="J385" s="27"/>
      <c r="K385" s="2"/>
      <c r="L385" s="192">
        <f>IF(K386&lt;=K377,K376,IF(K386&lt;=K378,K377,IF(K386&lt;=K379,K378,IF(K386&lt;=K380,K379,IF(K386&lt;=K381,K380,IF(K386&lt;=K382,K381))))))</f>
        <v>750</v>
      </c>
      <c r="M385" s="192"/>
      <c r="N385" s="193">
        <f>IF(K386&lt;=K377,L376,IF(K386&lt;=K378,L377,IF(K386&lt;=K379,L378,IF(K386&lt;=K380,L379,IF(K386&lt;=K381,L380,IF(K386&lt;=K382,L381))))))</f>
        <v>0</v>
      </c>
      <c r="O385" s="27"/>
      <c r="T385" s="615"/>
    </row>
    <row r="386" spans="1:20" ht="13.5" x14ac:dyDescent="0.2">
      <c r="A386" s="195">
        <f>Q377</f>
        <v>20</v>
      </c>
      <c r="B386" s="196"/>
      <c r="C386" s="196">
        <f>((A386-B385)/(B387-B385)*(D387-D385)+D385)</f>
        <v>-0.2</v>
      </c>
      <c r="D386" s="197"/>
      <c r="E386" s="194"/>
      <c r="F386" s="195">
        <f>Q378</f>
        <v>50</v>
      </c>
      <c r="G386" s="196"/>
      <c r="H386" s="196">
        <f>((F386-G385)/(G387-G385)*(I387-I385)+I385)</f>
        <v>-1.2</v>
      </c>
      <c r="I386" s="197"/>
      <c r="J386" s="27"/>
      <c r="K386" s="195">
        <f>Q379</f>
        <v>0</v>
      </c>
      <c r="L386" s="196"/>
      <c r="M386" s="196">
        <f>((K386-L385)/(L387-L385)*(N387-N385)+N385)</f>
        <v>0</v>
      </c>
      <c r="N386" s="197"/>
      <c r="O386" s="27"/>
      <c r="T386" s="615"/>
    </row>
    <row r="387" spans="1:20" ht="13.5" thickBot="1" x14ac:dyDescent="0.25">
      <c r="A387" s="5"/>
      <c r="B387" s="198">
        <f>IF(A386&lt;=A377,A377,IF(A386&lt;=A378,A378,IF(A386&lt;=A379,A379,IF(A386&lt;=A380,A380,IF(A386&lt;=A381,A381,IF(A386&lt;=A382,A382))))))</f>
        <v>20</v>
      </c>
      <c r="C387" s="199"/>
      <c r="D387" s="200">
        <f>IF(A386&lt;=A377,B377,IF(A386&lt;=A378,B378,IF(A386&lt;=A379,B379,IF(A386&lt;=A380,B380,IF(A386&lt;=A381,B381,IF(A386&lt;=A382,B382))))))</f>
        <v>-0.2</v>
      </c>
      <c r="E387" s="201"/>
      <c r="F387" s="5"/>
      <c r="G387" s="198">
        <f>IF(F386&lt;=F377,F377,IF(F386&lt;=F378,F378,IF(F386&lt;=F379,F379,IF(F386&lt;=F380,F380,IF(F386&lt;=F381,F381,IF(F386&lt;=F382,F382))))))</f>
        <v>50</v>
      </c>
      <c r="H387" s="199"/>
      <c r="I387" s="200">
        <f>IF(F386&lt;=F377,G377,IF(F386&lt;=F378,G378,IF(F386&lt;=F379,G379,IF(F386&lt;=F380,G380,IF(F386&lt;=F381,G381,IF(F386&lt;=F382,G382))))))</f>
        <v>-1.2</v>
      </c>
      <c r="J387" s="60"/>
      <c r="K387" s="5"/>
      <c r="L387" s="198">
        <f>IF(K386&lt;=K377,K377,IF(K386&lt;=K378,K378,IF(K386&lt;=K379,K379,IF(K386&lt;=K380,K380,IF(K386&lt;=K381,K381,IF(K386&lt;=K382,K382))))))</f>
        <v>800</v>
      </c>
      <c r="M387" s="199"/>
      <c r="N387" s="200">
        <f>IF(K386&lt;=K377,L377,IF(K386&lt;=K378,L378,IF(K386&lt;=K379,L379,IF(K386&lt;=K380,L380,IF(K386&lt;=K381,L381,IF(K386&lt;=K382,L382))))))</f>
        <v>0</v>
      </c>
      <c r="O387" s="60"/>
      <c r="P387" s="621"/>
      <c r="Q387" s="13"/>
      <c r="R387" s="13"/>
      <c r="S387" s="13"/>
      <c r="T387" s="336"/>
    </row>
    <row r="391" spans="1:20" ht="13.5" thickBot="1" x14ac:dyDescent="0.25"/>
    <row r="392" spans="1:20" s="147" customFormat="1" ht="13.5" thickBot="1" x14ac:dyDescent="0.25">
      <c r="A392" s="1303" t="str">
        <f>ID!B57</f>
        <v>Thermohygrolight, Merek : Greisinger, Model : GFTB 200, SN : 34903051</v>
      </c>
      <c r="B392" s="1304"/>
      <c r="C392" s="1304"/>
      <c r="D392" s="1304"/>
      <c r="E392" s="1304"/>
      <c r="F392" s="1304"/>
      <c r="G392" s="1304"/>
      <c r="H392" s="1304"/>
      <c r="I392" s="1305"/>
      <c r="J392" s="1305"/>
      <c r="K392" s="1306"/>
      <c r="M392" s="1307" t="s">
        <v>231</v>
      </c>
      <c r="N392" s="1308"/>
      <c r="O392" s="1309"/>
    </row>
    <row r="393" spans="1:20" s="147" customFormat="1" ht="15.75" x14ac:dyDescent="0.2">
      <c r="A393" s="202" t="s">
        <v>232</v>
      </c>
      <c r="B393" s="203"/>
      <c r="C393" s="203"/>
      <c r="D393" s="204"/>
      <c r="E393" s="204"/>
      <c r="F393" s="204"/>
      <c r="G393" s="205"/>
      <c r="H393" s="206"/>
      <c r="I393" s="207">
        <f>D4</f>
        <v>2017</v>
      </c>
      <c r="J393" s="208">
        <f>E4</f>
        <v>2015</v>
      </c>
      <c r="K393" s="209">
        <v>1</v>
      </c>
      <c r="M393" s="145" t="str">
        <f>TEXT(R377,"0.0")</f>
        <v>19.8</v>
      </c>
      <c r="N393" s="186" t="str">
        <f>TEXT(T377,"0.0")</f>
        <v>0.3</v>
      </c>
      <c r="O393" s="622" t="s">
        <v>233</v>
      </c>
    </row>
    <row r="394" spans="1:20" s="147" customFormat="1" ht="15.75" x14ac:dyDescent="0.2">
      <c r="A394" s="202" t="s">
        <v>234</v>
      </c>
      <c r="B394" s="203"/>
      <c r="C394" s="203"/>
      <c r="D394" s="204"/>
      <c r="E394" s="204"/>
      <c r="F394" s="204"/>
      <c r="G394" s="205"/>
      <c r="H394" s="206"/>
      <c r="I394" s="210">
        <f>D15</f>
        <v>2018</v>
      </c>
      <c r="J394" s="211">
        <f>E15</f>
        <v>2017</v>
      </c>
      <c r="K394" s="209">
        <v>2</v>
      </c>
      <c r="M394" s="145" t="str">
        <f>TEXT(R378,"0.0")</f>
        <v>48.8</v>
      </c>
      <c r="N394" s="186" t="str">
        <f>TEXT(T378,"0.0")</f>
        <v>2.6</v>
      </c>
      <c r="O394" s="622" t="s">
        <v>235</v>
      </c>
    </row>
    <row r="395" spans="1:20" s="147" customFormat="1" ht="15" x14ac:dyDescent="0.2">
      <c r="A395" s="202" t="s">
        <v>236</v>
      </c>
      <c r="B395" s="203"/>
      <c r="C395" s="203"/>
      <c r="D395" s="204"/>
      <c r="E395" s="204"/>
      <c r="F395" s="204"/>
      <c r="G395" s="205"/>
      <c r="H395" s="206"/>
      <c r="I395" s="210">
        <f>D26</f>
        <v>2018</v>
      </c>
      <c r="J395" s="211">
        <f>E26</f>
        <v>2017</v>
      </c>
      <c r="K395" s="209">
        <v>3</v>
      </c>
      <c r="M395" s="145" t="str">
        <f>TEXT(R379,"0.0")</f>
        <v>0.0</v>
      </c>
      <c r="N395" s="186" t="str">
        <f>TEXT(T379,"0.0")</f>
        <v>2.2</v>
      </c>
      <c r="O395" s="623" t="s">
        <v>237</v>
      </c>
    </row>
    <row r="396" spans="1:20" s="147" customFormat="1" ht="16.5" thickBot="1" x14ac:dyDescent="0.25">
      <c r="A396" s="202" t="s">
        <v>238</v>
      </c>
      <c r="B396" s="203"/>
      <c r="C396" s="203"/>
      <c r="D396" s="204"/>
      <c r="E396" s="204"/>
      <c r="F396" s="204"/>
      <c r="G396" s="205"/>
      <c r="H396" s="206"/>
      <c r="I396" s="210">
        <f>D37</f>
        <v>2017</v>
      </c>
      <c r="J396" s="211">
        <f>E37</f>
        <v>2015</v>
      </c>
      <c r="K396" s="209">
        <v>4</v>
      </c>
      <c r="M396" s="624" t="s">
        <v>239</v>
      </c>
      <c r="N396" s="625" t="s">
        <v>240</v>
      </c>
      <c r="O396" s="626" t="s">
        <v>241</v>
      </c>
    </row>
    <row r="397" spans="1:20" s="147" customFormat="1" x14ac:dyDescent="0.2">
      <c r="A397" s="202" t="s">
        <v>242</v>
      </c>
      <c r="B397" s="203"/>
      <c r="C397" s="203"/>
      <c r="D397" s="204"/>
      <c r="E397" s="204"/>
      <c r="F397" s="204"/>
      <c r="G397" s="205"/>
      <c r="H397" s="206"/>
      <c r="I397" s="210">
        <f>D48</f>
        <v>2017</v>
      </c>
      <c r="J397" s="211">
        <f>E48</f>
        <v>2015</v>
      </c>
      <c r="K397" s="209">
        <v>5</v>
      </c>
    </row>
    <row r="398" spans="1:20" s="147" customFormat="1" x14ac:dyDescent="0.2">
      <c r="A398" s="202" t="s">
        <v>243</v>
      </c>
      <c r="B398" s="203"/>
      <c r="C398" s="203"/>
      <c r="D398" s="204"/>
      <c r="E398" s="204"/>
      <c r="F398" s="204"/>
      <c r="G398" s="205"/>
      <c r="H398" s="206"/>
      <c r="I398" s="210">
        <f>D59</f>
        <v>2018</v>
      </c>
      <c r="J398" s="211">
        <f>E59</f>
        <v>2017</v>
      </c>
      <c r="K398" s="209">
        <v>6</v>
      </c>
    </row>
    <row r="399" spans="1:20" s="147" customFormat="1" x14ac:dyDescent="0.2">
      <c r="A399" s="202" t="s">
        <v>244</v>
      </c>
      <c r="B399" s="203"/>
      <c r="C399" s="203"/>
      <c r="D399" s="204"/>
      <c r="E399" s="204"/>
      <c r="F399" s="204"/>
      <c r="G399" s="205"/>
      <c r="H399" s="206"/>
      <c r="I399" s="210">
        <f>D70</f>
        <v>2018</v>
      </c>
      <c r="J399" s="211">
        <f>E70</f>
        <v>2017</v>
      </c>
      <c r="K399" s="209">
        <v>7</v>
      </c>
    </row>
    <row r="400" spans="1:20" s="147" customFormat="1" x14ac:dyDescent="0.2">
      <c r="A400" s="202" t="s">
        <v>120</v>
      </c>
      <c r="B400" s="203"/>
      <c r="C400" s="203"/>
      <c r="D400" s="204"/>
      <c r="E400" s="204"/>
      <c r="F400" s="204"/>
      <c r="G400" s="205"/>
      <c r="H400" s="206"/>
      <c r="I400" s="210">
        <f>D81</f>
        <v>2019</v>
      </c>
      <c r="J400" s="211">
        <f>E81</f>
        <v>2017</v>
      </c>
      <c r="K400" s="209">
        <v>8</v>
      </c>
    </row>
    <row r="401" spans="1:11" s="147" customFormat="1" x14ac:dyDescent="0.2">
      <c r="A401" s="202" t="s">
        <v>245</v>
      </c>
      <c r="B401" s="203"/>
      <c r="C401" s="203"/>
      <c r="D401" s="204"/>
      <c r="E401" s="204"/>
      <c r="F401" s="204"/>
      <c r="G401" s="205"/>
      <c r="H401" s="206"/>
      <c r="I401" s="210">
        <f>D92</f>
        <v>2019</v>
      </c>
      <c r="J401" s="211" t="str">
        <f>E92</f>
        <v>-</v>
      </c>
      <c r="K401" s="209">
        <v>9</v>
      </c>
    </row>
    <row r="402" spans="1:11" s="147" customFormat="1" x14ac:dyDescent="0.2">
      <c r="A402" s="202" t="s">
        <v>246</v>
      </c>
      <c r="B402" s="203"/>
      <c r="C402" s="203"/>
      <c r="D402" s="204"/>
      <c r="E402" s="204"/>
      <c r="F402" s="204"/>
      <c r="G402" s="205"/>
      <c r="H402" s="206"/>
      <c r="I402" s="210">
        <f>D103</f>
        <v>2019</v>
      </c>
      <c r="J402" s="211">
        <f>E103</f>
        <v>2016</v>
      </c>
      <c r="K402" s="209">
        <v>10</v>
      </c>
    </row>
    <row r="403" spans="1:11" s="147" customFormat="1" x14ac:dyDescent="0.2">
      <c r="A403" s="202" t="s">
        <v>247</v>
      </c>
      <c r="B403" s="203"/>
      <c r="C403" s="203"/>
      <c r="D403" s="204"/>
      <c r="E403" s="204"/>
      <c r="F403" s="204"/>
      <c r="G403" s="205"/>
      <c r="H403" s="206"/>
      <c r="I403" s="210">
        <f>D114</f>
        <v>2016</v>
      </c>
      <c r="J403" s="211" t="str">
        <f>E114</f>
        <v>-</v>
      </c>
      <c r="K403" s="209">
        <v>11</v>
      </c>
    </row>
    <row r="404" spans="1:11" s="147" customFormat="1" x14ac:dyDescent="0.2">
      <c r="A404" s="202" t="s">
        <v>248</v>
      </c>
      <c r="B404" s="203"/>
      <c r="C404" s="203"/>
      <c r="D404" s="204"/>
      <c r="E404" s="204"/>
      <c r="F404" s="204"/>
      <c r="G404" s="205"/>
      <c r="H404" s="206"/>
      <c r="I404" s="210">
        <f>D125</f>
        <v>2020</v>
      </c>
      <c r="J404" s="211" t="str">
        <f>E125</f>
        <v>-</v>
      </c>
      <c r="K404" s="209">
        <v>12</v>
      </c>
    </row>
    <row r="405" spans="1:11" s="147" customFormat="1" x14ac:dyDescent="0.2">
      <c r="A405" s="202" t="s">
        <v>249</v>
      </c>
      <c r="B405" s="627"/>
      <c r="C405" s="627"/>
      <c r="D405" s="628"/>
      <c r="E405" s="628"/>
      <c r="F405" s="628"/>
      <c r="G405" s="629"/>
      <c r="H405" s="630"/>
      <c r="I405" s="210">
        <f>D136</f>
        <v>2020</v>
      </c>
      <c r="J405" s="211" t="str">
        <f>E136</f>
        <v>-</v>
      </c>
      <c r="K405" s="209">
        <v>13</v>
      </c>
    </row>
    <row r="406" spans="1:11" s="147" customFormat="1" x14ac:dyDescent="0.2">
      <c r="A406" s="202" t="s">
        <v>250</v>
      </c>
      <c r="B406" s="627"/>
      <c r="C406" s="627"/>
      <c r="D406" s="628"/>
      <c r="E406" s="628"/>
      <c r="F406" s="628"/>
      <c r="G406" s="629"/>
      <c r="H406" s="630"/>
      <c r="I406" s="210">
        <f>D147</f>
        <v>2020</v>
      </c>
      <c r="J406" s="211" t="str">
        <f>E147</f>
        <v>-</v>
      </c>
      <c r="K406" s="209">
        <v>14</v>
      </c>
    </row>
    <row r="407" spans="1:11" s="147" customFormat="1" x14ac:dyDescent="0.2">
      <c r="A407" s="202" t="s">
        <v>251</v>
      </c>
      <c r="B407" s="627"/>
      <c r="C407" s="627"/>
      <c r="D407" s="628"/>
      <c r="E407" s="628"/>
      <c r="F407" s="628"/>
      <c r="G407" s="629"/>
      <c r="H407" s="630"/>
      <c r="I407" s="210">
        <f>D158</f>
        <v>2020</v>
      </c>
      <c r="J407" s="211" t="str">
        <f>E158</f>
        <v>-</v>
      </c>
      <c r="K407" s="209">
        <v>15</v>
      </c>
    </row>
    <row r="408" spans="1:11" s="147" customFormat="1" x14ac:dyDescent="0.2">
      <c r="A408" s="202" t="s">
        <v>252</v>
      </c>
      <c r="B408" s="627"/>
      <c r="C408" s="627"/>
      <c r="D408" s="628"/>
      <c r="E408" s="628"/>
      <c r="F408" s="628"/>
      <c r="G408" s="629"/>
      <c r="H408" s="630"/>
      <c r="I408" s="210">
        <f>D169</f>
        <v>2020</v>
      </c>
      <c r="J408" s="211" t="str">
        <f>E169</f>
        <v>-</v>
      </c>
      <c r="K408" s="209">
        <v>16</v>
      </c>
    </row>
    <row r="409" spans="1:11" s="147" customFormat="1" x14ac:dyDescent="0.2">
      <c r="A409" s="202" t="s">
        <v>253</v>
      </c>
      <c r="B409" s="627"/>
      <c r="C409" s="627"/>
      <c r="D409" s="628"/>
      <c r="E409" s="628"/>
      <c r="F409" s="628"/>
      <c r="G409" s="629"/>
      <c r="H409" s="630"/>
      <c r="I409" s="210">
        <f>D180</f>
        <v>2020</v>
      </c>
      <c r="J409" s="211" t="str">
        <f>E180</f>
        <v>-</v>
      </c>
      <c r="K409" s="209">
        <v>17</v>
      </c>
    </row>
    <row r="410" spans="1:11" s="147" customFormat="1" x14ac:dyDescent="0.2">
      <c r="A410" s="202" t="s">
        <v>254</v>
      </c>
      <c r="B410" s="627"/>
      <c r="C410" s="627"/>
      <c r="D410" s="628"/>
      <c r="E410" s="628"/>
      <c r="F410" s="628"/>
      <c r="G410" s="629"/>
      <c r="H410" s="630"/>
      <c r="I410" s="210">
        <f>D191</f>
        <v>2020</v>
      </c>
      <c r="J410" s="211" t="str">
        <f>E191</f>
        <v>-</v>
      </c>
      <c r="K410" s="209">
        <v>18</v>
      </c>
    </row>
    <row r="411" spans="1:11" s="147" customFormat="1" x14ac:dyDescent="0.2">
      <c r="A411" s="631">
        <v>19</v>
      </c>
      <c r="B411" s="627"/>
      <c r="C411" s="627"/>
      <c r="D411" s="628"/>
      <c r="E411" s="628"/>
      <c r="F411" s="628"/>
      <c r="G411" s="629"/>
      <c r="H411" s="630"/>
      <c r="I411" s="210">
        <f>D202</f>
        <v>2017</v>
      </c>
      <c r="J411" s="211" t="str">
        <f>E202</f>
        <v>-</v>
      </c>
      <c r="K411" s="209">
        <v>19</v>
      </c>
    </row>
    <row r="412" spans="1:11" s="147" customFormat="1" ht="13.5" thickBot="1" x14ac:dyDescent="0.25">
      <c r="A412" s="631">
        <v>20</v>
      </c>
      <c r="B412" s="627"/>
      <c r="C412" s="627"/>
      <c r="D412" s="628"/>
      <c r="E412" s="628"/>
      <c r="F412" s="628"/>
      <c r="G412" s="629"/>
      <c r="H412" s="630"/>
      <c r="I412" s="212">
        <f>D213</f>
        <v>2017</v>
      </c>
      <c r="J412" s="213" t="str">
        <f>E213</f>
        <v>-</v>
      </c>
      <c r="K412" s="209">
        <v>20</v>
      </c>
    </row>
    <row r="413" spans="1:11" s="147" customFormat="1" ht="13.5" thickBot="1" x14ac:dyDescent="0.25">
      <c r="A413" s="1310">
        <f>VLOOKUP(A392,A393:K412,11,(FALSE))</f>
        <v>8</v>
      </c>
      <c r="B413" s="1311"/>
      <c r="C413" s="1311"/>
      <c r="D413" s="1311"/>
      <c r="E413" s="1311"/>
      <c r="F413" s="1311"/>
      <c r="G413" s="1311"/>
      <c r="H413" s="1311"/>
      <c r="I413" s="1312"/>
      <c r="J413" s="1312"/>
      <c r="K413" s="1313"/>
    </row>
  </sheetData>
  <sheetProtection algorithmName="SHA-512" hashValue="jsUCZn78zYOwui73JuohG/0yb/SmEG8PgYR8VX/tY+RDqU9pnAMrUSnAm5uyLbjAjmCwYGLSu1XtUtBOtii76Q==" saltValue="g+YWaQdXBaPIgzDTHQ+XBw==" spinCount="100000" sheet="1" objects="1" scenarios="1"/>
  <mergeCells count="406">
    <mergeCell ref="P381:P383"/>
    <mergeCell ref="A384:D384"/>
    <mergeCell ref="F384:I384"/>
    <mergeCell ref="K384:N384"/>
    <mergeCell ref="A392:K392"/>
    <mergeCell ref="M392:O392"/>
    <mergeCell ref="A413:K413"/>
    <mergeCell ref="B373:D373"/>
    <mergeCell ref="G373:I373"/>
    <mergeCell ref="L373:N373"/>
    <mergeCell ref="Q373:T373"/>
    <mergeCell ref="B374:C374"/>
    <mergeCell ref="D374:D375"/>
    <mergeCell ref="G374:H374"/>
    <mergeCell ref="I374:I375"/>
    <mergeCell ref="L374:M374"/>
    <mergeCell ref="N374:N375"/>
    <mergeCell ref="P374:P376"/>
    <mergeCell ref="Q374:Q376"/>
    <mergeCell ref="R374:R376"/>
    <mergeCell ref="S374:S376"/>
    <mergeCell ref="T374:T376"/>
    <mergeCell ref="A310:A329"/>
    <mergeCell ref="H310:H329"/>
    <mergeCell ref="O310:O329"/>
    <mergeCell ref="A331:A350"/>
    <mergeCell ref="H331:H350"/>
    <mergeCell ref="O331:O350"/>
    <mergeCell ref="A352:A371"/>
    <mergeCell ref="H352:H371"/>
    <mergeCell ref="O352:O371"/>
    <mergeCell ref="V247:W247"/>
    <mergeCell ref="V248:W248"/>
    <mergeCell ref="A268:A287"/>
    <mergeCell ref="H268:H287"/>
    <mergeCell ref="O268:O287"/>
    <mergeCell ref="V271:W271"/>
    <mergeCell ref="V272:W272"/>
    <mergeCell ref="A289:A308"/>
    <mergeCell ref="H289:H308"/>
    <mergeCell ref="O289:O308"/>
    <mergeCell ref="A247:A266"/>
    <mergeCell ref="H247:H266"/>
    <mergeCell ref="O247:O266"/>
    <mergeCell ref="V223:W223"/>
    <mergeCell ref="D224:E224"/>
    <mergeCell ref="F224:F225"/>
    <mergeCell ref="K224:L224"/>
    <mergeCell ref="M224:M225"/>
    <mergeCell ref="R224:S224"/>
    <mergeCell ref="T224:T225"/>
    <mergeCell ref="V224:W224"/>
    <mergeCell ref="A226:A245"/>
    <mergeCell ref="H226:H245"/>
    <mergeCell ref="O226:O245"/>
    <mergeCell ref="B221:U221"/>
    <mergeCell ref="A223:A225"/>
    <mergeCell ref="B223:B225"/>
    <mergeCell ref="C223:F223"/>
    <mergeCell ref="H223:H225"/>
    <mergeCell ref="I223:I225"/>
    <mergeCell ref="J223:M223"/>
    <mergeCell ref="O223:O225"/>
    <mergeCell ref="P223:P225"/>
    <mergeCell ref="Q223:T223"/>
    <mergeCell ref="A211:A220"/>
    <mergeCell ref="B211:F211"/>
    <mergeCell ref="H211:L211"/>
    <mergeCell ref="N211:R211"/>
    <mergeCell ref="T211:U211"/>
    <mergeCell ref="B212:C212"/>
    <mergeCell ref="D212:E212"/>
    <mergeCell ref="F212:F213"/>
    <mergeCell ref="H212:I212"/>
    <mergeCell ref="J212:K212"/>
    <mergeCell ref="L212:L213"/>
    <mergeCell ref="N212:O212"/>
    <mergeCell ref="P212:Q212"/>
    <mergeCell ref="R212:R213"/>
    <mergeCell ref="B213:C213"/>
    <mergeCell ref="H213:I213"/>
    <mergeCell ref="N213:O213"/>
    <mergeCell ref="N200:R200"/>
    <mergeCell ref="T200:U200"/>
    <mergeCell ref="B201:C201"/>
    <mergeCell ref="D201:E201"/>
    <mergeCell ref="F201:F202"/>
    <mergeCell ref="H201:I201"/>
    <mergeCell ref="J201:K201"/>
    <mergeCell ref="L201:L202"/>
    <mergeCell ref="N201:O201"/>
    <mergeCell ref="P201:Q201"/>
    <mergeCell ref="R201:R202"/>
    <mergeCell ref="B202:C202"/>
    <mergeCell ref="H202:I202"/>
    <mergeCell ref="N202:O202"/>
    <mergeCell ref="N189:R189"/>
    <mergeCell ref="T189:U189"/>
    <mergeCell ref="B190:C190"/>
    <mergeCell ref="D190:E190"/>
    <mergeCell ref="F190:F191"/>
    <mergeCell ref="H190:I190"/>
    <mergeCell ref="J190:K190"/>
    <mergeCell ref="L190:L191"/>
    <mergeCell ref="N190:O190"/>
    <mergeCell ref="P190:Q190"/>
    <mergeCell ref="R190:R191"/>
    <mergeCell ref="B191:C191"/>
    <mergeCell ref="H191:I191"/>
    <mergeCell ref="N191:O191"/>
    <mergeCell ref="N178:R178"/>
    <mergeCell ref="T178:U178"/>
    <mergeCell ref="B179:C179"/>
    <mergeCell ref="D179:E179"/>
    <mergeCell ref="F179:F180"/>
    <mergeCell ref="H179:I179"/>
    <mergeCell ref="J179:K179"/>
    <mergeCell ref="L179:L180"/>
    <mergeCell ref="N179:O179"/>
    <mergeCell ref="P179:Q179"/>
    <mergeCell ref="R179:R180"/>
    <mergeCell ref="B180:C180"/>
    <mergeCell ref="H180:I180"/>
    <mergeCell ref="N180:O180"/>
    <mergeCell ref="T167:U167"/>
    <mergeCell ref="B168:C168"/>
    <mergeCell ref="D168:E168"/>
    <mergeCell ref="F168:F169"/>
    <mergeCell ref="H168:I168"/>
    <mergeCell ref="J168:K168"/>
    <mergeCell ref="L168:L169"/>
    <mergeCell ref="N168:O168"/>
    <mergeCell ref="P168:Q168"/>
    <mergeCell ref="R168:R169"/>
    <mergeCell ref="B169:C169"/>
    <mergeCell ref="H169:I169"/>
    <mergeCell ref="N169:O169"/>
    <mergeCell ref="T156:U156"/>
    <mergeCell ref="B157:C157"/>
    <mergeCell ref="D157:E157"/>
    <mergeCell ref="F157:F158"/>
    <mergeCell ref="H157:I157"/>
    <mergeCell ref="J157:K157"/>
    <mergeCell ref="L157:L158"/>
    <mergeCell ref="N157:O157"/>
    <mergeCell ref="P157:Q157"/>
    <mergeCell ref="R157:R158"/>
    <mergeCell ref="B158:C158"/>
    <mergeCell ref="H158:I158"/>
    <mergeCell ref="N158:O158"/>
    <mergeCell ref="T145:U145"/>
    <mergeCell ref="B146:C146"/>
    <mergeCell ref="D146:E146"/>
    <mergeCell ref="F146:F147"/>
    <mergeCell ref="H146:I146"/>
    <mergeCell ref="J146:K146"/>
    <mergeCell ref="L146:L147"/>
    <mergeCell ref="N146:O146"/>
    <mergeCell ref="P146:Q146"/>
    <mergeCell ref="R146:R147"/>
    <mergeCell ref="B147:C147"/>
    <mergeCell ref="H147:I147"/>
    <mergeCell ref="N147:O147"/>
    <mergeCell ref="A134:A143"/>
    <mergeCell ref="B134:F134"/>
    <mergeCell ref="H134:L134"/>
    <mergeCell ref="N134:R134"/>
    <mergeCell ref="T134:U134"/>
    <mergeCell ref="B135:C135"/>
    <mergeCell ref="D135:E135"/>
    <mergeCell ref="F135:F136"/>
    <mergeCell ref="H135:I135"/>
    <mergeCell ref="J135:K135"/>
    <mergeCell ref="L135:L136"/>
    <mergeCell ref="N135:O135"/>
    <mergeCell ref="P135:Q135"/>
    <mergeCell ref="R135:R136"/>
    <mergeCell ref="B136:C136"/>
    <mergeCell ref="H136:I136"/>
    <mergeCell ref="N136:O136"/>
    <mergeCell ref="N112:R112"/>
    <mergeCell ref="T112:U112"/>
    <mergeCell ref="N113:O113"/>
    <mergeCell ref="P113:Q113"/>
    <mergeCell ref="R113:R114"/>
    <mergeCell ref="N114:O114"/>
    <mergeCell ref="N123:R123"/>
    <mergeCell ref="T123:U123"/>
    <mergeCell ref="N124:O124"/>
    <mergeCell ref="P124:Q124"/>
    <mergeCell ref="R124:R125"/>
    <mergeCell ref="N125:O125"/>
    <mergeCell ref="N90:R90"/>
    <mergeCell ref="T90:U90"/>
    <mergeCell ref="N91:O91"/>
    <mergeCell ref="P91:Q91"/>
    <mergeCell ref="R91:R92"/>
    <mergeCell ref="N92:O92"/>
    <mergeCell ref="N101:R101"/>
    <mergeCell ref="T101:U101"/>
    <mergeCell ref="N102:O102"/>
    <mergeCell ref="P102:Q102"/>
    <mergeCell ref="R102:R103"/>
    <mergeCell ref="N103:O103"/>
    <mergeCell ref="T79:U79"/>
    <mergeCell ref="N80:O80"/>
    <mergeCell ref="P80:Q80"/>
    <mergeCell ref="R80:R81"/>
    <mergeCell ref="N81:O81"/>
    <mergeCell ref="N79:R79"/>
    <mergeCell ref="P58:Q58"/>
    <mergeCell ref="R58:R59"/>
    <mergeCell ref="N59:O59"/>
    <mergeCell ref="N68:R68"/>
    <mergeCell ref="N47:O47"/>
    <mergeCell ref="P47:Q47"/>
    <mergeCell ref="R47:R48"/>
    <mergeCell ref="N48:O48"/>
    <mergeCell ref="N57:R57"/>
    <mergeCell ref="T57:U57"/>
    <mergeCell ref="T68:U68"/>
    <mergeCell ref="N69:O69"/>
    <mergeCell ref="P69:Q69"/>
    <mergeCell ref="R69:R70"/>
    <mergeCell ref="N70:O70"/>
    <mergeCell ref="N58:O58"/>
    <mergeCell ref="T24:U24"/>
    <mergeCell ref="N25:O25"/>
    <mergeCell ref="P25:Q25"/>
    <mergeCell ref="R25:R26"/>
    <mergeCell ref="N26:O26"/>
    <mergeCell ref="T36:U36"/>
    <mergeCell ref="N37:O37"/>
    <mergeCell ref="N46:R46"/>
    <mergeCell ref="T46:U46"/>
    <mergeCell ref="A1:U1"/>
    <mergeCell ref="N2:R2"/>
    <mergeCell ref="T2:U2"/>
    <mergeCell ref="N3:O3"/>
    <mergeCell ref="P3:Q3"/>
    <mergeCell ref="R3:R4"/>
    <mergeCell ref="N4:O4"/>
    <mergeCell ref="N13:R13"/>
    <mergeCell ref="T13:U13"/>
    <mergeCell ref="L3:L4"/>
    <mergeCell ref="B4:C4"/>
    <mergeCell ref="H4:I4"/>
    <mergeCell ref="A13:A22"/>
    <mergeCell ref="B13:F13"/>
    <mergeCell ref="H13:L13"/>
    <mergeCell ref="A2:A11"/>
    <mergeCell ref="B2:F2"/>
    <mergeCell ref="H2:L2"/>
    <mergeCell ref="B3:C3"/>
    <mergeCell ref="D3:E3"/>
    <mergeCell ref="F3:F4"/>
    <mergeCell ref="H3:I3"/>
    <mergeCell ref="J3:K3"/>
    <mergeCell ref="B14:C14"/>
    <mergeCell ref="B15:C15"/>
    <mergeCell ref="H15:I15"/>
    <mergeCell ref="B36:C36"/>
    <mergeCell ref="D36:E36"/>
    <mergeCell ref="F36:F37"/>
    <mergeCell ref="H36:I36"/>
    <mergeCell ref="J36:K36"/>
    <mergeCell ref="L36:L37"/>
    <mergeCell ref="B37:C37"/>
    <mergeCell ref="H37:I37"/>
    <mergeCell ref="D25:E25"/>
    <mergeCell ref="F25:F26"/>
    <mergeCell ref="H25:I25"/>
    <mergeCell ref="J25:K25"/>
    <mergeCell ref="L25:L26"/>
    <mergeCell ref="D14:E14"/>
    <mergeCell ref="F14:F15"/>
    <mergeCell ref="H14:I14"/>
    <mergeCell ref="J14:K14"/>
    <mergeCell ref="L14:L15"/>
    <mergeCell ref="N35:R35"/>
    <mergeCell ref="N36:O36"/>
    <mergeCell ref="P36:Q36"/>
    <mergeCell ref="R36:R37"/>
    <mergeCell ref="N14:O14"/>
    <mergeCell ref="P14:Q14"/>
    <mergeCell ref="R14:R15"/>
    <mergeCell ref="N15:O15"/>
    <mergeCell ref="N24:R24"/>
    <mergeCell ref="A46:A55"/>
    <mergeCell ref="B46:F46"/>
    <mergeCell ref="H46:L46"/>
    <mergeCell ref="B26:C26"/>
    <mergeCell ref="H26:I26"/>
    <mergeCell ref="A35:A44"/>
    <mergeCell ref="B35:F35"/>
    <mergeCell ref="H35:L35"/>
    <mergeCell ref="B47:C47"/>
    <mergeCell ref="D47:E47"/>
    <mergeCell ref="F47:F48"/>
    <mergeCell ref="H47:I47"/>
    <mergeCell ref="J47:K47"/>
    <mergeCell ref="L47:L48"/>
    <mergeCell ref="B48:C48"/>
    <mergeCell ref="H48:I48"/>
    <mergeCell ref="A24:A33"/>
    <mergeCell ref="B24:F24"/>
    <mergeCell ref="H24:L24"/>
    <mergeCell ref="B25:C25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B80:C80"/>
    <mergeCell ref="D80:E80"/>
    <mergeCell ref="F80:F81"/>
    <mergeCell ref="H80:I80"/>
    <mergeCell ref="J80:K80"/>
    <mergeCell ref="L80:L81"/>
    <mergeCell ref="B81:C81"/>
    <mergeCell ref="H81:I81"/>
    <mergeCell ref="B69:C69"/>
    <mergeCell ref="D69:E69"/>
    <mergeCell ref="F69:F70"/>
    <mergeCell ref="H69:I69"/>
    <mergeCell ref="A57:A66"/>
    <mergeCell ref="B57:F57"/>
    <mergeCell ref="H57:L57"/>
    <mergeCell ref="B58:C58"/>
    <mergeCell ref="B92:C92"/>
    <mergeCell ref="H92:I92"/>
    <mergeCell ref="A101:A110"/>
    <mergeCell ref="B101:F101"/>
    <mergeCell ref="H101:L101"/>
    <mergeCell ref="B102:C102"/>
    <mergeCell ref="D102:E102"/>
    <mergeCell ref="F102:F103"/>
    <mergeCell ref="H102:I102"/>
    <mergeCell ref="A90:A99"/>
    <mergeCell ref="B90:F90"/>
    <mergeCell ref="H90:L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H113:I113"/>
    <mergeCell ref="J113:K113"/>
    <mergeCell ref="L113:L114"/>
    <mergeCell ref="B114:C114"/>
    <mergeCell ref="H114:I114"/>
    <mergeCell ref="A123:A132"/>
    <mergeCell ref="B123:F123"/>
    <mergeCell ref="H123:L123"/>
    <mergeCell ref="B124:C124"/>
    <mergeCell ref="D124:E124"/>
    <mergeCell ref="F124:F125"/>
    <mergeCell ref="H124:I124"/>
    <mergeCell ref="J124:K124"/>
    <mergeCell ref="L124:L125"/>
    <mergeCell ref="B125:C125"/>
    <mergeCell ref="H125:I125"/>
    <mergeCell ref="A112:A121"/>
    <mergeCell ref="B112:F112"/>
    <mergeCell ref="H112:L112"/>
    <mergeCell ref="B113:C113"/>
    <mergeCell ref="D113:E113"/>
    <mergeCell ref="F113:F114"/>
    <mergeCell ref="A145:A154"/>
    <mergeCell ref="B145:F145"/>
    <mergeCell ref="H145:L145"/>
    <mergeCell ref="N145:R145"/>
    <mergeCell ref="A156:A165"/>
    <mergeCell ref="B156:F156"/>
    <mergeCell ref="H156:L156"/>
    <mergeCell ref="N156:R156"/>
    <mergeCell ref="A167:A176"/>
    <mergeCell ref="B167:F167"/>
    <mergeCell ref="H167:L167"/>
    <mergeCell ref="N167:R167"/>
    <mergeCell ref="A178:A187"/>
    <mergeCell ref="B178:F178"/>
    <mergeCell ref="H178:L178"/>
    <mergeCell ref="A189:A198"/>
    <mergeCell ref="B189:F189"/>
    <mergeCell ref="H189:L189"/>
    <mergeCell ref="A200:A209"/>
    <mergeCell ref="B200:F200"/>
    <mergeCell ref="H200:L20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N17" sqref="N17"/>
    </sheetView>
  </sheetViews>
  <sheetFormatPr defaultRowHeight="12.75" x14ac:dyDescent="0.2"/>
  <cols>
    <col min="1" max="1" width="14.140625" customWidth="1"/>
    <col min="3" max="3" width="15.85546875" customWidth="1"/>
    <col min="5" max="5" width="12.28515625" customWidth="1"/>
  </cols>
  <sheetData>
    <row r="1" spans="1:5" ht="15.75" x14ac:dyDescent="0.2">
      <c r="A1" s="513" t="s">
        <v>31</v>
      </c>
      <c r="B1" s="514" t="s">
        <v>365</v>
      </c>
      <c r="C1" s="1314" t="s">
        <v>171</v>
      </c>
      <c r="D1" s="1314"/>
      <c r="E1" s="513" t="s">
        <v>366</v>
      </c>
    </row>
    <row r="2" spans="1:5" ht="42.75" x14ac:dyDescent="0.2">
      <c r="A2" s="515" t="str">
        <f>PENYELIA!C34</f>
        <v>Oxygen Flush Valve ( L/min )</v>
      </c>
      <c r="B2" s="516">
        <f>PENYELIA!O34/25*100</f>
        <v>100</v>
      </c>
      <c r="C2" s="517">
        <f>B2/100*25</f>
        <v>25</v>
      </c>
      <c r="D2" s="518">
        <f>IF(C2&lt;17.5,0,IF(C2&gt;=17.5,C2))</f>
        <v>25</v>
      </c>
      <c r="E2" s="519" t="str">
        <f>IF(C2&gt;=17.5,"PASS",IF(C2&lt;17.5,"FAIL"))</f>
        <v>PASS</v>
      </c>
    </row>
    <row r="3" spans="1:5" ht="15.75" x14ac:dyDescent="0.2">
      <c r="A3" s="515" t="str">
        <f>PENYELIA!C39</f>
        <v>Flow (L/min)</v>
      </c>
      <c r="B3" s="516">
        <f>SUM(PENYELIA!O39:O45)/25*100</f>
        <v>99.988000000000014</v>
      </c>
      <c r="C3" s="517">
        <f>B3/100*25</f>
        <v>24.997000000000003</v>
      </c>
      <c r="D3" s="518">
        <f>IF(C3&lt;17.5,0,IF(C3&gt;=17.5,C3))</f>
        <v>24.997000000000003</v>
      </c>
      <c r="E3" s="519" t="str">
        <f>IF(C3&gt;=17.5,"PASS",IF(C3&lt;17.5,"FAIL"))</f>
        <v>PASS</v>
      </c>
    </row>
    <row r="4" spans="1:5" ht="13.5" thickBot="1" x14ac:dyDescent="0.25"/>
    <row r="5" spans="1:5" ht="15" x14ac:dyDescent="0.2">
      <c r="A5" s="1315" t="s">
        <v>367</v>
      </c>
      <c r="B5" s="1316"/>
      <c r="C5" s="1317"/>
    </row>
    <row r="6" spans="1:5" ht="15" x14ac:dyDescent="0.2">
      <c r="A6" s="1318" t="s">
        <v>368</v>
      </c>
      <c r="B6" s="1319"/>
      <c r="C6" s="520" t="s">
        <v>81</v>
      </c>
    </row>
    <row r="7" spans="1:5" ht="16.5" thickBot="1" x14ac:dyDescent="0.25">
      <c r="A7" s="521">
        <f>D2+D3</f>
        <v>49.997</v>
      </c>
      <c r="B7" s="522">
        <f>IF(A7&lt;35,0,IF(A7&gt;=35,50))</f>
        <v>50</v>
      </c>
      <c r="C7" s="523" t="str">
        <f>IF(A7&gt;37.5,"PASS",IF(A7&lt;37.5,"FAIL"))</f>
        <v>PASS</v>
      </c>
    </row>
  </sheetData>
  <mergeCells count="3">
    <mergeCell ref="C1:D1"/>
    <mergeCell ref="A5:C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2BA1-6A1B-4126-96EE-6C6C558B7F9C}">
  <dimension ref="A2:E100"/>
  <sheetViews>
    <sheetView workbookViewId="0">
      <selection activeCell="B11" sqref="B11"/>
    </sheetView>
  </sheetViews>
  <sheetFormatPr defaultRowHeight="12.75" x14ac:dyDescent="0.2"/>
  <cols>
    <col min="2" max="2" width="27.5703125" customWidth="1"/>
    <col min="3" max="3" width="35.85546875" customWidth="1"/>
    <col min="4" max="4" width="54.42578125" customWidth="1"/>
    <col min="5" max="5" width="13" customWidth="1"/>
  </cols>
  <sheetData>
    <row r="2" spans="1:5" x14ac:dyDescent="0.2">
      <c r="A2" s="945" t="s">
        <v>85</v>
      </c>
      <c r="B2" s="945" t="s">
        <v>86</v>
      </c>
      <c r="C2" s="945" t="s">
        <v>87</v>
      </c>
      <c r="D2" s="945"/>
      <c r="E2" s="946" t="s">
        <v>401</v>
      </c>
    </row>
    <row r="3" spans="1:5" x14ac:dyDescent="0.2">
      <c r="A3" s="945"/>
      <c r="B3" s="945"/>
      <c r="C3" s="554" t="s">
        <v>14</v>
      </c>
      <c r="D3" s="554" t="s">
        <v>15</v>
      </c>
      <c r="E3" s="946"/>
    </row>
    <row r="4" spans="1:5" ht="38.25" x14ac:dyDescent="0.2">
      <c r="A4" s="554">
        <v>1</v>
      </c>
      <c r="B4" s="660">
        <v>44223</v>
      </c>
      <c r="C4" s="662" t="s">
        <v>88</v>
      </c>
      <c r="D4" s="663" t="s">
        <v>89</v>
      </c>
      <c r="E4" s="840"/>
    </row>
    <row r="5" spans="1:5" ht="25.5" x14ac:dyDescent="0.2">
      <c r="A5" s="554"/>
      <c r="B5" s="661"/>
      <c r="C5" s="526" t="s">
        <v>90</v>
      </c>
      <c r="D5" s="841" t="s">
        <v>91</v>
      </c>
      <c r="E5" s="840"/>
    </row>
    <row r="6" spans="1:5" x14ac:dyDescent="0.2">
      <c r="A6" s="554">
        <v>2</v>
      </c>
      <c r="B6" s="660" t="s">
        <v>397</v>
      </c>
      <c r="C6" s="555" t="s">
        <v>398</v>
      </c>
      <c r="D6" s="555" t="s">
        <v>399</v>
      </c>
      <c r="E6" s="839" t="s">
        <v>400</v>
      </c>
    </row>
    <row r="7" spans="1:5" x14ac:dyDescent="0.2">
      <c r="A7" s="554"/>
      <c r="B7" s="661"/>
      <c r="C7" s="554"/>
      <c r="D7" s="554"/>
      <c r="E7" s="840"/>
    </row>
    <row r="8" spans="1:5" x14ac:dyDescent="0.2">
      <c r="A8" s="554"/>
      <c r="B8" s="661"/>
      <c r="C8" s="554"/>
      <c r="D8" s="554"/>
      <c r="E8" s="840"/>
    </row>
    <row r="9" spans="1:5" x14ac:dyDescent="0.2">
      <c r="A9" s="554"/>
      <c r="B9" s="661"/>
      <c r="C9" s="554"/>
      <c r="D9" s="554"/>
      <c r="E9" s="840"/>
    </row>
    <row r="10" spans="1:5" x14ac:dyDescent="0.2">
      <c r="A10" s="554"/>
      <c r="B10" s="661"/>
      <c r="C10" s="554"/>
      <c r="D10" s="554"/>
      <c r="E10" s="840"/>
    </row>
    <row r="11" spans="1:5" x14ac:dyDescent="0.2">
      <c r="A11" s="554"/>
      <c r="B11" s="661"/>
      <c r="C11" s="554"/>
      <c r="D11" s="554"/>
      <c r="E11" s="840"/>
    </row>
    <row r="12" spans="1:5" x14ac:dyDescent="0.2">
      <c r="A12" s="554"/>
      <c r="B12" s="661"/>
      <c r="C12" s="554"/>
      <c r="D12" s="554"/>
      <c r="E12" s="840"/>
    </row>
    <row r="13" spans="1:5" x14ac:dyDescent="0.2">
      <c r="A13" s="554"/>
      <c r="B13" s="661"/>
      <c r="C13" s="554"/>
      <c r="D13" s="554"/>
      <c r="E13" s="840"/>
    </row>
    <row r="14" spans="1:5" x14ac:dyDescent="0.2">
      <c r="A14" s="554"/>
      <c r="B14" s="661"/>
      <c r="C14" s="554"/>
      <c r="D14" s="554"/>
      <c r="E14" s="840"/>
    </row>
    <row r="15" spans="1:5" x14ac:dyDescent="0.2">
      <c r="A15" s="554"/>
      <c r="B15" s="661"/>
      <c r="C15" s="554"/>
      <c r="D15" s="554"/>
      <c r="E15" s="840"/>
    </row>
    <row r="16" spans="1:5" x14ac:dyDescent="0.2">
      <c r="A16" s="554"/>
      <c r="B16" s="661"/>
      <c r="C16" s="554"/>
      <c r="D16" s="554"/>
      <c r="E16" s="840"/>
    </row>
    <row r="17" spans="1:5" x14ac:dyDescent="0.2">
      <c r="A17" s="554"/>
      <c r="B17" s="661"/>
      <c r="C17" s="554"/>
      <c r="D17" s="554"/>
      <c r="E17" s="840"/>
    </row>
    <row r="18" spans="1:5" x14ac:dyDescent="0.2">
      <c r="A18" s="554"/>
      <c r="B18" s="661"/>
      <c r="C18" s="554"/>
      <c r="D18" s="554"/>
      <c r="E18" s="840"/>
    </row>
    <row r="19" spans="1:5" x14ac:dyDescent="0.2">
      <c r="A19" s="554"/>
      <c r="B19" s="661"/>
      <c r="C19" s="554"/>
      <c r="D19" s="554"/>
      <c r="E19" s="840"/>
    </row>
    <row r="20" spans="1:5" x14ac:dyDescent="0.2">
      <c r="A20" s="554"/>
      <c r="B20" s="661"/>
      <c r="C20" s="554"/>
      <c r="D20" s="554"/>
      <c r="E20" s="840"/>
    </row>
    <row r="21" spans="1:5" x14ac:dyDescent="0.2">
      <c r="A21" s="554"/>
      <c r="B21" s="661"/>
      <c r="C21" s="554"/>
      <c r="D21" s="554"/>
      <c r="E21" s="840"/>
    </row>
    <row r="22" spans="1:5" x14ac:dyDescent="0.2">
      <c r="A22" s="554"/>
      <c r="B22" s="661"/>
      <c r="C22" s="554"/>
      <c r="D22" s="554"/>
      <c r="E22" s="840"/>
    </row>
    <row r="23" spans="1:5" x14ac:dyDescent="0.2">
      <c r="A23" s="554"/>
      <c r="B23" s="661"/>
      <c r="C23" s="554"/>
      <c r="D23" s="554"/>
      <c r="E23" s="840"/>
    </row>
    <row r="24" spans="1:5" x14ac:dyDescent="0.2">
      <c r="A24" s="554"/>
      <c r="B24" s="661"/>
      <c r="C24" s="554"/>
      <c r="D24" s="554"/>
      <c r="E24" s="840"/>
    </row>
    <row r="25" spans="1:5" x14ac:dyDescent="0.2">
      <c r="A25" s="554"/>
      <c r="B25" s="661"/>
      <c r="C25" s="554"/>
      <c r="D25" s="554"/>
      <c r="E25" s="840"/>
    </row>
    <row r="26" spans="1:5" x14ac:dyDescent="0.2">
      <c r="A26" s="554"/>
      <c r="B26" s="661"/>
      <c r="C26" s="554"/>
      <c r="D26" s="554"/>
      <c r="E26" s="840"/>
    </row>
    <row r="27" spans="1:5" x14ac:dyDescent="0.2">
      <c r="A27" s="554"/>
      <c r="B27" s="661"/>
      <c r="C27" s="554"/>
      <c r="D27" s="554"/>
      <c r="E27" s="840"/>
    </row>
    <row r="28" spans="1:5" x14ac:dyDescent="0.2">
      <c r="A28" s="554"/>
      <c r="B28" s="661"/>
      <c r="C28" s="554"/>
      <c r="D28" s="554"/>
      <c r="E28" s="840"/>
    </row>
    <row r="29" spans="1:5" x14ac:dyDescent="0.2">
      <c r="A29" s="554"/>
      <c r="B29" s="661"/>
      <c r="C29" s="554"/>
      <c r="D29" s="554"/>
      <c r="E29" s="840"/>
    </row>
    <row r="30" spans="1:5" x14ac:dyDescent="0.2">
      <c r="A30" s="554"/>
      <c r="B30" s="661"/>
      <c r="C30" s="554"/>
      <c r="D30" s="554"/>
      <c r="E30" s="840"/>
    </row>
    <row r="31" spans="1:5" x14ac:dyDescent="0.2">
      <c r="A31" s="554"/>
      <c r="B31" s="661"/>
      <c r="C31" s="554"/>
      <c r="D31" s="554"/>
      <c r="E31" s="840"/>
    </row>
    <row r="100" spans="1:1" x14ac:dyDescent="0.2">
      <c r="A100" s="842" t="s">
        <v>402</v>
      </c>
    </row>
  </sheetData>
  <sheetProtection algorithmName="SHA-512" hashValue="54OAoB9gsaS3M80Wpi5O7AGjpaQTh/5+d03QKPZRquurQZmuQu3kTtYS/Xe8NFrFL8OeTBgrLbjbOlgTLSnCqg==" saltValue="QaRg8zo8OKOaChY0AlciKw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01"/>
  <sheetViews>
    <sheetView view="pageBreakPreview" zoomScale="90" zoomScaleNormal="90" zoomScaleSheetLayoutView="90" workbookViewId="0">
      <selection activeCell="D90" sqref="D90"/>
    </sheetView>
  </sheetViews>
  <sheetFormatPr defaultRowHeight="12.75" x14ac:dyDescent="0.2"/>
  <cols>
    <col min="1" max="1" width="18.140625" style="10" customWidth="1"/>
    <col min="2" max="2" width="7.5703125" style="10" customWidth="1"/>
    <col min="3" max="3" width="9.140625" style="10"/>
    <col min="4" max="4" width="9.140625" style="10" customWidth="1"/>
    <col min="5" max="5" width="9.140625" style="10"/>
    <col min="6" max="6" width="8.7109375" style="10" customWidth="1"/>
    <col min="7" max="7" width="7.42578125" style="10" customWidth="1"/>
    <col min="8" max="8" width="7.5703125" style="10" customWidth="1"/>
    <col min="9" max="9" width="9.140625" style="10" customWidth="1"/>
    <col min="10" max="10" width="9.140625" style="10"/>
    <col min="11" max="11" width="10" style="10" customWidth="1"/>
    <col min="12" max="12" width="7.85546875" style="10" customWidth="1"/>
    <col min="13" max="243" width="9.140625" style="10"/>
    <col min="244" max="244" width="13.42578125" style="10" customWidth="1"/>
    <col min="245" max="245" width="9.140625" style="10"/>
    <col min="246" max="246" width="17" style="10" customWidth="1"/>
    <col min="247" max="247" width="7.5703125" style="10" customWidth="1"/>
    <col min="248" max="248" width="9.140625" style="10"/>
    <col min="249" max="249" width="9.140625" style="10" customWidth="1"/>
    <col min="250" max="250" width="9.140625" style="10"/>
    <col min="251" max="251" width="8.7109375" style="10" customWidth="1"/>
    <col min="252" max="252" width="7.42578125" style="10" customWidth="1"/>
    <col min="253" max="253" width="7.5703125" style="10" customWidth="1"/>
    <col min="254" max="254" width="9.140625" style="10" customWidth="1"/>
    <col min="255" max="255" width="9.140625" style="10"/>
    <col min="256" max="256" width="10" style="10" customWidth="1"/>
    <col min="257" max="257" width="7.85546875" style="10" customWidth="1"/>
    <col min="258" max="258" width="6.140625" style="10" customWidth="1"/>
    <col min="259" max="259" width="8.7109375" style="10" customWidth="1"/>
    <col min="260" max="499" width="9.140625" style="10"/>
    <col min="500" max="500" width="13.42578125" style="10" customWidth="1"/>
    <col min="501" max="501" width="9.140625" style="10"/>
    <col min="502" max="502" width="17" style="10" customWidth="1"/>
    <col min="503" max="503" width="7.5703125" style="10" customWidth="1"/>
    <col min="504" max="504" width="9.140625" style="10"/>
    <col min="505" max="505" width="9.140625" style="10" customWidth="1"/>
    <col min="506" max="506" width="9.140625" style="10"/>
    <col min="507" max="507" width="8.7109375" style="10" customWidth="1"/>
    <col min="508" max="508" width="7.42578125" style="10" customWidth="1"/>
    <col min="509" max="509" width="7.5703125" style="10" customWidth="1"/>
    <col min="510" max="510" width="9.140625" style="10" customWidth="1"/>
    <col min="511" max="511" width="9.140625" style="10"/>
    <col min="512" max="512" width="10" style="10" customWidth="1"/>
    <col min="513" max="513" width="7.85546875" style="10" customWidth="1"/>
    <col min="514" max="514" width="6.140625" style="10" customWidth="1"/>
    <col min="515" max="515" width="8.7109375" style="10" customWidth="1"/>
    <col min="516" max="755" width="9.140625" style="10"/>
    <col min="756" max="756" width="13.42578125" style="10" customWidth="1"/>
    <col min="757" max="757" width="9.140625" style="10"/>
    <col min="758" max="758" width="17" style="10" customWidth="1"/>
    <col min="759" max="759" width="7.5703125" style="10" customWidth="1"/>
    <col min="760" max="760" width="9.140625" style="10"/>
    <col min="761" max="761" width="9.140625" style="10" customWidth="1"/>
    <col min="762" max="762" width="9.140625" style="10"/>
    <col min="763" max="763" width="8.7109375" style="10" customWidth="1"/>
    <col min="764" max="764" width="7.42578125" style="10" customWidth="1"/>
    <col min="765" max="765" width="7.5703125" style="10" customWidth="1"/>
    <col min="766" max="766" width="9.140625" style="10" customWidth="1"/>
    <col min="767" max="767" width="9.140625" style="10"/>
    <col min="768" max="768" width="10" style="10" customWidth="1"/>
    <col min="769" max="769" width="7.85546875" style="10" customWidth="1"/>
    <col min="770" max="770" width="6.140625" style="10" customWidth="1"/>
    <col min="771" max="771" width="8.7109375" style="10" customWidth="1"/>
    <col min="772" max="1011" width="9.140625" style="10"/>
    <col min="1012" max="1012" width="13.42578125" style="10" customWidth="1"/>
    <col min="1013" max="1013" width="9.140625" style="10"/>
    <col min="1014" max="1014" width="17" style="10" customWidth="1"/>
    <col min="1015" max="1015" width="7.5703125" style="10" customWidth="1"/>
    <col min="1016" max="1016" width="9.140625" style="10"/>
    <col min="1017" max="1017" width="9.140625" style="10" customWidth="1"/>
    <col min="1018" max="1018" width="9.140625" style="10"/>
    <col min="1019" max="1019" width="8.7109375" style="10" customWidth="1"/>
    <col min="1020" max="1020" width="7.42578125" style="10" customWidth="1"/>
    <col min="1021" max="1021" width="7.5703125" style="10" customWidth="1"/>
    <col min="1022" max="1022" width="9.140625" style="10" customWidth="1"/>
    <col min="1023" max="1023" width="9.140625" style="10"/>
    <col min="1024" max="1024" width="10" style="10" customWidth="1"/>
    <col min="1025" max="1025" width="7.85546875" style="10" customWidth="1"/>
    <col min="1026" max="1026" width="6.140625" style="10" customWidth="1"/>
    <col min="1027" max="1027" width="8.7109375" style="10" customWidth="1"/>
    <col min="1028" max="1267" width="9.140625" style="10"/>
    <col min="1268" max="1268" width="13.42578125" style="10" customWidth="1"/>
    <col min="1269" max="1269" width="9.140625" style="10"/>
    <col min="1270" max="1270" width="17" style="10" customWidth="1"/>
    <col min="1271" max="1271" width="7.5703125" style="10" customWidth="1"/>
    <col min="1272" max="1272" width="9.140625" style="10"/>
    <col min="1273" max="1273" width="9.140625" style="10" customWidth="1"/>
    <col min="1274" max="1274" width="9.140625" style="10"/>
    <col min="1275" max="1275" width="8.7109375" style="10" customWidth="1"/>
    <col min="1276" max="1276" width="7.42578125" style="10" customWidth="1"/>
    <col min="1277" max="1277" width="7.5703125" style="10" customWidth="1"/>
    <col min="1278" max="1278" width="9.140625" style="10" customWidth="1"/>
    <col min="1279" max="1279" width="9.140625" style="10"/>
    <col min="1280" max="1280" width="10" style="10" customWidth="1"/>
    <col min="1281" max="1281" width="7.85546875" style="10" customWidth="1"/>
    <col min="1282" max="1282" width="6.140625" style="10" customWidth="1"/>
    <col min="1283" max="1283" width="8.7109375" style="10" customWidth="1"/>
    <col min="1284" max="1523" width="9.140625" style="10"/>
    <col min="1524" max="1524" width="13.42578125" style="10" customWidth="1"/>
    <col min="1525" max="1525" width="9.140625" style="10"/>
    <col min="1526" max="1526" width="17" style="10" customWidth="1"/>
    <col min="1527" max="1527" width="7.5703125" style="10" customWidth="1"/>
    <col min="1528" max="1528" width="9.140625" style="10"/>
    <col min="1529" max="1529" width="9.140625" style="10" customWidth="1"/>
    <col min="1530" max="1530" width="9.140625" style="10"/>
    <col min="1531" max="1531" width="8.7109375" style="10" customWidth="1"/>
    <col min="1532" max="1532" width="7.42578125" style="10" customWidth="1"/>
    <col min="1533" max="1533" width="7.5703125" style="10" customWidth="1"/>
    <col min="1534" max="1534" width="9.140625" style="10" customWidth="1"/>
    <col min="1535" max="1535" width="9.140625" style="10"/>
    <col min="1536" max="1536" width="10" style="10" customWidth="1"/>
    <col min="1537" max="1537" width="7.85546875" style="10" customWidth="1"/>
    <col min="1538" max="1538" width="6.140625" style="10" customWidth="1"/>
    <col min="1539" max="1539" width="8.7109375" style="10" customWidth="1"/>
    <col min="1540" max="1779" width="9.140625" style="10"/>
    <col min="1780" max="1780" width="13.42578125" style="10" customWidth="1"/>
    <col min="1781" max="1781" width="9.140625" style="10"/>
    <col min="1782" max="1782" width="17" style="10" customWidth="1"/>
    <col min="1783" max="1783" width="7.5703125" style="10" customWidth="1"/>
    <col min="1784" max="1784" width="9.140625" style="10"/>
    <col min="1785" max="1785" width="9.140625" style="10" customWidth="1"/>
    <col min="1786" max="1786" width="9.140625" style="10"/>
    <col min="1787" max="1787" width="8.7109375" style="10" customWidth="1"/>
    <col min="1788" max="1788" width="7.42578125" style="10" customWidth="1"/>
    <col min="1789" max="1789" width="7.5703125" style="10" customWidth="1"/>
    <col min="1790" max="1790" width="9.140625" style="10" customWidth="1"/>
    <col min="1791" max="1791" width="9.140625" style="10"/>
    <col min="1792" max="1792" width="10" style="10" customWidth="1"/>
    <col min="1793" max="1793" width="7.85546875" style="10" customWidth="1"/>
    <col min="1794" max="1794" width="6.140625" style="10" customWidth="1"/>
    <col min="1795" max="1795" width="8.7109375" style="10" customWidth="1"/>
    <col min="1796" max="2035" width="9.140625" style="10"/>
    <col min="2036" max="2036" width="13.42578125" style="10" customWidth="1"/>
    <col min="2037" max="2037" width="9.140625" style="10"/>
    <col min="2038" max="2038" width="17" style="10" customWidth="1"/>
    <col min="2039" max="2039" width="7.5703125" style="10" customWidth="1"/>
    <col min="2040" max="2040" width="9.140625" style="10"/>
    <col min="2041" max="2041" width="9.140625" style="10" customWidth="1"/>
    <col min="2042" max="2042" width="9.140625" style="10"/>
    <col min="2043" max="2043" width="8.7109375" style="10" customWidth="1"/>
    <col min="2044" max="2044" width="7.42578125" style="10" customWidth="1"/>
    <col min="2045" max="2045" width="7.5703125" style="10" customWidth="1"/>
    <col min="2046" max="2046" width="9.140625" style="10" customWidth="1"/>
    <col min="2047" max="2047" width="9.140625" style="10"/>
    <col min="2048" max="2048" width="10" style="10" customWidth="1"/>
    <col min="2049" max="2049" width="7.85546875" style="10" customWidth="1"/>
    <col min="2050" max="2050" width="6.140625" style="10" customWidth="1"/>
    <col min="2051" max="2051" width="8.7109375" style="10" customWidth="1"/>
    <col min="2052" max="2291" width="9.140625" style="10"/>
    <col min="2292" max="2292" width="13.42578125" style="10" customWidth="1"/>
    <col min="2293" max="2293" width="9.140625" style="10"/>
    <col min="2294" max="2294" width="17" style="10" customWidth="1"/>
    <col min="2295" max="2295" width="7.5703125" style="10" customWidth="1"/>
    <col min="2296" max="2296" width="9.140625" style="10"/>
    <col min="2297" max="2297" width="9.140625" style="10" customWidth="1"/>
    <col min="2298" max="2298" width="9.140625" style="10"/>
    <col min="2299" max="2299" width="8.7109375" style="10" customWidth="1"/>
    <col min="2300" max="2300" width="7.42578125" style="10" customWidth="1"/>
    <col min="2301" max="2301" width="7.5703125" style="10" customWidth="1"/>
    <col min="2302" max="2302" width="9.140625" style="10" customWidth="1"/>
    <col min="2303" max="2303" width="9.140625" style="10"/>
    <col min="2304" max="2304" width="10" style="10" customWidth="1"/>
    <col min="2305" max="2305" width="7.85546875" style="10" customWidth="1"/>
    <col min="2306" max="2306" width="6.140625" style="10" customWidth="1"/>
    <col min="2307" max="2307" width="8.7109375" style="10" customWidth="1"/>
    <col min="2308" max="2547" width="9.140625" style="10"/>
    <col min="2548" max="2548" width="13.42578125" style="10" customWidth="1"/>
    <col min="2549" max="2549" width="9.140625" style="10"/>
    <col min="2550" max="2550" width="17" style="10" customWidth="1"/>
    <col min="2551" max="2551" width="7.5703125" style="10" customWidth="1"/>
    <col min="2552" max="2552" width="9.140625" style="10"/>
    <col min="2553" max="2553" width="9.140625" style="10" customWidth="1"/>
    <col min="2554" max="2554" width="9.140625" style="10"/>
    <col min="2555" max="2555" width="8.7109375" style="10" customWidth="1"/>
    <col min="2556" max="2556" width="7.42578125" style="10" customWidth="1"/>
    <col min="2557" max="2557" width="7.5703125" style="10" customWidth="1"/>
    <col min="2558" max="2558" width="9.140625" style="10" customWidth="1"/>
    <col min="2559" max="2559" width="9.140625" style="10"/>
    <col min="2560" max="2560" width="10" style="10" customWidth="1"/>
    <col min="2561" max="2561" width="7.85546875" style="10" customWidth="1"/>
    <col min="2562" max="2562" width="6.140625" style="10" customWidth="1"/>
    <col min="2563" max="2563" width="8.7109375" style="10" customWidth="1"/>
    <col min="2564" max="2803" width="9.140625" style="10"/>
    <col min="2804" max="2804" width="13.42578125" style="10" customWidth="1"/>
    <col min="2805" max="2805" width="9.140625" style="10"/>
    <col min="2806" max="2806" width="17" style="10" customWidth="1"/>
    <col min="2807" max="2807" width="7.5703125" style="10" customWidth="1"/>
    <col min="2808" max="2808" width="9.140625" style="10"/>
    <col min="2809" max="2809" width="9.140625" style="10" customWidth="1"/>
    <col min="2810" max="2810" width="9.140625" style="10"/>
    <col min="2811" max="2811" width="8.7109375" style="10" customWidth="1"/>
    <col min="2812" max="2812" width="7.42578125" style="10" customWidth="1"/>
    <col min="2813" max="2813" width="7.5703125" style="10" customWidth="1"/>
    <col min="2814" max="2814" width="9.140625" style="10" customWidth="1"/>
    <col min="2815" max="2815" width="9.140625" style="10"/>
    <col min="2816" max="2816" width="10" style="10" customWidth="1"/>
    <col min="2817" max="2817" width="7.85546875" style="10" customWidth="1"/>
    <col min="2818" max="2818" width="6.140625" style="10" customWidth="1"/>
    <col min="2819" max="2819" width="8.7109375" style="10" customWidth="1"/>
    <col min="2820" max="3059" width="9.140625" style="10"/>
    <col min="3060" max="3060" width="13.42578125" style="10" customWidth="1"/>
    <col min="3061" max="3061" width="9.140625" style="10"/>
    <col min="3062" max="3062" width="17" style="10" customWidth="1"/>
    <col min="3063" max="3063" width="7.5703125" style="10" customWidth="1"/>
    <col min="3064" max="3064" width="9.140625" style="10"/>
    <col min="3065" max="3065" width="9.140625" style="10" customWidth="1"/>
    <col min="3066" max="3066" width="9.140625" style="10"/>
    <col min="3067" max="3067" width="8.7109375" style="10" customWidth="1"/>
    <col min="3068" max="3068" width="7.42578125" style="10" customWidth="1"/>
    <col min="3069" max="3069" width="7.5703125" style="10" customWidth="1"/>
    <col min="3070" max="3070" width="9.140625" style="10" customWidth="1"/>
    <col min="3071" max="3071" width="9.140625" style="10"/>
    <col min="3072" max="3072" width="10" style="10" customWidth="1"/>
    <col min="3073" max="3073" width="7.85546875" style="10" customWidth="1"/>
    <col min="3074" max="3074" width="6.140625" style="10" customWidth="1"/>
    <col min="3075" max="3075" width="8.7109375" style="10" customWidth="1"/>
    <col min="3076" max="3315" width="9.140625" style="10"/>
    <col min="3316" max="3316" width="13.42578125" style="10" customWidth="1"/>
    <col min="3317" max="3317" width="9.140625" style="10"/>
    <col min="3318" max="3318" width="17" style="10" customWidth="1"/>
    <col min="3319" max="3319" width="7.5703125" style="10" customWidth="1"/>
    <col min="3320" max="3320" width="9.140625" style="10"/>
    <col min="3321" max="3321" width="9.140625" style="10" customWidth="1"/>
    <col min="3322" max="3322" width="9.140625" style="10"/>
    <col min="3323" max="3323" width="8.7109375" style="10" customWidth="1"/>
    <col min="3324" max="3324" width="7.42578125" style="10" customWidth="1"/>
    <col min="3325" max="3325" width="7.5703125" style="10" customWidth="1"/>
    <col min="3326" max="3326" width="9.140625" style="10" customWidth="1"/>
    <col min="3327" max="3327" width="9.140625" style="10"/>
    <col min="3328" max="3328" width="10" style="10" customWidth="1"/>
    <col min="3329" max="3329" width="7.85546875" style="10" customWidth="1"/>
    <col min="3330" max="3330" width="6.140625" style="10" customWidth="1"/>
    <col min="3331" max="3331" width="8.7109375" style="10" customWidth="1"/>
    <col min="3332" max="3571" width="9.140625" style="10"/>
    <col min="3572" max="3572" width="13.42578125" style="10" customWidth="1"/>
    <col min="3573" max="3573" width="9.140625" style="10"/>
    <col min="3574" max="3574" width="17" style="10" customWidth="1"/>
    <col min="3575" max="3575" width="7.5703125" style="10" customWidth="1"/>
    <col min="3576" max="3576" width="9.140625" style="10"/>
    <col min="3577" max="3577" width="9.140625" style="10" customWidth="1"/>
    <col min="3578" max="3578" width="9.140625" style="10"/>
    <col min="3579" max="3579" width="8.7109375" style="10" customWidth="1"/>
    <col min="3580" max="3580" width="7.42578125" style="10" customWidth="1"/>
    <col min="3581" max="3581" width="7.5703125" style="10" customWidth="1"/>
    <col min="3582" max="3582" width="9.140625" style="10" customWidth="1"/>
    <col min="3583" max="3583" width="9.140625" style="10"/>
    <col min="3584" max="3584" width="10" style="10" customWidth="1"/>
    <col min="3585" max="3585" width="7.85546875" style="10" customWidth="1"/>
    <col min="3586" max="3586" width="6.140625" style="10" customWidth="1"/>
    <col min="3587" max="3587" width="8.7109375" style="10" customWidth="1"/>
    <col min="3588" max="3827" width="9.140625" style="10"/>
    <col min="3828" max="3828" width="13.42578125" style="10" customWidth="1"/>
    <col min="3829" max="3829" width="9.140625" style="10"/>
    <col min="3830" max="3830" width="17" style="10" customWidth="1"/>
    <col min="3831" max="3831" width="7.5703125" style="10" customWidth="1"/>
    <col min="3832" max="3832" width="9.140625" style="10"/>
    <col min="3833" max="3833" width="9.140625" style="10" customWidth="1"/>
    <col min="3834" max="3834" width="9.140625" style="10"/>
    <col min="3835" max="3835" width="8.7109375" style="10" customWidth="1"/>
    <col min="3836" max="3836" width="7.42578125" style="10" customWidth="1"/>
    <col min="3837" max="3837" width="7.5703125" style="10" customWidth="1"/>
    <col min="3838" max="3838" width="9.140625" style="10" customWidth="1"/>
    <col min="3839" max="3839" width="9.140625" style="10"/>
    <col min="3840" max="3840" width="10" style="10" customWidth="1"/>
    <col min="3841" max="3841" width="7.85546875" style="10" customWidth="1"/>
    <col min="3842" max="3842" width="6.140625" style="10" customWidth="1"/>
    <col min="3843" max="3843" width="8.7109375" style="10" customWidth="1"/>
    <col min="3844" max="4083" width="9.140625" style="10"/>
    <col min="4084" max="4084" width="13.42578125" style="10" customWidth="1"/>
    <col min="4085" max="4085" width="9.140625" style="10"/>
    <col min="4086" max="4086" width="17" style="10" customWidth="1"/>
    <col min="4087" max="4087" width="7.5703125" style="10" customWidth="1"/>
    <col min="4088" max="4088" width="9.140625" style="10"/>
    <col min="4089" max="4089" width="9.140625" style="10" customWidth="1"/>
    <col min="4090" max="4090" width="9.140625" style="10"/>
    <col min="4091" max="4091" width="8.7109375" style="10" customWidth="1"/>
    <col min="4092" max="4092" width="7.42578125" style="10" customWidth="1"/>
    <col min="4093" max="4093" width="7.5703125" style="10" customWidth="1"/>
    <col min="4094" max="4094" width="9.140625" style="10" customWidth="1"/>
    <col min="4095" max="4095" width="9.140625" style="10"/>
    <col min="4096" max="4096" width="10" style="10" customWidth="1"/>
    <col min="4097" max="4097" width="7.85546875" style="10" customWidth="1"/>
    <col min="4098" max="4098" width="6.140625" style="10" customWidth="1"/>
    <col min="4099" max="4099" width="8.7109375" style="10" customWidth="1"/>
    <col min="4100" max="4339" width="9.140625" style="10"/>
    <col min="4340" max="4340" width="13.42578125" style="10" customWidth="1"/>
    <col min="4341" max="4341" width="9.140625" style="10"/>
    <col min="4342" max="4342" width="17" style="10" customWidth="1"/>
    <col min="4343" max="4343" width="7.5703125" style="10" customWidth="1"/>
    <col min="4344" max="4344" width="9.140625" style="10"/>
    <col min="4345" max="4345" width="9.140625" style="10" customWidth="1"/>
    <col min="4346" max="4346" width="9.140625" style="10"/>
    <col min="4347" max="4347" width="8.7109375" style="10" customWidth="1"/>
    <col min="4348" max="4348" width="7.42578125" style="10" customWidth="1"/>
    <col min="4349" max="4349" width="7.5703125" style="10" customWidth="1"/>
    <col min="4350" max="4350" width="9.140625" style="10" customWidth="1"/>
    <col min="4351" max="4351" width="9.140625" style="10"/>
    <col min="4352" max="4352" width="10" style="10" customWidth="1"/>
    <col min="4353" max="4353" width="7.85546875" style="10" customWidth="1"/>
    <col min="4354" max="4354" width="6.140625" style="10" customWidth="1"/>
    <col min="4355" max="4355" width="8.7109375" style="10" customWidth="1"/>
    <col min="4356" max="4595" width="9.140625" style="10"/>
    <col min="4596" max="4596" width="13.42578125" style="10" customWidth="1"/>
    <col min="4597" max="4597" width="9.140625" style="10"/>
    <col min="4598" max="4598" width="17" style="10" customWidth="1"/>
    <col min="4599" max="4599" width="7.5703125" style="10" customWidth="1"/>
    <col min="4600" max="4600" width="9.140625" style="10"/>
    <col min="4601" max="4601" width="9.140625" style="10" customWidth="1"/>
    <col min="4602" max="4602" width="9.140625" style="10"/>
    <col min="4603" max="4603" width="8.7109375" style="10" customWidth="1"/>
    <col min="4604" max="4604" width="7.42578125" style="10" customWidth="1"/>
    <col min="4605" max="4605" width="7.5703125" style="10" customWidth="1"/>
    <col min="4606" max="4606" width="9.140625" style="10" customWidth="1"/>
    <col min="4607" max="4607" width="9.140625" style="10"/>
    <col min="4608" max="4608" width="10" style="10" customWidth="1"/>
    <col min="4609" max="4609" width="7.85546875" style="10" customWidth="1"/>
    <col min="4610" max="4610" width="6.140625" style="10" customWidth="1"/>
    <col min="4611" max="4611" width="8.7109375" style="10" customWidth="1"/>
    <col min="4612" max="4851" width="9.140625" style="10"/>
    <col min="4852" max="4852" width="13.42578125" style="10" customWidth="1"/>
    <col min="4853" max="4853" width="9.140625" style="10"/>
    <col min="4854" max="4854" width="17" style="10" customWidth="1"/>
    <col min="4855" max="4855" width="7.5703125" style="10" customWidth="1"/>
    <col min="4856" max="4856" width="9.140625" style="10"/>
    <col min="4857" max="4857" width="9.140625" style="10" customWidth="1"/>
    <col min="4858" max="4858" width="9.140625" style="10"/>
    <col min="4859" max="4859" width="8.7109375" style="10" customWidth="1"/>
    <col min="4860" max="4860" width="7.42578125" style="10" customWidth="1"/>
    <col min="4861" max="4861" width="7.5703125" style="10" customWidth="1"/>
    <col min="4862" max="4862" width="9.140625" style="10" customWidth="1"/>
    <col min="4863" max="4863" width="9.140625" style="10"/>
    <col min="4864" max="4864" width="10" style="10" customWidth="1"/>
    <col min="4865" max="4865" width="7.85546875" style="10" customWidth="1"/>
    <col min="4866" max="4866" width="6.140625" style="10" customWidth="1"/>
    <col min="4867" max="4867" width="8.7109375" style="10" customWidth="1"/>
    <col min="4868" max="5107" width="9.140625" style="10"/>
    <col min="5108" max="5108" width="13.42578125" style="10" customWidth="1"/>
    <col min="5109" max="5109" width="9.140625" style="10"/>
    <col min="5110" max="5110" width="17" style="10" customWidth="1"/>
    <col min="5111" max="5111" width="7.5703125" style="10" customWidth="1"/>
    <col min="5112" max="5112" width="9.140625" style="10"/>
    <col min="5113" max="5113" width="9.140625" style="10" customWidth="1"/>
    <col min="5114" max="5114" width="9.140625" style="10"/>
    <col min="5115" max="5115" width="8.7109375" style="10" customWidth="1"/>
    <col min="5116" max="5116" width="7.42578125" style="10" customWidth="1"/>
    <col min="5117" max="5117" width="7.5703125" style="10" customWidth="1"/>
    <col min="5118" max="5118" width="9.140625" style="10" customWidth="1"/>
    <col min="5119" max="5119" width="9.140625" style="10"/>
    <col min="5120" max="5120" width="10" style="10" customWidth="1"/>
    <col min="5121" max="5121" width="7.85546875" style="10" customWidth="1"/>
    <col min="5122" max="5122" width="6.140625" style="10" customWidth="1"/>
    <col min="5123" max="5123" width="8.7109375" style="10" customWidth="1"/>
    <col min="5124" max="5363" width="9.140625" style="10"/>
    <col min="5364" max="5364" width="13.42578125" style="10" customWidth="1"/>
    <col min="5365" max="5365" width="9.140625" style="10"/>
    <col min="5366" max="5366" width="17" style="10" customWidth="1"/>
    <col min="5367" max="5367" width="7.5703125" style="10" customWidth="1"/>
    <col min="5368" max="5368" width="9.140625" style="10"/>
    <col min="5369" max="5369" width="9.140625" style="10" customWidth="1"/>
    <col min="5370" max="5370" width="9.140625" style="10"/>
    <col min="5371" max="5371" width="8.7109375" style="10" customWidth="1"/>
    <col min="5372" max="5372" width="7.42578125" style="10" customWidth="1"/>
    <col min="5373" max="5373" width="7.5703125" style="10" customWidth="1"/>
    <col min="5374" max="5374" width="9.140625" style="10" customWidth="1"/>
    <col min="5375" max="5375" width="9.140625" style="10"/>
    <col min="5376" max="5376" width="10" style="10" customWidth="1"/>
    <col min="5377" max="5377" width="7.85546875" style="10" customWidth="1"/>
    <col min="5378" max="5378" width="6.140625" style="10" customWidth="1"/>
    <col min="5379" max="5379" width="8.7109375" style="10" customWidth="1"/>
    <col min="5380" max="5619" width="9.140625" style="10"/>
    <col min="5620" max="5620" width="13.42578125" style="10" customWidth="1"/>
    <col min="5621" max="5621" width="9.140625" style="10"/>
    <col min="5622" max="5622" width="17" style="10" customWidth="1"/>
    <col min="5623" max="5623" width="7.5703125" style="10" customWidth="1"/>
    <col min="5624" max="5624" width="9.140625" style="10"/>
    <col min="5625" max="5625" width="9.140625" style="10" customWidth="1"/>
    <col min="5626" max="5626" width="9.140625" style="10"/>
    <col min="5627" max="5627" width="8.7109375" style="10" customWidth="1"/>
    <col min="5628" max="5628" width="7.42578125" style="10" customWidth="1"/>
    <col min="5629" max="5629" width="7.5703125" style="10" customWidth="1"/>
    <col min="5630" max="5630" width="9.140625" style="10" customWidth="1"/>
    <col min="5631" max="5631" width="9.140625" style="10"/>
    <col min="5632" max="5632" width="10" style="10" customWidth="1"/>
    <col min="5633" max="5633" width="7.85546875" style="10" customWidth="1"/>
    <col min="5634" max="5634" width="6.140625" style="10" customWidth="1"/>
    <col min="5635" max="5635" width="8.7109375" style="10" customWidth="1"/>
    <col min="5636" max="5875" width="9.140625" style="10"/>
    <col min="5876" max="5876" width="13.42578125" style="10" customWidth="1"/>
    <col min="5877" max="5877" width="9.140625" style="10"/>
    <col min="5878" max="5878" width="17" style="10" customWidth="1"/>
    <col min="5879" max="5879" width="7.5703125" style="10" customWidth="1"/>
    <col min="5880" max="5880" width="9.140625" style="10"/>
    <col min="5881" max="5881" width="9.140625" style="10" customWidth="1"/>
    <col min="5882" max="5882" width="9.140625" style="10"/>
    <col min="5883" max="5883" width="8.7109375" style="10" customWidth="1"/>
    <col min="5884" max="5884" width="7.42578125" style="10" customWidth="1"/>
    <col min="5885" max="5885" width="7.5703125" style="10" customWidth="1"/>
    <col min="5886" max="5886" width="9.140625" style="10" customWidth="1"/>
    <col min="5887" max="5887" width="9.140625" style="10"/>
    <col min="5888" max="5888" width="10" style="10" customWidth="1"/>
    <col min="5889" max="5889" width="7.85546875" style="10" customWidth="1"/>
    <col min="5890" max="5890" width="6.140625" style="10" customWidth="1"/>
    <col min="5891" max="5891" width="8.7109375" style="10" customWidth="1"/>
    <col min="5892" max="6131" width="9.140625" style="10"/>
    <col min="6132" max="6132" width="13.42578125" style="10" customWidth="1"/>
    <col min="6133" max="6133" width="9.140625" style="10"/>
    <col min="6134" max="6134" width="17" style="10" customWidth="1"/>
    <col min="6135" max="6135" width="7.5703125" style="10" customWidth="1"/>
    <col min="6136" max="6136" width="9.140625" style="10"/>
    <col min="6137" max="6137" width="9.140625" style="10" customWidth="1"/>
    <col min="6138" max="6138" width="9.140625" style="10"/>
    <col min="6139" max="6139" width="8.7109375" style="10" customWidth="1"/>
    <col min="6140" max="6140" width="7.42578125" style="10" customWidth="1"/>
    <col min="6141" max="6141" width="7.5703125" style="10" customWidth="1"/>
    <col min="6142" max="6142" width="9.140625" style="10" customWidth="1"/>
    <col min="6143" max="6143" width="9.140625" style="10"/>
    <col min="6144" max="6144" width="10" style="10" customWidth="1"/>
    <col min="6145" max="6145" width="7.85546875" style="10" customWidth="1"/>
    <col min="6146" max="6146" width="6.140625" style="10" customWidth="1"/>
    <col min="6147" max="6147" width="8.7109375" style="10" customWidth="1"/>
    <col min="6148" max="6387" width="9.140625" style="10"/>
    <col min="6388" max="6388" width="13.42578125" style="10" customWidth="1"/>
    <col min="6389" max="6389" width="9.140625" style="10"/>
    <col min="6390" max="6390" width="17" style="10" customWidth="1"/>
    <col min="6391" max="6391" width="7.5703125" style="10" customWidth="1"/>
    <col min="6392" max="6392" width="9.140625" style="10"/>
    <col min="6393" max="6393" width="9.140625" style="10" customWidth="1"/>
    <col min="6394" max="6394" width="9.140625" style="10"/>
    <col min="6395" max="6395" width="8.7109375" style="10" customWidth="1"/>
    <col min="6396" max="6396" width="7.42578125" style="10" customWidth="1"/>
    <col min="6397" max="6397" width="7.5703125" style="10" customWidth="1"/>
    <col min="6398" max="6398" width="9.140625" style="10" customWidth="1"/>
    <col min="6399" max="6399" width="9.140625" style="10"/>
    <col min="6400" max="6400" width="10" style="10" customWidth="1"/>
    <col min="6401" max="6401" width="7.85546875" style="10" customWidth="1"/>
    <col min="6402" max="6402" width="6.140625" style="10" customWidth="1"/>
    <col min="6403" max="6403" width="8.7109375" style="10" customWidth="1"/>
    <col min="6404" max="6643" width="9.140625" style="10"/>
    <col min="6644" max="6644" width="13.42578125" style="10" customWidth="1"/>
    <col min="6645" max="6645" width="9.140625" style="10"/>
    <col min="6646" max="6646" width="17" style="10" customWidth="1"/>
    <col min="6647" max="6647" width="7.5703125" style="10" customWidth="1"/>
    <col min="6648" max="6648" width="9.140625" style="10"/>
    <col min="6649" max="6649" width="9.140625" style="10" customWidth="1"/>
    <col min="6650" max="6650" width="9.140625" style="10"/>
    <col min="6651" max="6651" width="8.7109375" style="10" customWidth="1"/>
    <col min="6652" max="6652" width="7.42578125" style="10" customWidth="1"/>
    <col min="6653" max="6653" width="7.5703125" style="10" customWidth="1"/>
    <col min="6654" max="6654" width="9.140625" style="10" customWidth="1"/>
    <col min="6655" max="6655" width="9.140625" style="10"/>
    <col min="6656" max="6656" width="10" style="10" customWidth="1"/>
    <col min="6657" max="6657" width="7.85546875" style="10" customWidth="1"/>
    <col min="6658" max="6658" width="6.140625" style="10" customWidth="1"/>
    <col min="6659" max="6659" width="8.7109375" style="10" customWidth="1"/>
    <col min="6660" max="6899" width="9.140625" style="10"/>
    <col min="6900" max="6900" width="13.42578125" style="10" customWidth="1"/>
    <col min="6901" max="6901" width="9.140625" style="10"/>
    <col min="6902" max="6902" width="17" style="10" customWidth="1"/>
    <col min="6903" max="6903" width="7.5703125" style="10" customWidth="1"/>
    <col min="6904" max="6904" width="9.140625" style="10"/>
    <col min="6905" max="6905" width="9.140625" style="10" customWidth="1"/>
    <col min="6906" max="6906" width="9.140625" style="10"/>
    <col min="6907" max="6907" width="8.7109375" style="10" customWidth="1"/>
    <col min="6908" max="6908" width="7.42578125" style="10" customWidth="1"/>
    <col min="6909" max="6909" width="7.5703125" style="10" customWidth="1"/>
    <col min="6910" max="6910" width="9.140625" style="10" customWidth="1"/>
    <col min="6911" max="6911" width="9.140625" style="10"/>
    <col min="6912" max="6912" width="10" style="10" customWidth="1"/>
    <col min="6913" max="6913" width="7.85546875" style="10" customWidth="1"/>
    <col min="6914" max="6914" width="6.140625" style="10" customWidth="1"/>
    <col min="6915" max="6915" width="8.7109375" style="10" customWidth="1"/>
    <col min="6916" max="7155" width="9.140625" style="10"/>
    <col min="7156" max="7156" width="13.42578125" style="10" customWidth="1"/>
    <col min="7157" max="7157" width="9.140625" style="10"/>
    <col min="7158" max="7158" width="17" style="10" customWidth="1"/>
    <col min="7159" max="7159" width="7.5703125" style="10" customWidth="1"/>
    <col min="7160" max="7160" width="9.140625" style="10"/>
    <col min="7161" max="7161" width="9.140625" style="10" customWidth="1"/>
    <col min="7162" max="7162" width="9.140625" style="10"/>
    <col min="7163" max="7163" width="8.7109375" style="10" customWidth="1"/>
    <col min="7164" max="7164" width="7.42578125" style="10" customWidth="1"/>
    <col min="7165" max="7165" width="7.5703125" style="10" customWidth="1"/>
    <col min="7166" max="7166" width="9.140625" style="10" customWidth="1"/>
    <col min="7167" max="7167" width="9.140625" style="10"/>
    <col min="7168" max="7168" width="10" style="10" customWidth="1"/>
    <col min="7169" max="7169" width="7.85546875" style="10" customWidth="1"/>
    <col min="7170" max="7170" width="6.140625" style="10" customWidth="1"/>
    <col min="7171" max="7171" width="8.7109375" style="10" customWidth="1"/>
    <col min="7172" max="7411" width="9.140625" style="10"/>
    <col min="7412" max="7412" width="13.42578125" style="10" customWidth="1"/>
    <col min="7413" max="7413" width="9.140625" style="10"/>
    <col min="7414" max="7414" width="17" style="10" customWidth="1"/>
    <col min="7415" max="7415" width="7.5703125" style="10" customWidth="1"/>
    <col min="7416" max="7416" width="9.140625" style="10"/>
    <col min="7417" max="7417" width="9.140625" style="10" customWidth="1"/>
    <col min="7418" max="7418" width="9.140625" style="10"/>
    <col min="7419" max="7419" width="8.7109375" style="10" customWidth="1"/>
    <col min="7420" max="7420" width="7.42578125" style="10" customWidth="1"/>
    <col min="7421" max="7421" width="7.5703125" style="10" customWidth="1"/>
    <col min="7422" max="7422" width="9.140625" style="10" customWidth="1"/>
    <col min="7423" max="7423" width="9.140625" style="10"/>
    <col min="7424" max="7424" width="10" style="10" customWidth="1"/>
    <col min="7425" max="7425" width="7.85546875" style="10" customWidth="1"/>
    <col min="7426" max="7426" width="6.140625" style="10" customWidth="1"/>
    <col min="7427" max="7427" width="8.7109375" style="10" customWidth="1"/>
    <col min="7428" max="7667" width="9.140625" style="10"/>
    <col min="7668" max="7668" width="13.42578125" style="10" customWidth="1"/>
    <col min="7669" max="7669" width="9.140625" style="10"/>
    <col min="7670" max="7670" width="17" style="10" customWidth="1"/>
    <col min="7671" max="7671" width="7.5703125" style="10" customWidth="1"/>
    <col min="7672" max="7672" width="9.140625" style="10"/>
    <col min="7673" max="7673" width="9.140625" style="10" customWidth="1"/>
    <col min="7674" max="7674" width="9.140625" style="10"/>
    <col min="7675" max="7675" width="8.7109375" style="10" customWidth="1"/>
    <col min="7676" max="7676" width="7.42578125" style="10" customWidth="1"/>
    <col min="7677" max="7677" width="7.5703125" style="10" customWidth="1"/>
    <col min="7678" max="7678" width="9.140625" style="10" customWidth="1"/>
    <col min="7679" max="7679" width="9.140625" style="10"/>
    <col min="7680" max="7680" width="10" style="10" customWidth="1"/>
    <col min="7681" max="7681" width="7.85546875" style="10" customWidth="1"/>
    <col min="7682" max="7682" width="6.140625" style="10" customWidth="1"/>
    <col min="7683" max="7683" width="8.7109375" style="10" customWidth="1"/>
    <col min="7684" max="7923" width="9.140625" style="10"/>
    <col min="7924" max="7924" width="13.42578125" style="10" customWidth="1"/>
    <col min="7925" max="7925" width="9.140625" style="10"/>
    <col min="7926" max="7926" width="17" style="10" customWidth="1"/>
    <col min="7927" max="7927" width="7.5703125" style="10" customWidth="1"/>
    <col min="7928" max="7928" width="9.140625" style="10"/>
    <col min="7929" max="7929" width="9.140625" style="10" customWidth="1"/>
    <col min="7930" max="7930" width="9.140625" style="10"/>
    <col min="7931" max="7931" width="8.7109375" style="10" customWidth="1"/>
    <col min="7932" max="7932" width="7.42578125" style="10" customWidth="1"/>
    <col min="7933" max="7933" width="7.5703125" style="10" customWidth="1"/>
    <col min="7934" max="7934" width="9.140625" style="10" customWidth="1"/>
    <col min="7935" max="7935" width="9.140625" style="10"/>
    <col min="7936" max="7936" width="10" style="10" customWidth="1"/>
    <col min="7937" max="7937" width="7.85546875" style="10" customWidth="1"/>
    <col min="7938" max="7938" width="6.140625" style="10" customWidth="1"/>
    <col min="7939" max="7939" width="8.7109375" style="10" customWidth="1"/>
    <col min="7940" max="8179" width="9.140625" style="10"/>
    <col min="8180" max="8180" width="13.42578125" style="10" customWidth="1"/>
    <col min="8181" max="8181" width="9.140625" style="10"/>
    <col min="8182" max="8182" width="17" style="10" customWidth="1"/>
    <col min="8183" max="8183" width="7.5703125" style="10" customWidth="1"/>
    <col min="8184" max="8184" width="9.140625" style="10"/>
    <col min="8185" max="8185" width="9.140625" style="10" customWidth="1"/>
    <col min="8186" max="8186" width="9.140625" style="10"/>
    <col min="8187" max="8187" width="8.7109375" style="10" customWidth="1"/>
    <col min="8188" max="8188" width="7.42578125" style="10" customWidth="1"/>
    <col min="8189" max="8189" width="7.5703125" style="10" customWidth="1"/>
    <col min="8190" max="8190" width="9.140625" style="10" customWidth="1"/>
    <col min="8191" max="8191" width="9.140625" style="10"/>
    <col min="8192" max="8192" width="10" style="10" customWidth="1"/>
    <col min="8193" max="8193" width="7.85546875" style="10" customWidth="1"/>
    <col min="8194" max="8194" width="6.140625" style="10" customWidth="1"/>
    <col min="8195" max="8195" width="8.7109375" style="10" customWidth="1"/>
    <col min="8196" max="8435" width="9.140625" style="10"/>
    <col min="8436" max="8436" width="13.42578125" style="10" customWidth="1"/>
    <col min="8437" max="8437" width="9.140625" style="10"/>
    <col min="8438" max="8438" width="17" style="10" customWidth="1"/>
    <col min="8439" max="8439" width="7.5703125" style="10" customWidth="1"/>
    <col min="8440" max="8440" width="9.140625" style="10"/>
    <col min="8441" max="8441" width="9.140625" style="10" customWidth="1"/>
    <col min="8442" max="8442" width="9.140625" style="10"/>
    <col min="8443" max="8443" width="8.7109375" style="10" customWidth="1"/>
    <col min="8444" max="8444" width="7.42578125" style="10" customWidth="1"/>
    <col min="8445" max="8445" width="7.5703125" style="10" customWidth="1"/>
    <col min="8446" max="8446" width="9.140625" style="10" customWidth="1"/>
    <col min="8447" max="8447" width="9.140625" style="10"/>
    <col min="8448" max="8448" width="10" style="10" customWidth="1"/>
    <col min="8449" max="8449" width="7.85546875" style="10" customWidth="1"/>
    <col min="8450" max="8450" width="6.140625" style="10" customWidth="1"/>
    <col min="8451" max="8451" width="8.7109375" style="10" customWidth="1"/>
    <col min="8452" max="8691" width="9.140625" style="10"/>
    <col min="8692" max="8692" width="13.42578125" style="10" customWidth="1"/>
    <col min="8693" max="8693" width="9.140625" style="10"/>
    <col min="8694" max="8694" width="17" style="10" customWidth="1"/>
    <col min="8695" max="8695" width="7.5703125" style="10" customWidth="1"/>
    <col min="8696" max="8696" width="9.140625" style="10"/>
    <col min="8697" max="8697" width="9.140625" style="10" customWidth="1"/>
    <col min="8698" max="8698" width="9.140625" style="10"/>
    <col min="8699" max="8699" width="8.7109375" style="10" customWidth="1"/>
    <col min="8700" max="8700" width="7.42578125" style="10" customWidth="1"/>
    <col min="8701" max="8701" width="7.5703125" style="10" customWidth="1"/>
    <col min="8702" max="8702" width="9.140625" style="10" customWidth="1"/>
    <col min="8703" max="8703" width="9.140625" style="10"/>
    <col min="8704" max="8704" width="10" style="10" customWidth="1"/>
    <col min="8705" max="8705" width="7.85546875" style="10" customWidth="1"/>
    <col min="8706" max="8706" width="6.140625" style="10" customWidth="1"/>
    <col min="8707" max="8707" width="8.7109375" style="10" customWidth="1"/>
    <col min="8708" max="8947" width="9.140625" style="10"/>
    <col min="8948" max="8948" width="13.42578125" style="10" customWidth="1"/>
    <col min="8949" max="8949" width="9.140625" style="10"/>
    <col min="8950" max="8950" width="17" style="10" customWidth="1"/>
    <col min="8951" max="8951" width="7.5703125" style="10" customWidth="1"/>
    <col min="8952" max="8952" width="9.140625" style="10"/>
    <col min="8953" max="8953" width="9.140625" style="10" customWidth="1"/>
    <col min="8954" max="8954" width="9.140625" style="10"/>
    <col min="8955" max="8955" width="8.7109375" style="10" customWidth="1"/>
    <col min="8956" max="8956" width="7.42578125" style="10" customWidth="1"/>
    <col min="8957" max="8957" width="7.5703125" style="10" customWidth="1"/>
    <col min="8958" max="8958" width="9.140625" style="10" customWidth="1"/>
    <col min="8959" max="8959" width="9.140625" style="10"/>
    <col min="8960" max="8960" width="10" style="10" customWidth="1"/>
    <col min="8961" max="8961" width="7.85546875" style="10" customWidth="1"/>
    <col min="8962" max="8962" width="6.140625" style="10" customWidth="1"/>
    <col min="8963" max="8963" width="8.7109375" style="10" customWidth="1"/>
    <col min="8964" max="9203" width="9.140625" style="10"/>
    <col min="9204" max="9204" width="13.42578125" style="10" customWidth="1"/>
    <col min="9205" max="9205" width="9.140625" style="10"/>
    <col min="9206" max="9206" width="17" style="10" customWidth="1"/>
    <col min="9207" max="9207" width="7.5703125" style="10" customWidth="1"/>
    <col min="9208" max="9208" width="9.140625" style="10"/>
    <col min="9209" max="9209" width="9.140625" style="10" customWidth="1"/>
    <col min="9210" max="9210" width="9.140625" style="10"/>
    <col min="9211" max="9211" width="8.7109375" style="10" customWidth="1"/>
    <col min="9212" max="9212" width="7.42578125" style="10" customWidth="1"/>
    <col min="9213" max="9213" width="7.5703125" style="10" customWidth="1"/>
    <col min="9214" max="9214" width="9.140625" style="10" customWidth="1"/>
    <col min="9215" max="9215" width="9.140625" style="10"/>
    <col min="9216" max="9216" width="10" style="10" customWidth="1"/>
    <col min="9217" max="9217" width="7.85546875" style="10" customWidth="1"/>
    <col min="9218" max="9218" width="6.140625" style="10" customWidth="1"/>
    <col min="9219" max="9219" width="8.7109375" style="10" customWidth="1"/>
    <col min="9220" max="9459" width="9.140625" style="10"/>
    <col min="9460" max="9460" width="13.42578125" style="10" customWidth="1"/>
    <col min="9461" max="9461" width="9.140625" style="10"/>
    <col min="9462" max="9462" width="17" style="10" customWidth="1"/>
    <col min="9463" max="9463" width="7.5703125" style="10" customWidth="1"/>
    <col min="9464" max="9464" width="9.140625" style="10"/>
    <col min="9465" max="9465" width="9.140625" style="10" customWidth="1"/>
    <col min="9466" max="9466" width="9.140625" style="10"/>
    <col min="9467" max="9467" width="8.7109375" style="10" customWidth="1"/>
    <col min="9468" max="9468" width="7.42578125" style="10" customWidth="1"/>
    <col min="9469" max="9469" width="7.5703125" style="10" customWidth="1"/>
    <col min="9470" max="9470" width="9.140625" style="10" customWidth="1"/>
    <col min="9471" max="9471" width="9.140625" style="10"/>
    <col min="9472" max="9472" width="10" style="10" customWidth="1"/>
    <col min="9473" max="9473" width="7.85546875" style="10" customWidth="1"/>
    <col min="9474" max="9474" width="6.140625" style="10" customWidth="1"/>
    <col min="9475" max="9475" width="8.7109375" style="10" customWidth="1"/>
    <col min="9476" max="9715" width="9.140625" style="10"/>
    <col min="9716" max="9716" width="13.42578125" style="10" customWidth="1"/>
    <col min="9717" max="9717" width="9.140625" style="10"/>
    <col min="9718" max="9718" width="17" style="10" customWidth="1"/>
    <col min="9719" max="9719" width="7.5703125" style="10" customWidth="1"/>
    <col min="9720" max="9720" width="9.140625" style="10"/>
    <col min="9721" max="9721" width="9.140625" style="10" customWidth="1"/>
    <col min="9722" max="9722" width="9.140625" style="10"/>
    <col min="9723" max="9723" width="8.7109375" style="10" customWidth="1"/>
    <col min="9724" max="9724" width="7.42578125" style="10" customWidth="1"/>
    <col min="9725" max="9725" width="7.5703125" style="10" customWidth="1"/>
    <col min="9726" max="9726" width="9.140625" style="10" customWidth="1"/>
    <col min="9727" max="9727" width="9.140625" style="10"/>
    <col min="9728" max="9728" width="10" style="10" customWidth="1"/>
    <col min="9729" max="9729" width="7.85546875" style="10" customWidth="1"/>
    <col min="9730" max="9730" width="6.140625" style="10" customWidth="1"/>
    <col min="9731" max="9731" width="8.7109375" style="10" customWidth="1"/>
    <col min="9732" max="9971" width="9.140625" style="10"/>
    <col min="9972" max="9972" width="13.42578125" style="10" customWidth="1"/>
    <col min="9973" max="9973" width="9.140625" style="10"/>
    <col min="9974" max="9974" width="17" style="10" customWidth="1"/>
    <col min="9975" max="9975" width="7.5703125" style="10" customWidth="1"/>
    <col min="9976" max="9976" width="9.140625" style="10"/>
    <col min="9977" max="9977" width="9.140625" style="10" customWidth="1"/>
    <col min="9978" max="9978" width="9.140625" style="10"/>
    <col min="9979" max="9979" width="8.7109375" style="10" customWidth="1"/>
    <col min="9980" max="9980" width="7.42578125" style="10" customWidth="1"/>
    <col min="9981" max="9981" width="7.5703125" style="10" customWidth="1"/>
    <col min="9982" max="9982" width="9.140625" style="10" customWidth="1"/>
    <col min="9983" max="9983" width="9.140625" style="10"/>
    <col min="9984" max="9984" width="10" style="10" customWidth="1"/>
    <col min="9985" max="9985" width="7.85546875" style="10" customWidth="1"/>
    <col min="9986" max="9986" width="6.140625" style="10" customWidth="1"/>
    <col min="9987" max="9987" width="8.7109375" style="10" customWidth="1"/>
    <col min="9988" max="10227" width="9.140625" style="10"/>
    <col min="10228" max="10228" width="13.42578125" style="10" customWidth="1"/>
    <col min="10229" max="10229" width="9.140625" style="10"/>
    <col min="10230" max="10230" width="17" style="10" customWidth="1"/>
    <col min="10231" max="10231" width="7.5703125" style="10" customWidth="1"/>
    <col min="10232" max="10232" width="9.140625" style="10"/>
    <col min="10233" max="10233" width="9.140625" style="10" customWidth="1"/>
    <col min="10234" max="10234" width="9.140625" style="10"/>
    <col min="10235" max="10235" width="8.7109375" style="10" customWidth="1"/>
    <col min="10236" max="10236" width="7.42578125" style="10" customWidth="1"/>
    <col min="10237" max="10237" width="7.5703125" style="10" customWidth="1"/>
    <col min="10238" max="10238" width="9.140625" style="10" customWidth="1"/>
    <col min="10239" max="10239" width="9.140625" style="10"/>
    <col min="10240" max="10240" width="10" style="10" customWidth="1"/>
    <col min="10241" max="10241" width="7.85546875" style="10" customWidth="1"/>
    <col min="10242" max="10242" width="6.140625" style="10" customWidth="1"/>
    <col min="10243" max="10243" width="8.7109375" style="10" customWidth="1"/>
    <col min="10244" max="10483" width="9.140625" style="10"/>
    <col min="10484" max="10484" width="13.42578125" style="10" customWidth="1"/>
    <col min="10485" max="10485" width="9.140625" style="10"/>
    <col min="10486" max="10486" width="17" style="10" customWidth="1"/>
    <col min="10487" max="10487" width="7.5703125" style="10" customWidth="1"/>
    <col min="10488" max="10488" width="9.140625" style="10"/>
    <col min="10489" max="10489" width="9.140625" style="10" customWidth="1"/>
    <col min="10490" max="10490" width="9.140625" style="10"/>
    <col min="10491" max="10491" width="8.7109375" style="10" customWidth="1"/>
    <col min="10492" max="10492" width="7.42578125" style="10" customWidth="1"/>
    <col min="10493" max="10493" width="7.5703125" style="10" customWidth="1"/>
    <col min="10494" max="10494" width="9.140625" style="10" customWidth="1"/>
    <col min="10495" max="10495" width="9.140625" style="10"/>
    <col min="10496" max="10496" width="10" style="10" customWidth="1"/>
    <col min="10497" max="10497" width="7.85546875" style="10" customWidth="1"/>
    <col min="10498" max="10498" width="6.140625" style="10" customWidth="1"/>
    <col min="10499" max="10499" width="8.7109375" style="10" customWidth="1"/>
    <col min="10500" max="10739" width="9.140625" style="10"/>
    <col min="10740" max="10740" width="13.42578125" style="10" customWidth="1"/>
    <col min="10741" max="10741" width="9.140625" style="10"/>
    <col min="10742" max="10742" width="17" style="10" customWidth="1"/>
    <col min="10743" max="10743" width="7.5703125" style="10" customWidth="1"/>
    <col min="10744" max="10744" width="9.140625" style="10"/>
    <col min="10745" max="10745" width="9.140625" style="10" customWidth="1"/>
    <col min="10746" max="10746" width="9.140625" style="10"/>
    <col min="10747" max="10747" width="8.7109375" style="10" customWidth="1"/>
    <col min="10748" max="10748" width="7.42578125" style="10" customWidth="1"/>
    <col min="10749" max="10749" width="7.5703125" style="10" customWidth="1"/>
    <col min="10750" max="10750" width="9.140625" style="10" customWidth="1"/>
    <col min="10751" max="10751" width="9.140625" style="10"/>
    <col min="10752" max="10752" width="10" style="10" customWidth="1"/>
    <col min="10753" max="10753" width="7.85546875" style="10" customWidth="1"/>
    <col min="10754" max="10754" width="6.140625" style="10" customWidth="1"/>
    <col min="10755" max="10755" width="8.7109375" style="10" customWidth="1"/>
    <col min="10756" max="10995" width="9.140625" style="10"/>
    <col min="10996" max="10996" width="13.42578125" style="10" customWidth="1"/>
    <col min="10997" max="10997" width="9.140625" style="10"/>
    <col min="10998" max="10998" width="17" style="10" customWidth="1"/>
    <col min="10999" max="10999" width="7.5703125" style="10" customWidth="1"/>
    <col min="11000" max="11000" width="9.140625" style="10"/>
    <col min="11001" max="11001" width="9.140625" style="10" customWidth="1"/>
    <col min="11002" max="11002" width="9.140625" style="10"/>
    <col min="11003" max="11003" width="8.7109375" style="10" customWidth="1"/>
    <col min="11004" max="11004" width="7.42578125" style="10" customWidth="1"/>
    <col min="11005" max="11005" width="7.5703125" style="10" customWidth="1"/>
    <col min="11006" max="11006" width="9.140625" style="10" customWidth="1"/>
    <col min="11007" max="11007" width="9.140625" style="10"/>
    <col min="11008" max="11008" width="10" style="10" customWidth="1"/>
    <col min="11009" max="11009" width="7.85546875" style="10" customWidth="1"/>
    <col min="11010" max="11010" width="6.140625" style="10" customWidth="1"/>
    <col min="11011" max="11011" width="8.7109375" style="10" customWidth="1"/>
    <col min="11012" max="11251" width="9.140625" style="10"/>
    <col min="11252" max="11252" width="13.42578125" style="10" customWidth="1"/>
    <col min="11253" max="11253" width="9.140625" style="10"/>
    <col min="11254" max="11254" width="17" style="10" customWidth="1"/>
    <col min="11255" max="11255" width="7.5703125" style="10" customWidth="1"/>
    <col min="11256" max="11256" width="9.140625" style="10"/>
    <col min="11257" max="11257" width="9.140625" style="10" customWidth="1"/>
    <col min="11258" max="11258" width="9.140625" style="10"/>
    <col min="11259" max="11259" width="8.7109375" style="10" customWidth="1"/>
    <col min="11260" max="11260" width="7.42578125" style="10" customWidth="1"/>
    <col min="11261" max="11261" width="7.5703125" style="10" customWidth="1"/>
    <col min="11262" max="11262" width="9.140625" style="10" customWidth="1"/>
    <col min="11263" max="11263" width="9.140625" style="10"/>
    <col min="11264" max="11264" width="10" style="10" customWidth="1"/>
    <col min="11265" max="11265" width="7.85546875" style="10" customWidth="1"/>
    <col min="11266" max="11266" width="6.140625" style="10" customWidth="1"/>
    <col min="11267" max="11267" width="8.7109375" style="10" customWidth="1"/>
    <col min="11268" max="11507" width="9.140625" style="10"/>
    <col min="11508" max="11508" width="13.42578125" style="10" customWidth="1"/>
    <col min="11509" max="11509" width="9.140625" style="10"/>
    <col min="11510" max="11510" width="17" style="10" customWidth="1"/>
    <col min="11511" max="11511" width="7.5703125" style="10" customWidth="1"/>
    <col min="11512" max="11512" width="9.140625" style="10"/>
    <col min="11513" max="11513" width="9.140625" style="10" customWidth="1"/>
    <col min="11514" max="11514" width="9.140625" style="10"/>
    <col min="11515" max="11515" width="8.7109375" style="10" customWidth="1"/>
    <col min="11516" max="11516" width="7.42578125" style="10" customWidth="1"/>
    <col min="11517" max="11517" width="7.5703125" style="10" customWidth="1"/>
    <col min="11518" max="11518" width="9.140625" style="10" customWidth="1"/>
    <col min="11519" max="11519" width="9.140625" style="10"/>
    <col min="11520" max="11520" width="10" style="10" customWidth="1"/>
    <col min="11521" max="11521" width="7.85546875" style="10" customWidth="1"/>
    <col min="11522" max="11522" width="6.140625" style="10" customWidth="1"/>
    <col min="11523" max="11523" width="8.7109375" style="10" customWidth="1"/>
    <col min="11524" max="11763" width="9.140625" style="10"/>
    <col min="11764" max="11764" width="13.42578125" style="10" customWidth="1"/>
    <col min="11765" max="11765" width="9.140625" style="10"/>
    <col min="11766" max="11766" width="17" style="10" customWidth="1"/>
    <col min="11767" max="11767" width="7.5703125" style="10" customWidth="1"/>
    <col min="11768" max="11768" width="9.140625" style="10"/>
    <col min="11769" max="11769" width="9.140625" style="10" customWidth="1"/>
    <col min="11770" max="11770" width="9.140625" style="10"/>
    <col min="11771" max="11771" width="8.7109375" style="10" customWidth="1"/>
    <col min="11772" max="11772" width="7.42578125" style="10" customWidth="1"/>
    <col min="11773" max="11773" width="7.5703125" style="10" customWidth="1"/>
    <col min="11774" max="11774" width="9.140625" style="10" customWidth="1"/>
    <col min="11775" max="11775" width="9.140625" style="10"/>
    <col min="11776" max="11776" width="10" style="10" customWidth="1"/>
    <col min="11777" max="11777" width="7.85546875" style="10" customWidth="1"/>
    <col min="11778" max="11778" width="6.140625" style="10" customWidth="1"/>
    <col min="11779" max="11779" width="8.7109375" style="10" customWidth="1"/>
    <col min="11780" max="12019" width="9.140625" style="10"/>
    <col min="12020" max="12020" width="13.42578125" style="10" customWidth="1"/>
    <col min="12021" max="12021" width="9.140625" style="10"/>
    <col min="12022" max="12022" width="17" style="10" customWidth="1"/>
    <col min="12023" max="12023" width="7.5703125" style="10" customWidth="1"/>
    <col min="12024" max="12024" width="9.140625" style="10"/>
    <col min="12025" max="12025" width="9.140625" style="10" customWidth="1"/>
    <col min="12026" max="12026" width="9.140625" style="10"/>
    <col min="12027" max="12027" width="8.7109375" style="10" customWidth="1"/>
    <col min="12028" max="12028" width="7.42578125" style="10" customWidth="1"/>
    <col min="12029" max="12029" width="7.5703125" style="10" customWidth="1"/>
    <col min="12030" max="12030" width="9.140625" style="10" customWidth="1"/>
    <col min="12031" max="12031" width="9.140625" style="10"/>
    <col min="12032" max="12032" width="10" style="10" customWidth="1"/>
    <col min="12033" max="12033" width="7.85546875" style="10" customWidth="1"/>
    <col min="12034" max="12034" width="6.140625" style="10" customWidth="1"/>
    <col min="12035" max="12035" width="8.7109375" style="10" customWidth="1"/>
    <col min="12036" max="12275" width="9.140625" style="10"/>
    <col min="12276" max="12276" width="13.42578125" style="10" customWidth="1"/>
    <col min="12277" max="12277" width="9.140625" style="10"/>
    <col min="12278" max="12278" width="17" style="10" customWidth="1"/>
    <col min="12279" max="12279" width="7.5703125" style="10" customWidth="1"/>
    <col min="12280" max="12280" width="9.140625" style="10"/>
    <col min="12281" max="12281" width="9.140625" style="10" customWidth="1"/>
    <col min="12282" max="12282" width="9.140625" style="10"/>
    <col min="12283" max="12283" width="8.7109375" style="10" customWidth="1"/>
    <col min="12284" max="12284" width="7.42578125" style="10" customWidth="1"/>
    <col min="12285" max="12285" width="7.5703125" style="10" customWidth="1"/>
    <col min="12286" max="12286" width="9.140625" style="10" customWidth="1"/>
    <col min="12287" max="12287" width="9.140625" style="10"/>
    <col min="12288" max="12288" width="10" style="10" customWidth="1"/>
    <col min="12289" max="12289" width="7.85546875" style="10" customWidth="1"/>
    <col min="12290" max="12290" width="6.140625" style="10" customWidth="1"/>
    <col min="12291" max="12291" width="8.7109375" style="10" customWidth="1"/>
    <col min="12292" max="12531" width="9.140625" style="10"/>
    <col min="12532" max="12532" width="13.42578125" style="10" customWidth="1"/>
    <col min="12533" max="12533" width="9.140625" style="10"/>
    <col min="12534" max="12534" width="17" style="10" customWidth="1"/>
    <col min="12535" max="12535" width="7.5703125" style="10" customWidth="1"/>
    <col min="12536" max="12536" width="9.140625" style="10"/>
    <col min="12537" max="12537" width="9.140625" style="10" customWidth="1"/>
    <col min="12538" max="12538" width="9.140625" style="10"/>
    <col min="12539" max="12539" width="8.7109375" style="10" customWidth="1"/>
    <col min="12540" max="12540" width="7.42578125" style="10" customWidth="1"/>
    <col min="12541" max="12541" width="7.5703125" style="10" customWidth="1"/>
    <col min="12542" max="12542" width="9.140625" style="10" customWidth="1"/>
    <col min="12543" max="12543" width="9.140625" style="10"/>
    <col min="12544" max="12544" width="10" style="10" customWidth="1"/>
    <col min="12545" max="12545" width="7.85546875" style="10" customWidth="1"/>
    <col min="12546" max="12546" width="6.140625" style="10" customWidth="1"/>
    <col min="12547" max="12547" width="8.7109375" style="10" customWidth="1"/>
    <col min="12548" max="12787" width="9.140625" style="10"/>
    <col min="12788" max="12788" width="13.42578125" style="10" customWidth="1"/>
    <col min="12789" max="12789" width="9.140625" style="10"/>
    <col min="12790" max="12790" width="17" style="10" customWidth="1"/>
    <col min="12791" max="12791" width="7.5703125" style="10" customWidth="1"/>
    <col min="12792" max="12792" width="9.140625" style="10"/>
    <col min="12793" max="12793" width="9.140625" style="10" customWidth="1"/>
    <col min="12794" max="12794" width="9.140625" style="10"/>
    <col min="12795" max="12795" width="8.7109375" style="10" customWidth="1"/>
    <col min="12796" max="12796" width="7.42578125" style="10" customWidth="1"/>
    <col min="12797" max="12797" width="7.5703125" style="10" customWidth="1"/>
    <col min="12798" max="12798" width="9.140625" style="10" customWidth="1"/>
    <col min="12799" max="12799" width="9.140625" style="10"/>
    <col min="12800" max="12800" width="10" style="10" customWidth="1"/>
    <col min="12801" max="12801" width="7.85546875" style="10" customWidth="1"/>
    <col min="12802" max="12802" width="6.140625" style="10" customWidth="1"/>
    <col min="12803" max="12803" width="8.7109375" style="10" customWidth="1"/>
    <col min="12804" max="13043" width="9.140625" style="10"/>
    <col min="13044" max="13044" width="13.42578125" style="10" customWidth="1"/>
    <col min="13045" max="13045" width="9.140625" style="10"/>
    <col min="13046" max="13046" width="17" style="10" customWidth="1"/>
    <col min="13047" max="13047" width="7.5703125" style="10" customWidth="1"/>
    <col min="13048" max="13048" width="9.140625" style="10"/>
    <col min="13049" max="13049" width="9.140625" style="10" customWidth="1"/>
    <col min="13050" max="13050" width="9.140625" style="10"/>
    <col min="13051" max="13051" width="8.7109375" style="10" customWidth="1"/>
    <col min="13052" max="13052" width="7.42578125" style="10" customWidth="1"/>
    <col min="13053" max="13053" width="7.5703125" style="10" customWidth="1"/>
    <col min="13054" max="13054" width="9.140625" style="10" customWidth="1"/>
    <col min="13055" max="13055" width="9.140625" style="10"/>
    <col min="13056" max="13056" width="10" style="10" customWidth="1"/>
    <col min="13057" max="13057" width="7.85546875" style="10" customWidth="1"/>
    <col min="13058" max="13058" width="6.140625" style="10" customWidth="1"/>
    <col min="13059" max="13059" width="8.7109375" style="10" customWidth="1"/>
    <col min="13060" max="13299" width="9.140625" style="10"/>
    <col min="13300" max="13300" width="13.42578125" style="10" customWidth="1"/>
    <col min="13301" max="13301" width="9.140625" style="10"/>
    <col min="13302" max="13302" width="17" style="10" customWidth="1"/>
    <col min="13303" max="13303" width="7.5703125" style="10" customWidth="1"/>
    <col min="13304" max="13304" width="9.140625" style="10"/>
    <col min="13305" max="13305" width="9.140625" style="10" customWidth="1"/>
    <col min="13306" max="13306" width="9.140625" style="10"/>
    <col min="13307" max="13307" width="8.7109375" style="10" customWidth="1"/>
    <col min="13308" max="13308" width="7.42578125" style="10" customWidth="1"/>
    <col min="13309" max="13309" width="7.5703125" style="10" customWidth="1"/>
    <col min="13310" max="13310" width="9.140625" style="10" customWidth="1"/>
    <col min="13311" max="13311" width="9.140625" style="10"/>
    <col min="13312" max="13312" width="10" style="10" customWidth="1"/>
    <col min="13313" max="13313" width="7.85546875" style="10" customWidth="1"/>
    <col min="13314" max="13314" width="6.140625" style="10" customWidth="1"/>
    <col min="13315" max="13315" width="8.7109375" style="10" customWidth="1"/>
    <col min="13316" max="13555" width="9.140625" style="10"/>
    <col min="13556" max="13556" width="13.42578125" style="10" customWidth="1"/>
    <col min="13557" max="13557" width="9.140625" style="10"/>
    <col min="13558" max="13558" width="17" style="10" customWidth="1"/>
    <col min="13559" max="13559" width="7.5703125" style="10" customWidth="1"/>
    <col min="13560" max="13560" width="9.140625" style="10"/>
    <col min="13561" max="13561" width="9.140625" style="10" customWidth="1"/>
    <col min="13562" max="13562" width="9.140625" style="10"/>
    <col min="13563" max="13563" width="8.7109375" style="10" customWidth="1"/>
    <col min="13564" max="13564" width="7.42578125" style="10" customWidth="1"/>
    <col min="13565" max="13565" width="7.5703125" style="10" customWidth="1"/>
    <col min="13566" max="13566" width="9.140625" style="10" customWidth="1"/>
    <col min="13567" max="13567" width="9.140625" style="10"/>
    <col min="13568" max="13568" width="10" style="10" customWidth="1"/>
    <col min="13569" max="13569" width="7.85546875" style="10" customWidth="1"/>
    <col min="13570" max="13570" width="6.140625" style="10" customWidth="1"/>
    <col min="13571" max="13571" width="8.7109375" style="10" customWidth="1"/>
    <col min="13572" max="13811" width="9.140625" style="10"/>
    <col min="13812" max="13812" width="13.42578125" style="10" customWidth="1"/>
    <col min="13813" max="13813" width="9.140625" style="10"/>
    <col min="13814" max="13814" width="17" style="10" customWidth="1"/>
    <col min="13815" max="13815" width="7.5703125" style="10" customWidth="1"/>
    <col min="13816" max="13816" width="9.140625" style="10"/>
    <col min="13817" max="13817" width="9.140625" style="10" customWidth="1"/>
    <col min="13818" max="13818" width="9.140625" style="10"/>
    <col min="13819" max="13819" width="8.7109375" style="10" customWidth="1"/>
    <col min="13820" max="13820" width="7.42578125" style="10" customWidth="1"/>
    <col min="13821" max="13821" width="7.5703125" style="10" customWidth="1"/>
    <col min="13822" max="13822" width="9.140625" style="10" customWidth="1"/>
    <col min="13823" max="13823" width="9.140625" style="10"/>
    <col min="13824" max="13824" width="10" style="10" customWidth="1"/>
    <col min="13825" max="13825" width="7.85546875" style="10" customWidth="1"/>
    <col min="13826" max="13826" width="6.140625" style="10" customWidth="1"/>
    <col min="13827" max="13827" width="8.7109375" style="10" customWidth="1"/>
    <col min="13828" max="14067" width="9.140625" style="10"/>
    <col min="14068" max="14068" width="13.42578125" style="10" customWidth="1"/>
    <col min="14069" max="14069" width="9.140625" style="10"/>
    <col min="14070" max="14070" width="17" style="10" customWidth="1"/>
    <col min="14071" max="14071" width="7.5703125" style="10" customWidth="1"/>
    <col min="14072" max="14072" width="9.140625" style="10"/>
    <col min="14073" max="14073" width="9.140625" style="10" customWidth="1"/>
    <col min="14074" max="14074" width="9.140625" style="10"/>
    <col min="14075" max="14075" width="8.7109375" style="10" customWidth="1"/>
    <col min="14076" max="14076" width="7.42578125" style="10" customWidth="1"/>
    <col min="14077" max="14077" width="7.5703125" style="10" customWidth="1"/>
    <col min="14078" max="14078" width="9.140625" style="10" customWidth="1"/>
    <col min="14079" max="14079" width="9.140625" style="10"/>
    <col min="14080" max="14080" width="10" style="10" customWidth="1"/>
    <col min="14081" max="14081" width="7.85546875" style="10" customWidth="1"/>
    <col min="14082" max="14082" width="6.140625" style="10" customWidth="1"/>
    <col min="14083" max="14083" width="8.7109375" style="10" customWidth="1"/>
    <col min="14084" max="14323" width="9.140625" style="10"/>
    <col min="14324" max="14324" width="13.42578125" style="10" customWidth="1"/>
    <col min="14325" max="14325" width="9.140625" style="10"/>
    <col min="14326" max="14326" width="17" style="10" customWidth="1"/>
    <col min="14327" max="14327" width="7.5703125" style="10" customWidth="1"/>
    <col min="14328" max="14328" width="9.140625" style="10"/>
    <col min="14329" max="14329" width="9.140625" style="10" customWidth="1"/>
    <col min="14330" max="14330" width="9.140625" style="10"/>
    <col min="14331" max="14331" width="8.7109375" style="10" customWidth="1"/>
    <col min="14332" max="14332" width="7.42578125" style="10" customWidth="1"/>
    <col min="14333" max="14333" width="7.5703125" style="10" customWidth="1"/>
    <col min="14334" max="14334" width="9.140625" style="10" customWidth="1"/>
    <col min="14335" max="14335" width="9.140625" style="10"/>
    <col min="14336" max="14336" width="10" style="10" customWidth="1"/>
    <col min="14337" max="14337" width="7.85546875" style="10" customWidth="1"/>
    <col min="14338" max="14338" width="6.140625" style="10" customWidth="1"/>
    <col min="14339" max="14339" width="8.7109375" style="10" customWidth="1"/>
    <col min="14340" max="14579" width="9.140625" style="10"/>
    <col min="14580" max="14580" width="13.42578125" style="10" customWidth="1"/>
    <col min="14581" max="14581" width="9.140625" style="10"/>
    <col min="14582" max="14582" width="17" style="10" customWidth="1"/>
    <col min="14583" max="14583" width="7.5703125" style="10" customWidth="1"/>
    <col min="14584" max="14584" width="9.140625" style="10"/>
    <col min="14585" max="14585" width="9.140625" style="10" customWidth="1"/>
    <col min="14586" max="14586" width="9.140625" style="10"/>
    <col min="14587" max="14587" width="8.7109375" style="10" customWidth="1"/>
    <col min="14588" max="14588" width="7.42578125" style="10" customWidth="1"/>
    <col min="14589" max="14589" width="7.5703125" style="10" customWidth="1"/>
    <col min="14590" max="14590" width="9.140625" style="10" customWidth="1"/>
    <col min="14591" max="14591" width="9.140625" style="10"/>
    <col min="14592" max="14592" width="10" style="10" customWidth="1"/>
    <col min="14593" max="14593" width="7.85546875" style="10" customWidth="1"/>
    <col min="14594" max="14594" width="6.140625" style="10" customWidth="1"/>
    <col min="14595" max="14595" width="8.7109375" style="10" customWidth="1"/>
    <col min="14596" max="14835" width="9.140625" style="10"/>
    <col min="14836" max="14836" width="13.42578125" style="10" customWidth="1"/>
    <col min="14837" max="14837" width="9.140625" style="10"/>
    <col min="14838" max="14838" width="17" style="10" customWidth="1"/>
    <col min="14839" max="14839" width="7.5703125" style="10" customWidth="1"/>
    <col min="14840" max="14840" width="9.140625" style="10"/>
    <col min="14841" max="14841" width="9.140625" style="10" customWidth="1"/>
    <col min="14842" max="14842" width="9.140625" style="10"/>
    <col min="14843" max="14843" width="8.7109375" style="10" customWidth="1"/>
    <col min="14844" max="14844" width="7.42578125" style="10" customWidth="1"/>
    <col min="14845" max="14845" width="7.5703125" style="10" customWidth="1"/>
    <col min="14846" max="14846" width="9.140625" style="10" customWidth="1"/>
    <col min="14847" max="14847" width="9.140625" style="10"/>
    <col min="14848" max="14848" width="10" style="10" customWidth="1"/>
    <col min="14849" max="14849" width="7.85546875" style="10" customWidth="1"/>
    <col min="14850" max="14850" width="6.140625" style="10" customWidth="1"/>
    <col min="14851" max="14851" width="8.7109375" style="10" customWidth="1"/>
    <col min="14852" max="15091" width="9.140625" style="10"/>
    <col min="15092" max="15092" width="13.42578125" style="10" customWidth="1"/>
    <col min="15093" max="15093" width="9.140625" style="10"/>
    <col min="15094" max="15094" width="17" style="10" customWidth="1"/>
    <col min="15095" max="15095" width="7.5703125" style="10" customWidth="1"/>
    <col min="15096" max="15096" width="9.140625" style="10"/>
    <col min="15097" max="15097" width="9.140625" style="10" customWidth="1"/>
    <col min="15098" max="15098" width="9.140625" style="10"/>
    <col min="15099" max="15099" width="8.7109375" style="10" customWidth="1"/>
    <col min="15100" max="15100" width="7.42578125" style="10" customWidth="1"/>
    <col min="15101" max="15101" width="7.5703125" style="10" customWidth="1"/>
    <col min="15102" max="15102" width="9.140625" style="10" customWidth="1"/>
    <col min="15103" max="15103" width="9.140625" style="10"/>
    <col min="15104" max="15104" width="10" style="10" customWidth="1"/>
    <col min="15105" max="15105" width="7.85546875" style="10" customWidth="1"/>
    <col min="15106" max="15106" width="6.140625" style="10" customWidth="1"/>
    <col min="15107" max="15107" width="8.7109375" style="10" customWidth="1"/>
    <col min="15108" max="15347" width="9.140625" style="10"/>
    <col min="15348" max="15348" width="13.42578125" style="10" customWidth="1"/>
    <col min="15349" max="15349" width="9.140625" style="10"/>
    <col min="15350" max="15350" width="17" style="10" customWidth="1"/>
    <col min="15351" max="15351" width="7.5703125" style="10" customWidth="1"/>
    <col min="15352" max="15352" width="9.140625" style="10"/>
    <col min="15353" max="15353" width="9.140625" style="10" customWidth="1"/>
    <col min="15354" max="15354" width="9.140625" style="10"/>
    <col min="15355" max="15355" width="8.7109375" style="10" customWidth="1"/>
    <col min="15356" max="15356" width="7.42578125" style="10" customWidth="1"/>
    <col min="15357" max="15357" width="7.5703125" style="10" customWidth="1"/>
    <col min="15358" max="15358" width="9.140625" style="10" customWidth="1"/>
    <col min="15359" max="15359" width="9.140625" style="10"/>
    <col min="15360" max="15360" width="10" style="10" customWidth="1"/>
    <col min="15361" max="15361" width="7.85546875" style="10" customWidth="1"/>
    <col min="15362" max="15362" width="6.140625" style="10" customWidth="1"/>
    <col min="15363" max="15363" width="8.7109375" style="10" customWidth="1"/>
    <col min="15364" max="15603" width="9.140625" style="10"/>
    <col min="15604" max="15604" width="13.42578125" style="10" customWidth="1"/>
    <col min="15605" max="15605" width="9.140625" style="10"/>
    <col min="15606" max="15606" width="17" style="10" customWidth="1"/>
    <col min="15607" max="15607" width="7.5703125" style="10" customWidth="1"/>
    <col min="15608" max="15608" width="9.140625" style="10"/>
    <col min="15609" max="15609" width="9.140625" style="10" customWidth="1"/>
    <col min="15610" max="15610" width="9.140625" style="10"/>
    <col min="15611" max="15611" width="8.7109375" style="10" customWidth="1"/>
    <col min="15612" max="15612" width="7.42578125" style="10" customWidth="1"/>
    <col min="15613" max="15613" width="7.5703125" style="10" customWidth="1"/>
    <col min="15614" max="15614" width="9.140625" style="10" customWidth="1"/>
    <col min="15615" max="15615" width="9.140625" style="10"/>
    <col min="15616" max="15616" width="10" style="10" customWidth="1"/>
    <col min="15617" max="15617" width="7.85546875" style="10" customWidth="1"/>
    <col min="15618" max="15618" width="6.140625" style="10" customWidth="1"/>
    <col min="15619" max="15619" width="8.7109375" style="10" customWidth="1"/>
    <col min="15620" max="15859" width="9.140625" style="10"/>
    <col min="15860" max="15860" width="13.42578125" style="10" customWidth="1"/>
    <col min="15861" max="15861" width="9.140625" style="10"/>
    <col min="15862" max="15862" width="17" style="10" customWidth="1"/>
    <col min="15863" max="15863" width="7.5703125" style="10" customWidth="1"/>
    <col min="15864" max="15864" width="9.140625" style="10"/>
    <col min="15865" max="15865" width="9.140625" style="10" customWidth="1"/>
    <col min="15866" max="15866" width="9.140625" style="10"/>
    <col min="15867" max="15867" width="8.7109375" style="10" customWidth="1"/>
    <col min="15868" max="15868" width="7.42578125" style="10" customWidth="1"/>
    <col min="15869" max="15869" width="7.5703125" style="10" customWidth="1"/>
    <col min="15870" max="15870" width="9.140625" style="10" customWidth="1"/>
    <col min="15871" max="15871" width="9.140625" style="10"/>
    <col min="15872" max="15872" width="10" style="10" customWidth="1"/>
    <col min="15873" max="15873" width="7.85546875" style="10" customWidth="1"/>
    <col min="15874" max="15874" width="6.140625" style="10" customWidth="1"/>
    <col min="15875" max="15875" width="8.7109375" style="10" customWidth="1"/>
    <col min="15876" max="16115" width="9.140625" style="10"/>
    <col min="16116" max="16116" width="13.42578125" style="10" customWidth="1"/>
    <col min="16117" max="16117" width="9.140625" style="10"/>
    <col min="16118" max="16118" width="17" style="10" customWidth="1"/>
    <col min="16119" max="16119" width="7.5703125" style="10" customWidth="1"/>
    <col min="16120" max="16120" width="9.140625" style="10"/>
    <col min="16121" max="16121" width="9.140625" style="10" customWidth="1"/>
    <col min="16122" max="16122" width="9.140625" style="10"/>
    <col min="16123" max="16123" width="8.7109375" style="10" customWidth="1"/>
    <col min="16124" max="16124" width="7.42578125" style="10" customWidth="1"/>
    <col min="16125" max="16125" width="7.5703125" style="10" customWidth="1"/>
    <col min="16126" max="16126" width="9.140625" style="10" customWidth="1"/>
    <col min="16127" max="16127" width="9.140625" style="10"/>
    <col min="16128" max="16128" width="10" style="10" customWidth="1"/>
    <col min="16129" max="16129" width="7.85546875" style="10" customWidth="1"/>
    <col min="16130" max="16130" width="6.140625" style="10" customWidth="1"/>
    <col min="16131" max="16131" width="8.7109375" style="10" customWidth="1"/>
    <col min="16132" max="16384" width="9.140625" style="10"/>
  </cols>
  <sheetData>
    <row r="1" spans="1:12" ht="12.75" customHeight="1" x14ac:dyDescent="0.2">
      <c r="A1" s="947" t="s">
        <v>139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507"/>
    </row>
    <row r="2" spans="1:12" ht="13.5" customHeight="1" thickBot="1" x14ac:dyDescent="0.25">
      <c r="A2" s="506"/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</row>
    <row r="3" spans="1:12" x14ac:dyDescent="0.2">
      <c r="A3" s="215"/>
      <c r="B3" s="216"/>
      <c r="C3" s="216"/>
      <c r="D3" s="216"/>
      <c r="E3" s="216"/>
      <c r="F3" s="216"/>
      <c r="G3" s="216"/>
      <c r="H3" s="216"/>
      <c r="I3" s="216"/>
      <c r="J3" s="216"/>
      <c r="K3" s="217"/>
    </row>
    <row r="4" spans="1:12" x14ac:dyDescent="0.2">
      <c r="A4" s="136" t="s">
        <v>140</v>
      </c>
      <c r="B4" s="92"/>
      <c r="C4" s="93">
        <f>'DB GAS FLOW'!C151</f>
        <v>0.99500999999999984</v>
      </c>
      <c r="D4" s="94" t="s">
        <v>141</v>
      </c>
      <c r="E4" s="395"/>
      <c r="F4" s="395"/>
      <c r="G4" s="395"/>
      <c r="H4" s="395"/>
      <c r="I4" s="395"/>
      <c r="J4" s="395"/>
      <c r="K4" s="95"/>
    </row>
    <row r="5" spans="1:12" ht="15" x14ac:dyDescent="0.2">
      <c r="A5" s="96" t="s">
        <v>142</v>
      </c>
      <c r="B5" s="97" t="s">
        <v>143</v>
      </c>
      <c r="C5" s="98" t="s">
        <v>144</v>
      </c>
      <c r="D5" s="97" t="s">
        <v>145</v>
      </c>
      <c r="E5" s="99" t="s">
        <v>146</v>
      </c>
      <c r="F5" s="97" t="s">
        <v>147</v>
      </c>
      <c r="G5" s="98" t="s">
        <v>148</v>
      </c>
      <c r="H5" s="97" t="s">
        <v>149</v>
      </c>
      <c r="I5" s="98" t="s">
        <v>150</v>
      </c>
      <c r="J5" s="97" t="s">
        <v>151</v>
      </c>
      <c r="K5" s="100" t="s">
        <v>152</v>
      </c>
    </row>
    <row r="6" spans="1:12" x14ac:dyDescent="0.2">
      <c r="A6" s="101" t="s">
        <v>153</v>
      </c>
      <c r="B6" s="102" t="str">
        <f>D4</f>
        <v>l/min</v>
      </c>
      <c r="C6" s="396" t="s">
        <v>154</v>
      </c>
      <c r="D6" s="727">
        <f>'DB GAS FLOW'!D151</f>
        <v>2.236067977499792E-3</v>
      </c>
      <c r="E6" s="397">
        <f>SQRT(5)</f>
        <v>2.2360679774997898</v>
      </c>
      <c r="F6" s="102">
        <v>4</v>
      </c>
      <c r="G6" s="398">
        <f>D6/E6</f>
        <v>1.0000000000000011E-3</v>
      </c>
      <c r="H6" s="103">
        <v>1</v>
      </c>
      <c r="I6" s="398">
        <f>G6*H6</f>
        <v>1.0000000000000011E-3</v>
      </c>
      <c r="J6" s="104">
        <f>I6^2</f>
        <v>1.0000000000000023E-6</v>
      </c>
      <c r="K6" s="105">
        <f>I6^4/F6</f>
        <v>2.5000000000000116E-13</v>
      </c>
    </row>
    <row r="7" spans="1:12" x14ac:dyDescent="0.2">
      <c r="A7" s="106" t="s">
        <v>155</v>
      </c>
      <c r="B7" s="102" t="str">
        <f>D4</f>
        <v>l/min</v>
      </c>
      <c r="C7" s="107" t="s">
        <v>156</v>
      </c>
      <c r="D7" s="137">
        <f>'DB GAS FLOW'!M151</f>
        <v>0.25</v>
      </c>
      <c r="E7" s="108">
        <f>SQRT(3)</f>
        <v>1.7320508075688772</v>
      </c>
      <c r="F7" s="102">
        <f>1/2*(100/10)^2</f>
        <v>50</v>
      </c>
      <c r="G7" s="109">
        <f>D7/E7</f>
        <v>0.14433756729740646</v>
      </c>
      <c r="H7" s="102">
        <v>1</v>
      </c>
      <c r="I7" s="109">
        <f>G7*H7</f>
        <v>0.14433756729740646</v>
      </c>
      <c r="J7" s="110">
        <f>I7^2</f>
        <v>2.0833333333333339E-2</v>
      </c>
      <c r="K7" s="111">
        <f>I7^4/F7</f>
        <v>8.6805555555555606E-6</v>
      </c>
    </row>
    <row r="8" spans="1:12" x14ac:dyDescent="0.2">
      <c r="A8" s="106" t="s">
        <v>157</v>
      </c>
      <c r="B8" s="102" t="str">
        <f>D4</f>
        <v>l/min</v>
      </c>
      <c r="C8" s="107" t="s">
        <v>156</v>
      </c>
      <c r="D8" s="137">
        <f>'DB GAS FLOW'!N151</f>
        <v>5.0000000000000001E-3</v>
      </c>
      <c r="E8" s="108">
        <f>SQRT(3)</f>
        <v>1.7320508075688772</v>
      </c>
      <c r="F8" s="102">
        <f>1/2*(100/10)^2</f>
        <v>50</v>
      </c>
      <c r="G8" s="109">
        <f>D8/E8</f>
        <v>2.886751345948129E-3</v>
      </c>
      <c r="H8" s="102">
        <v>1</v>
      </c>
      <c r="I8" s="109">
        <f>G8*H8</f>
        <v>2.886751345948129E-3</v>
      </c>
      <c r="J8" s="110">
        <f>I8^2</f>
        <v>8.3333333333333337E-6</v>
      </c>
      <c r="K8" s="111">
        <f>I8^4/F8</f>
        <v>1.3888888888888891E-12</v>
      </c>
    </row>
    <row r="9" spans="1:12" x14ac:dyDescent="0.2">
      <c r="A9" s="101" t="s">
        <v>158</v>
      </c>
      <c r="B9" s="102" t="str">
        <f>D4</f>
        <v>l/min</v>
      </c>
      <c r="C9" s="102" t="s">
        <v>156</v>
      </c>
      <c r="D9" s="112">
        <f>'DB GAS FLOW'!K151</f>
        <v>0</v>
      </c>
      <c r="E9" s="112">
        <f>SQRT(3)</f>
        <v>1.7320508075688772</v>
      </c>
      <c r="F9" s="102">
        <f>1/2*(100/10)^2</f>
        <v>50</v>
      </c>
      <c r="G9" s="113">
        <f>D9/E9</f>
        <v>0</v>
      </c>
      <c r="H9" s="102">
        <v>1</v>
      </c>
      <c r="I9" s="113">
        <f>G9*H9</f>
        <v>0</v>
      </c>
      <c r="J9" s="110">
        <f>I9^2</f>
        <v>0</v>
      </c>
      <c r="K9" s="114">
        <f>I9^4/F9</f>
        <v>0</v>
      </c>
    </row>
    <row r="10" spans="1:12" x14ac:dyDescent="0.2">
      <c r="A10" s="115" t="s">
        <v>159</v>
      </c>
      <c r="B10" s="102" t="str">
        <f>D4</f>
        <v>l/min</v>
      </c>
      <c r="C10" s="107" t="s">
        <v>154</v>
      </c>
      <c r="D10" s="138">
        <f>'DB GAS FLOW'!L151</f>
        <v>9.6080840567354678E-2</v>
      </c>
      <c r="E10" s="116">
        <v>2</v>
      </c>
      <c r="F10" s="102">
        <f>1/2*(100/10)^2</f>
        <v>50</v>
      </c>
      <c r="G10" s="109">
        <f>D10/E10</f>
        <v>4.8040420283677339E-2</v>
      </c>
      <c r="H10" s="102">
        <v>1</v>
      </c>
      <c r="I10" s="109">
        <f>G10*H10</f>
        <v>4.8040420283677339E-2</v>
      </c>
      <c r="J10" s="110">
        <f>I10^2</f>
        <v>2.3078819810323573E-3</v>
      </c>
      <c r="K10" s="114">
        <f>I10^4/F10</f>
        <v>1.0652638476747675E-7</v>
      </c>
    </row>
    <row r="11" spans="1:12" x14ac:dyDescent="0.2">
      <c r="A11" s="115"/>
      <c r="B11" s="102"/>
      <c r="C11" s="102"/>
      <c r="D11" s="102"/>
      <c r="E11" s="112"/>
      <c r="F11" s="102"/>
      <c r="G11" s="113"/>
      <c r="H11" s="102"/>
      <c r="I11" s="113"/>
      <c r="J11" s="110"/>
      <c r="K11" s="114"/>
    </row>
    <row r="12" spans="1:12" ht="15" x14ac:dyDescent="0.2">
      <c r="A12" s="117" t="s">
        <v>160</v>
      </c>
      <c r="B12" s="399"/>
      <c r="C12" s="399"/>
      <c r="D12" s="399"/>
      <c r="E12" s="400"/>
      <c r="F12" s="399"/>
      <c r="G12" s="399"/>
      <c r="H12" s="399"/>
      <c r="I12" s="399"/>
      <c r="J12" s="118">
        <f>SUM(J6:J10)</f>
        <v>2.315054864769903E-2</v>
      </c>
      <c r="K12" s="119">
        <f>SUM(K6:K10)</f>
        <v>8.7870835792119267E-6</v>
      </c>
    </row>
    <row r="13" spans="1:12" ht="18" x14ac:dyDescent="0.2">
      <c r="A13" s="120" t="s">
        <v>161</v>
      </c>
      <c r="B13" s="121"/>
      <c r="C13" s="121"/>
      <c r="D13" s="121"/>
      <c r="E13" s="122"/>
      <c r="F13" s="121"/>
      <c r="G13" s="123" t="s">
        <v>162</v>
      </c>
      <c r="H13" s="121"/>
      <c r="I13" s="121"/>
      <c r="J13" s="124">
        <f>SQRT(J12)</f>
        <v>0.15215304350455508</v>
      </c>
      <c r="K13" s="125"/>
    </row>
    <row r="14" spans="1:12" ht="18" x14ac:dyDescent="0.2">
      <c r="A14" s="117" t="s">
        <v>163</v>
      </c>
      <c r="B14" s="401"/>
      <c r="C14" s="401"/>
      <c r="D14" s="401"/>
      <c r="E14" s="402"/>
      <c r="F14" s="401"/>
      <c r="G14" s="403" t="s">
        <v>164</v>
      </c>
      <c r="H14" s="401"/>
      <c r="I14" s="401"/>
      <c r="J14" s="118">
        <f>J13^4/(K12)</f>
        <v>60.992694317532155</v>
      </c>
      <c r="K14" s="126"/>
    </row>
    <row r="15" spans="1:12" ht="15.75" x14ac:dyDescent="0.2">
      <c r="A15" s="120" t="s">
        <v>165</v>
      </c>
      <c r="B15" s="121"/>
      <c r="C15" s="121"/>
      <c r="D15" s="121"/>
      <c r="E15" s="122"/>
      <c r="F15" s="121"/>
      <c r="G15" s="127" t="s">
        <v>166</v>
      </c>
      <c r="H15" s="121"/>
      <c r="I15" s="121"/>
      <c r="J15" s="128">
        <f>1.95996+(2.37356/J14)+(2.818745/J14^2)+(2.546662/J14^3)+(1.761829/J14^4)+(0.245458/J14^5)+(1.000764/J14^6)</f>
        <v>1.9996445367574924</v>
      </c>
      <c r="K15" s="125"/>
    </row>
    <row r="16" spans="1:12" ht="15.75" thickBot="1" x14ac:dyDescent="0.25">
      <c r="A16" s="129" t="s">
        <v>167</v>
      </c>
      <c r="B16" s="130"/>
      <c r="C16" s="130"/>
      <c r="D16" s="130"/>
      <c r="E16" s="131"/>
      <c r="F16" s="130"/>
      <c r="G16" s="132" t="s">
        <v>168</v>
      </c>
      <c r="H16" s="130"/>
      <c r="I16" s="130"/>
      <c r="J16" s="466">
        <f>J13*J15</f>
        <v>0.30425200219490861</v>
      </c>
      <c r="K16" s="134" t="str">
        <f>D4</f>
        <v>l/min</v>
      </c>
    </row>
    <row r="17" spans="1:11" ht="13.5" thickBot="1" x14ac:dyDescent="0.25">
      <c r="A17" s="90"/>
      <c r="J17" s="492">
        <f>(J16/C4)*100</f>
        <v>30.57778335844953</v>
      </c>
      <c r="K17" s="467" t="s">
        <v>169</v>
      </c>
    </row>
    <row r="18" spans="1:11" x14ac:dyDescent="0.2">
      <c r="A18" s="91" t="s">
        <v>140</v>
      </c>
      <c r="B18" s="92"/>
      <c r="C18" s="93">
        <f>'DB GAS FLOW'!C152</f>
        <v>2.0968100000000001</v>
      </c>
      <c r="D18" s="94" t="s">
        <v>141</v>
      </c>
      <c r="E18" s="395"/>
      <c r="F18" s="395"/>
      <c r="G18" s="395"/>
      <c r="H18" s="395"/>
      <c r="I18" s="395"/>
      <c r="J18" s="395"/>
      <c r="K18" s="95"/>
    </row>
    <row r="19" spans="1:11" ht="15" x14ac:dyDescent="0.2">
      <c r="A19" s="96" t="s">
        <v>142</v>
      </c>
      <c r="B19" s="97" t="s">
        <v>143</v>
      </c>
      <c r="C19" s="98" t="s">
        <v>144</v>
      </c>
      <c r="D19" s="97" t="s">
        <v>145</v>
      </c>
      <c r="E19" s="99" t="s">
        <v>146</v>
      </c>
      <c r="F19" s="97" t="s">
        <v>147</v>
      </c>
      <c r="G19" s="98" t="s">
        <v>148</v>
      </c>
      <c r="H19" s="97" t="s">
        <v>149</v>
      </c>
      <c r="I19" s="98" t="s">
        <v>150</v>
      </c>
      <c r="J19" s="97" t="s">
        <v>151</v>
      </c>
      <c r="K19" s="100" t="s">
        <v>152</v>
      </c>
    </row>
    <row r="20" spans="1:11" x14ac:dyDescent="0.2">
      <c r="A20" s="101" t="s">
        <v>153</v>
      </c>
      <c r="B20" s="102" t="str">
        <f>D18</f>
        <v>l/min</v>
      </c>
      <c r="C20" s="396" t="s">
        <v>154</v>
      </c>
      <c r="D20" s="727">
        <f>'DB GAS FLOW'!D152</f>
        <v>4.4721359549990868E-4</v>
      </c>
      <c r="E20" s="397">
        <f>SQRT(5)</f>
        <v>2.2360679774997898</v>
      </c>
      <c r="F20" s="102">
        <v>4</v>
      </c>
      <c r="G20" s="398">
        <f>D20/E20</f>
        <v>1.9999999999997797E-4</v>
      </c>
      <c r="H20" s="103">
        <v>1</v>
      </c>
      <c r="I20" s="398">
        <f>G20*H20</f>
        <v>1.9999999999997797E-4</v>
      </c>
      <c r="J20" s="104">
        <f>I20^2</f>
        <v>3.9999999999991186E-8</v>
      </c>
      <c r="K20" s="105">
        <f>I20^4/F20</f>
        <v>3.9999999999982373E-16</v>
      </c>
    </row>
    <row r="21" spans="1:11" x14ac:dyDescent="0.2">
      <c r="A21" s="106" t="s">
        <v>155</v>
      </c>
      <c r="B21" s="102" t="str">
        <f>D18</f>
        <v>l/min</v>
      </c>
      <c r="C21" s="107" t="s">
        <v>156</v>
      </c>
      <c r="D21" s="137">
        <f>'DB GAS FLOW'!M151</f>
        <v>0.25</v>
      </c>
      <c r="E21" s="108">
        <f>SQRT(3)</f>
        <v>1.7320508075688772</v>
      </c>
      <c r="F21" s="102">
        <f>1/2*(100/10)^2</f>
        <v>50</v>
      </c>
      <c r="G21" s="109">
        <f>D21/E21</f>
        <v>0.14433756729740646</v>
      </c>
      <c r="H21" s="102">
        <v>1</v>
      </c>
      <c r="I21" s="109">
        <f>G21*H21</f>
        <v>0.14433756729740646</v>
      </c>
      <c r="J21" s="110">
        <f>I21^2</f>
        <v>2.0833333333333339E-2</v>
      </c>
      <c r="K21" s="111">
        <f>I21^4/F21</f>
        <v>8.6805555555555606E-6</v>
      </c>
    </row>
    <row r="22" spans="1:11" x14ac:dyDescent="0.2">
      <c r="A22" s="106" t="s">
        <v>157</v>
      </c>
      <c r="B22" s="102" t="str">
        <f>D18</f>
        <v>l/min</v>
      </c>
      <c r="C22" s="107" t="s">
        <v>156</v>
      </c>
      <c r="D22" s="137">
        <f>'DB GAS FLOW'!N151</f>
        <v>5.0000000000000001E-3</v>
      </c>
      <c r="E22" s="108">
        <f>SQRT(3)</f>
        <v>1.7320508075688772</v>
      </c>
      <c r="F22" s="102">
        <f>1/2*(100/10)^2</f>
        <v>50</v>
      </c>
      <c r="G22" s="109">
        <f>D22/E22</f>
        <v>2.886751345948129E-3</v>
      </c>
      <c r="H22" s="102">
        <v>1</v>
      </c>
      <c r="I22" s="109">
        <f>G22*H22</f>
        <v>2.886751345948129E-3</v>
      </c>
      <c r="J22" s="110">
        <f>I22^2</f>
        <v>8.3333333333333337E-6</v>
      </c>
      <c r="K22" s="111">
        <f>I22^4/F22</f>
        <v>1.3888888888888891E-12</v>
      </c>
    </row>
    <row r="23" spans="1:11" x14ac:dyDescent="0.2">
      <c r="A23" s="101" t="s">
        <v>158</v>
      </c>
      <c r="B23" s="102" t="str">
        <f>D18</f>
        <v>l/min</v>
      </c>
      <c r="C23" s="102" t="s">
        <v>156</v>
      </c>
      <c r="D23" s="112">
        <f>'DB GAS FLOW'!K152</f>
        <v>0</v>
      </c>
      <c r="E23" s="112">
        <f>SQRT(3)</f>
        <v>1.7320508075688772</v>
      </c>
      <c r="F23" s="102">
        <f>1/2*(100/10)^2</f>
        <v>50</v>
      </c>
      <c r="G23" s="113">
        <f>D23/E23</f>
        <v>0</v>
      </c>
      <c r="H23" s="102">
        <v>1</v>
      </c>
      <c r="I23" s="113">
        <f>G23*H23</f>
        <v>0</v>
      </c>
      <c r="J23" s="110">
        <f>I23^2</f>
        <v>0</v>
      </c>
      <c r="K23" s="114">
        <f>I23^4/F23</f>
        <v>0</v>
      </c>
    </row>
    <row r="24" spans="1:11" x14ac:dyDescent="0.2">
      <c r="A24" s="115" t="s">
        <v>159</v>
      </c>
      <c r="B24" s="102" t="str">
        <f>D18</f>
        <v>l/min</v>
      </c>
      <c r="C24" s="107" t="s">
        <v>154</v>
      </c>
      <c r="D24" s="138">
        <f>'DB GAS FLOW'!L152</f>
        <v>0.11388774522776814</v>
      </c>
      <c r="E24" s="116">
        <v>2</v>
      </c>
      <c r="F24" s="102">
        <f>1/2*(100/10)^2</f>
        <v>50</v>
      </c>
      <c r="G24" s="109">
        <f>D24/E24</f>
        <v>5.6943872613884068E-2</v>
      </c>
      <c r="H24" s="102">
        <v>1</v>
      </c>
      <c r="I24" s="109">
        <f>G24*H24</f>
        <v>5.6943872613884068E-2</v>
      </c>
      <c r="J24" s="110">
        <f>I24^2</f>
        <v>3.2426046282662559E-3</v>
      </c>
      <c r="K24" s="114">
        <f>I24^4/F24</f>
        <v>2.1028969550507488E-7</v>
      </c>
    </row>
    <row r="25" spans="1:11" x14ac:dyDescent="0.2">
      <c r="A25" s="115"/>
      <c r="B25" s="102"/>
      <c r="C25" s="102"/>
      <c r="D25" s="102"/>
      <c r="E25" s="112"/>
      <c r="F25" s="102"/>
      <c r="G25" s="113"/>
      <c r="H25" s="102"/>
      <c r="I25" s="113"/>
      <c r="J25" s="110"/>
      <c r="K25" s="114"/>
    </row>
    <row r="26" spans="1:11" ht="15" x14ac:dyDescent="0.2">
      <c r="A26" s="117" t="s">
        <v>160</v>
      </c>
      <c r="B26" s="399"/>
      <c r="C26" s="399"/>
      <c r="D26" s="399"/>
      <c r="E26" s="400"/>
      <c r="F26" s="399"/>
      <c r="G26" s="399"/>
      <c r="H26" s="399"/>
      <c r="I26" s="399"/>
      <c r="J26" s="118">
        <f>SUM(J20:J24)</f>
        <v>2.4084311294932926E-2</v>
      </c>
      <c r="K26" s="119">
        <f>SUM(K20:K24)</f>
        <v>8.8908466403495242E-6</v>
      </c>
    </row>
    <row r="27" spans="1:11" ht="18" x14ac:dyDescent="0.2">
      <c r="A27" s="120" t="s">
        <v>161</v>
      </c>
      <c r="B27" s="121"/>
      <c r="C27" s="121"/>
      <c r="D27" s="121"/>
      <c r="E27" s="122"/>
      <c r="F27" s="121"/>
      <c r="G27" s="123" t="s">
        <v>162</v>
      </c>
      <c r="H27" s="121"/>
      <c r="I27" s="121"/>
      <c r="J27" s="124">
        <f>SQRT(J26)</f>
        <v>0.15519120881974252</v>
      </c>
      <c r="K27" s="125"/>
    </row>
    <row r="28" spans="1:11" ht="18" x14ac:dyDescent="0.2">
      <c r="A28" s="117" t="s">
        <v>163</v>
      </c>
      <c r="B28" s="401"/>
      <c r="C28" s="401"/>
      <c r="D28" s="401"/>
      <c r="E28" s="402"/>
      <c r="F28" s="401"/>
      <c r="G28" s="403" t="s">
        <v>164</v>
      </c>
      <c r="H28" s="401"/>
      <c r="I28" s="401"/>
      <c r="J28" s="118">
        <f>J27^4/(K26)</f>
        <v>65.241711393239186</v>
      </c>
      <c r="K28" s="126"/>
    </row>
    <row r="29" spans="1:11" ht="15.75" x14ac:dyDescent="0.2">
      <c r="A29" s="120" t="s">
        <v>165</v>
      </c>
      <c r="B29" s="121"/>
      <c r="C29" s="121"/>
      <c r="D29" s="121"/>
      <c r="E29" s="122"/>
      <c r="F29" s="121"/>
      <c r="G29" s="127" t="s">
        <v>166</v>
      </c>
      <c r="H29" s="121"/>
      <c r="I29" s="121"/>
      <c r="J29" s="128">
        <f>1.95996+(2.37356/J28)+(2.818745/J28^2)+(2.546662/J28^3)+(1.761829/J28^4)+(0.245458/J28^5)+(1.000764/J28^6)</f>
        <v>1.9970125121837481</v>
      </c>
      <c r="K29" s="125"/>
    </row>
    <row r="30" spans="1:11" ht="15.75" thickBot="1" x14ac:dyDescent="0.25">
      <c r="A30" s="129" t="s">
        <v>167</v>
      </c>
      <c r="B30" s="130"/>
      <c r="C30" s="130"/>
      <c r="D30" s="130"/>
      <c r="E30" s="131"/>
      <c r="F30" s="130"/>
      <c r="G30" s="132" t="s">
        <v>168</v>
      </c>
      <c r="H30" s="130"/>
      <c r="I30" s="130"/>
      <c r="J30" s="466">
        <f>J27*J29</f>
        <v>0.30991878579394666</v>
      </c>
      <c r="K30" s="134" t="str">
        <f>D18</f>
        <v>l/min</v>
      </c>
    </row>
    <row r="31" spans="1:11" ht="13.5" thickBot="1" x14ac:dyDescent="0.25">
      <c r="A31" s="90"/>
      <c r="J31" s="492">
        <f>(J30/C18)*100</f>
        <v>14.780489686425888</v>
      </c>
      <c r="K31" s="467" t="s">
        <v>169</v>
      </c>
    </row>
    <row r="32" spans="1:11" x14ac:dyDescent="0.2">
      <c r="A32" s="91" t="str">
        <f>A18</f>
        <v>Flow</v>
      </c>
      <c r="B32" s="92"/>
      <c r="C32" s="93">
        <f>'DB GAS FLOW'!C153</f>
        <v>3.1532099999999996</v>
      </c>
      <c r="D32" s="94" t="str">
        <f>D18</f>
        <v>l/min</v>
      </c>
      <c r="E32" s="395"/>
      <c r="F32" s="395"/>
      <c r="G32" s="395"/>
      <c r="H32" s="395"/>
      <c r="I32" s="395"/>
      <c r="J32" s="395"/>
      <c r="K32" s="95"/>
    </row>
    <row r="33" spans="1:11" ht="15" x14ac:dyDescent="0.2">
      <c r="A33" s="96" t="s">
        <v>142</v>
      </c>
      <c r="B33" s="97" t="s">
        <v>143</v>
      </c>
      <c r="C33" s="98" t="s">
        <v>144</v>
      </c>
      <c r="D33" s="97" t="s">
        <v>145</v>
      </c>
      <c r="E33" s="99" t="s">
        <v>146</v>
      </c>
      <c r="F33" s="97" t="s">
        <v>147</v>
      </c>
      <c r="G33" s="98" t="s">
        <v>148</v>
      </c>
      <c r="H33" s="97" t="s">
        <v>149</v>
      </c>
      <c r="I33" s="98" t="s">
        <v>150</v>
      </c>
      <c r="J33" s="97" t="s">
        <v>151</v>
      </c>
      <c r="K33" s="100" t="s">
        <v>152</v>
      </c>
    </row>
    <row r="34" spans="1:11" x14ac:dyDescent="0.2">
      <c r="A34" s="101" t="s">
        <v>153</v>
      </c>
      <c r="B34" s="102" t="str">
        <f>D32</f>
        <v>l/min</v>
      </c>
      <c r="C34" s="396" t="s">
        <v>154</v>
      </c>
      <c r="D34" s="727">
        <f>'DB GAS FLOW'!D153</f>
        <v>8.5680802984099066E-2</v>
      </c>
      <c r="E34" s="397">
        <f>SQRT(5)</f>
        <v>2.2360679774997898</v>
      </c>
      <c r="F34" s="102">
        <v>4</v>
      </c>
      <c r="G34" s="398">
        <f>D34/E34</f>
        <v>3.831761996784247E-2</v>
      </c>
      <c r="H34" s="103">
        <v>1</v>
      </c>
      <c r="I34" s="398">
        <f>G34*H34</f>
        <v>3.831761996784247E-2</v>
      </c>
      <c r="J34" s="104">
        <f>I34^2</f>
        <v>1.46824E-3</v>
      </c>
      <c r="K34" s="105">
        <f>I34^4/F34</f>
        <v>5.3893217439999995E-7</v>
      </c>
    </row>
    <row r="35" spans="1:11" x14ac:dyDescent="0.2">
      <c r="A35" s="106" t="s">
        <v>155</v>
      </c>
      <c r="B35" s="102" t="str">
        <f>D32</f>
        <v>l/min</v>
      </c>
      <c r="C35" s="107" t="s">
        <v>156</v>
      </c>
      <c r="D35" s="137">
        <f>'DB GAS FLOW'!M151</f>
        <v>0.25</v>
      </c>
      <c r="E35" s="108">
        <f>SQRT(3)</f>
        <v>1.7320508075688772</v>
      </c>
      <c r="F35" s="102">
        <f>1/2*(100/10)^2</f>
        <v>50</v>
      </c>
      <c r="G35" s="109">
        <f>D35/E35</f>
        <v>0.14433756729740646</v>
      </c>
      <c r="H35" s="102">
        <v>1</v>
      </c>
      <c r="I35" s="109">
        <f>G35*H35</f>
        <v>0.14433756729740646</v>
      </c>
      <c r="J35" s="110">
        <f>I35^2</f>
        <v>2.0833333333333339E-2</v>
      </c>
      <c r="K35" s="111">
        <f>I35^4/F35</f>
        <v>8.6805555555555606E-6</v>
      </c>
    </row>
    <row r="36" spans="1:11" x14ac:dyDescent="0.2">
      <c r="A36" s="106" t="s">
        <v>157</v>
      </c>
      <c r="B36" s="102" t="str">
        <f>D32</f>
        <v>l/min</v>
      </c>
      <c r="C36" s="107" t="s">
        <v>156</v>
      </c>
      <c r="D36" s="137">
        <f>'DB GAS FLOW'!N151</f>
        <v>5.0000000000000001E-3</v>
      </c>
      <c r="E36" s="108">
        <f>SQRT(3)</f>
        <v>1.7320508075688772</v>
      </c>
      <c r="F36" s="102">
        <f>1/2*(100/10)^2</f>
        <v>50</v>
      </c>
      <c r="G36" s="109">
        <f>D36/E36</f>
        <v>2.886751345948129E-3</v>
      </c>
      <c r="H36" s="102">
        <v>1</v>
      </c>
      <c r="I36" s="109">
        <f>G36*H36</f>
        <v>2.886751345948129E-3</v>
      </c>
      <c r="J36" s="110">
        <f>I36^2</f>
        <v>8.3333333333333337E-6</v>
      </c>
      <c r="K36" s="111">
        <f>I36^4/F36</f>
        <v>1.3888888888888891E-12</v>
      </c>
    </row>
    <row r="37" spans="1:11" x14ac:dyDescent="0.2">
      <c r="A37" s="101" t="s">
        <v>158</v>
      </c>
      <c r="B37" s="102" t="str">
        <f>D32</f>
        <v>l/min</v>
      </c>
      <c r="C37" s="102" t="s">
        <v>156</v>
      </c>
      <c r="D37" s="112">
        <f>'DB GAS FLOW'!K153</f>
        <v>0</v>
      </c>
      <c r="E37" s="112">
        <f>SQRT(3)</f>
        <v>1.7320508075688772</v>
      </c>
      <c r="F37" s="102">
        <f>1/2*(100/10)^2</f>
        <v>50</v>
      </c>
      <c r="G37" s="113">
        <f>D37/E37</f>
        <v>0</v>
      </c>
      <c r="H37" s="102">
        <v>1</v>
      </c>
      <c r="I37" s="113">
        <f>G37*H37</f>
        <v>0</v>
      </c>
      <c r="J37" s="110">
        <f>I37^2</f>
        <v>0</v>
      </c>
      <c r="K37" s="114">
        <f>I37^4/F37</f>
        <v>0</v>
      </c>
    </row>
    <row r="38" spans="1:11" x14ac:dyDescent="0.2">
      <c r="A38" s="115" t="s">
        <v>159</v>
      </c>
      <c r="B38" s="102" t="str">
        <f>D32</f>
        <v>l/min</v>
      </c>
      <c r="C38" s="107" t="s">
        <v>154</v>
      </c>
      <c r="D38" s="138">
        <f>'DB GAS FLOW'!L153</f>
        <v>0.1309609110321435</v>
      </c>
      <c r="E38" s="116">
        <v>2</v>
      </c>
      <c r="F38" s="102">
        <f>1/2*(100/10)^2</f>
        <v>50</v>
      </c>
      <c r="G38" s="109">
        <f>D38/E38</f>
        <v>6.5480455516071748E-2</v>
      </c>
      <c r="H38" s="102">
        <v>1</v>
      </c>
      <c r="I38" s="109">
        <f>G38*H38</f>
        <v>6.5480455516071748E-2</v>
      </c>
      <c r="J38" s="110">
        <f>I38^2</f>
        <v>4.2876900545922511E-3</v>
      </c>
      <c r="K38" s="114">
        <f>I38^4/F38</f>
        <v>3.6768572008498601E-7</v>
      </c>
    </row>
    <row r="39" spans="1:11" x14ac:dyDescent="0.2">
      <c r="A39" s="115"/>
      <c r="B39" s="102"/>
      <c r="C39" s="102"/>
      <c r="D39" s="102"/>
      <c r="E39" s="112"/>
      <c r="F39" s="102"/>
      <c r="G39" s="113"/>
      <c r="H39" s="102"/>
      <c r="I39" s="113"/>
      <c r="J39" s="110"/>
      <c r="K39" s="114"/>
    </row>
    <row r="40" spans="1:11" ht="15" x14ac:dyDescent="0.2">
      <c r="A40" s="117" t="s">
        <v>160</v>
      </c>
      <c r="B40" s="399"/>
      <c r="C40" s="399"/>
      <c r="D40" s="399"/>
      <c r="E40" s="400"/>
      <c r="F40" s="399"/>
      <c r="G40" s="399"/>
      <c r="H40" s="399"/>
      <c r="I40" s="399"/>
      <c r="J40" s="118">
        <f>SUM(J34:J38)</f>
        <v>2.6597596721258922E-2</v>
      </c>
      <c r="K40" s="119">
        <f>SUM(K34:K38)</f>
        <v>9.5871748389294347E-6</v>
      </c>
    </row>
    <row r="41" spans="1:11" ht="18" x14ac:dyDescent="0.2">
      <c r="A41" s="120" t="s">
        <v>161</v>
      </c>
      <c r="B41" s="121"/>
      <c r="C41" s="121"/>
      <c r="D41" s="121"/>
      <c r="E41" s="122"/>
      <c r="F41" s="121"/>
      <c r="G41" s="123" t="s">
        <v>162</v>
      </c>
      <c r="H41" s="121"/>
      <c r="I41" s="121"/>
      <c r="J41" s="124">
        <f>SQRT(J40)</f>
        <v>0.16308769641287757</v>
      </c>
      <c r="K41" s="125"/>
    </row>
    <row r="42" spans="1:11" ht="18" x14ac:dyDescent="0.2">
      <c r="A42" s="117" t="s">
        <v>163</v>
      </c>
      <c r="B42" s="401"/>
      <c r="C42" s="401"/>
      <c r="D42" s="401"/>
      <c r="E42" s="402"/>
      <c r="F42" s="401"/>
      <c r="G42" s="403" t="s">
        <v>164</v>
      </c>
      <c r="H42" s="401"/>
      <c r="I42" s="401"/>
      <c r="J42" s="118">
        <f>J41^4/(K40)</f>
        <v>73.789428401174291</v>
      </c>
      <c r="K42" s="126"/>
    </row>
    <row r="43" spans="1:11" ht="15.75" x14ac:dyDescent="0.2">
      <c r="A43" s="120" t="s">
        <v>165</v>
      </c>
      <c r="B43" s="121"/>
      <c r="C43" s="121"/>
      <c r="D43" s="121"/>
      <c r="E43" s="122"/>
      <c r="F43" s="121"/>
      <c r="G43" s="127" t="s">
        <v>166</v>
      </c>
      <c r="H43" s="121"/>
      <c r="I43" s="121"/>
      <c r="J43" s="128">
        <f>1.95996+(2.37356/J42)+(2.818745/J42^2)+(2.546662/J42^3)+(1.761829/J42^4)+(0.245458/J42^5)+(1.000764/J42^6)</f>
        <v>1.9926507527495967</v>
      </c>
      <c r="K43" s="125"/>
    </row>
    <row r="44" spans="1:11" ht="15.75" thickBot="1" x14ac:dyDescent="0.25">
      <c r="A44" s="129" t="s">
        <v>167</v>
      </c>
      <c r="B44" s="130"/>
      <c r="C44" s="130"/>
      <c r="D44" s="130"/>
      <c r="E44" s="131"/>
      <c r="F44" s="130"/>
      <c r="G44" s="132" t="s">
        <v>168</v>
      </c>
      <c r="H44" s="130"/>
      <c r="I44" s="130"/>
      <c r="J44" s="466">
        <f>J41*J43</f>
        <v>0.3249768210213182</v>
      </c>
      <c r="K44" s="134" t="str">
        <f>D32</f>
        <v>l/min</v>
      </c>
    </row>
    <row r="45" spans="1:11" ht="13.5" thickBot="1" x14ac:dyDescent="0.25">
      <c r="A45" s="90"/>
      <c r="J45" s="492">
        <f>(J44/C32)*100</f>
        <v>10.306221945931867</v>
      </c>
      <c r="K45" s="467" t="s">
        <v>169</v>
      </c>
    </row>
    <row r="46" spans="1:11" x14ac:dyDescent="0.2">
      <c r="A46" s="91" t="str">
        <f>A18</f>
        <v>Flow</v>
      </c>
      <c r="B46" s="92"/>
      <c r="C46" s="93">
        <f>'DB GAS FLOW'!C154</f>
        <v>4.3604099999999999</v>
      </c>
      <c r="D46" s="94" t="str">
        <f>D18</f>
        <v>l/min</v>
      </c>
      <c r="E46" s="395"/>
      <c r="F46" s="395"/>
      <c r="G46" s="395"/>
      <c r="H46" s="395"/>
      <c r="I46" s="395"/>
      <c r="J46" s="395"/>
      <c r="K46" s="95"/>
    </row>
    <row r="47" spans="1:11" ht="15" x14ac:dyDescent="0.2">
      <c r="A47" s="96" t="s">
        <v>142</v>
      </c>
      <c r="B47" s="97" t="s">
        <v>143</v>
      </c>
      <c r="C47" s="98" t="s">
        <v>144</v>
      </c>
      <c r="D47" s="97" t="s">
        <v>145</v>
      </c>
      <c r="E47" s="99" t="s">
        <v>146</v>
      </c>
      <c r="F47" s="97" t="s">
        <v>147</v>
      </c>
      <c r="G47" s="98" t="s">
        <v>148</v>
      </c>
      <c r="H47" s="97" t="s">
        <v>149</v>
      </c>
      <c r="I47" s="98" t="s">
        <v>150</v>
      </c>
      <c r="J47" s="97" t="s">
        <v>151</v>
      </c>
      <c r="K47" s="100" t="s">
        <v>152</v>
      </c>
    </row>
    <row r="48" spans="1:11" x14ac:dyDescent="0.2">
      <c r="A48" s="101" t="s">
        <v>153</v>
      </c>
      <c r="B48" s="102" t="str">
        <f>D46</f>
        <v>l/min</v>
      </c>
      <c r="C48" s="396" t="s">
        <v>154</v>
      </c>
      <c r="D48" s="727">
        <f>'DB GAS FLOW'!D154</f>
        <v>5.4772255750486253E-4</v>
      </c>
      <c r="E48" s="397">
        <f>SQRT(5)</f>
        <v>2.2360679774997898</v>
      </c>
      <c r="F48" s="102">
        <v>4</v>
      </c>
      <c r="G48" s="398">
        <f>D48/E48</f>
        <v>2.4494897427818204E-4</v>
      </c>
      <c r="H48" s="103">
        <v>1</v>
      </c>
      <c r="I48" s="398">
        <f>G48*H48</f>
        <v>2.4494897427818204E-4</v>
      </c>
      <c r="J48" s="104">
        <f>I48^2</f>
        <v>5.9999999999933489E-8</v>
      </c>
      <c r="K48" s="105">
        <f>I48^4/F48</f>
        <v>8.9999999999800461E-16</v>
      </c>
    </row>
    <row r="49" spans="1:11" x14ac:dyDescent="0.2">
      <c r="A49" s="106" t="s">
        <v>155</v>
      </c>
      <c r="B49" s="102" t="str">
        <f>D46</f>
        <v>l/min</v>
      </c>
      <c r="C49" s="107" t="s">
        <v>156</v>
      </c>
      <c r="D49" s="137">
        <f>'DB GAS FLOW'!M151</f>
        <v>0.25</v>
      </c>
      <c r="E49" s="108">
        <f>SQRT(3)</f>
        <v>1.7320508075688772</v>
      </c>
      <c r="F49" s="102">
        <f>1/2*(100/10)^2</f>
        <v>50</v>
      </c>
      <c r="G49" s="109">
        <f>D49/E49</f>
        <v>0.14433756729740646</v>
      </c>
      <c r="H49" s="102">
        <v>1</v>
      </c>
      <c r="I49" s="109">
        <f>G49*H49</f>
        <v>0.14433756729740646</v>
      </c>
      <c r="J49" s="110">
        <f>I49^2</f>
        <v>2.0833333333333339E-2</v>
      </c>
      <c r="K49" s="111">
        <f>I49^4/F49</f>
        <v>8.6805555555555606E-6</v>
      </c>
    </row>
    <row r="50" spans="1:11" x14ac:dyDescent="0.2">
      <c r="A50" s="106" t="s">
        <v>157</v>
      </c>
      <c r="B50" s="102" t="str">
        <f>D46</f>
        <v>l/min</v>
      </c>
      <c r="C50" s="107" t="s">
        <v>156</v>
      </c>
      <c r="D50" s="137">
        <f>'DB GAS FLOW'!N151</f>
        <v>5.0000000000000001E-3</v>
      </c>
      <c r="E50" s="108">
        <f>SQRT(3)</f>
        <v>1.7320508075688772</v>
      </c>
      <c r="F50" s="102">
        <f>1/2*(100/10)^2</f>
        <v>50</v>
      </c>
      <c r="G50" s="109">
        <f>D50/E50</f>
        <v>2.886751345948129E-3</v>
      </c>
      <c r="H50" s="102">
        <v>1</v>
      </c>
      <c r="I50" s="109">
        <f>G50*H50</f>
        <v>2.886751345948129E-3</v>
      </c>
      <c r="J50" s="110">
        <f>I50^2</f>
        <v>8.3333333333333337E-6</v>
      </c>
      <c r="K50" s="111">
        <f>I50^4/F50</f>
        <v>1.3888888888888891E-12</v>
      </c>
    </row>
    <row r="51" spans="1:11" x14ac:dyDescent="0.2">
      <c r="A51" s="101" t="s">
        <v>158</v>
      </c>
      <c r="B51" s="102" t="str">
        <f>D46</f>
        <v>l/min</v>
      </c>
      <c r="C51" s="102" t="s">
        <v>156</v>
      </c>
      <c r="D51" s="112">
        <f>'DB GAS FLOW'!K154</f>
        <v>0</v>
      </c>
      <c r="E51" s="112">
        <f>SQRT(3)</f>
        <v>1.7320508075688772</v>
      </c>
      <c r="F51" s="102">
        <f>1/2*(100/10)^2</f>
        <v>50</v>
      </c>
      <c r="G51" s="113">
        <f>D51/E51</f>
        <v>0</v>
      </c>
      <c r="H51" s="102">
        <v>1</v>
      </c>
      <c r="I51" s="113">
        <f>G51*H51</f>
        <v>0</v>
      </c>
      <c r="J51" s="110">
        <f>I51^2</f>
        <v>0</v>
      </c>
      <c r="K51" s="114">
        <f>I51^4/F51</f>
        <v>0</v>
      </c>
    </row>
    <row r="52" spans="1:11" x14ac:dyDescent="0.2">
      <c r="A52" s="115" t="s">
        <v>159</v>
      </c>
      <c r="B52" s="102" t="str">
        <f>D46</f>
        <v>l/min</v>
      </c>
      <c r="C52" s="107" t="s">
        <v>154</v>
      </c>
      <c r="D52" s="138">
        <f>'DB GAS FLOW'!L154</f>
        <v>0.15047125347727974</v>
      </c>
      <c r="E52" s="116">
        <v>2</v>
      </c>
      <c r="F52" s="102">
        <f>1/2*(100/10)^2</f>
        <v>50</v>
      </c>
      <c r="G52" s="109">
        <f>D52/E52</f>
        <v>7.5235626738639871E-2</v>
      </c>
      <c r="H52" s="102">
        <v>1</v>
      </c>
      <c r="I52" s="109">
        <f>G52*H52</f>
        <v>7.5235626738639871E-2</v>
      </c>
      <c r="J52" s="110">
        <f>I52^2</f>
        <v>5.6603995307559427E-3</v>
      </c>
      <c r="K52" s="114">
        <f>I52^4/F52</f>
        <v>6.4080245695564193E-7</v>
      </c>
    </row>
    <row r="53" spans="1:11" x14ac:dyDescent="0.2">
      <c r="A53" s="115"/>
      <c r="B53" s="102"/>
      <c r="C53" s="102"/>
      <c r="D53" s="102"/>
      <c r="E53" s="112"/>
      <c r="F53" s="102"/>
      <c r="G53" s="113"/>
      <c r="H53" s="102"/>
      <c r="I53" s="113"/>
      <c r="J53" s="110"/>
      <c r="K53" s="114"/>
    </row>
    <row r="54" spans="1:11" ht="15" x14ac:dyDescent="0.2">
      <c r="A54" s="117" t="s">
        <v>160</v>
      </c>
      <c r="B54" s="399"/>
      <c r="C54" s="399"/>
      <c r="D54" s="399"/>
      <c r="E54" s="400"/>
      <c r="F54" s="399"/>
      <c r="G54" s="399"/>
      <c r="H54" s="399"/>
      <c r="I54" s="399"/>
      <c r="J54" s="118">
        <f>SUM(J48:J52)</f>
        <v>2.6502126197422614E-2</v>
      </c>
      <c r="K54" s="119">
        <f>SUM(K48:K52)</f>
        <v>9.3213594023000904E-6</v>
      </c>
    </row>
    <row r="55" spans="1:11" ht="18" x14ac:dyDescent="0.2">
      <c r="A55" s="120" t="s">
        <v>161</v>
      </c>
      <c r="B55" s="121"/>
      <c r="C55" s="121"/>
      <c r="D55" s="121"/>
      <c r="E55" s="122"/>
      <c r="F55" s="121"/>
      <c r="G55" s="123" t="s">
        <v>162</v>
      </c>
      <c r="H55" s="121"/>
      <c r="I55" s="121"/>
      <c r="J55" s="124">
        <f>SQRT(J54)</f>
        <v>0.16279473639347991</v>
      </c>
      <c r="K55" s="125"/>
    </row>
    <row r="56" spans="1:11" ht="18" x14ac:dyDescent="0.2">
      <c r="A56" s="117" t="s">
        <v>163</v>
      </c>
      <c r="B56" s="401"/>
      <c r="C56" s="401"/>
      <c r="D56" s="401"/>
      <c r="E56" s="402"/>
      <c r="F56" s="401"/>
      <c r="G56" s="403" t="s">
        <v>164</v>
      </c>
      <c r="H56" s="401"/>
      <c r="I56" s="401"/>
      <c r="J56" s="118">
        <f>J55^4/(K54)</f>
        <v>75.349813548740826</v>
      </c>
      <c r="K56" s="126"/>
    </row>
    <row r="57" spans="1:11" ht="15.75" x14ac:dyDescent="0.2">
      <c r="A57" s="120" t="s">
        <v>165</v>
      </c>
      <c r="B57" s="121"/>
      <c r="C57" s="121"/>
      <c r="D57" s="121"/>
      <c r="E57" s="122"/>
      <c r="F57" s="121"/>
      <c r="G57" s="127" t="s">
        <v>166</v>
      </c>
      <c r="H57" s="121"/>
      <c r="I57" s="121"/>
      <c r="J57" s="128">
        <f>1.95996+(2.37356/J56)+(2.818745/J56^2)+(2.546662/J56^3)+(1.761829/J56^4)+(0.245458/J56^5)+(1.000764/J56^6)</f>
        <v>1.9919630182430101</v>
      </c>
      <c r="K57" s="125"/>
    </row>
    <row r="58" spans="1:11" ht="15.75" thickBot="1" x14ac:dyDescent="0.25">
      <c r="A58" s="129" t="s">
        <v>167</v>
      </c>
      <c r="B58" s="130"/>
      <c r="C58" s="130"/>
      <c r="D58" s="130"/>
      <c r="E58" s="131"/>
      <c r="F58" s="130"/>
      <c r="G58" s="132" t="s">
        <v>168</v>
      </c>
      <c r="H58" s="130"/>
      <c r="I58" s="130"/>
      <c r="J58" s="466">
        <f>J55*J57</f>
        <v>0.32428109446043146</v>
      </c>
      <c r="K58" s="134" t="str">
        <f>D46</f>
        <v>l/min</v>
      </c>
    </row>
    <row r="59" spans="1:11" ht="13.5" thickBot="1" x14ac:dyDescent="0.25">
      <c r="A59" s="90"/>
      <c r="J59" s="492">
        <f>(J58/C46)*100</f>
        <v>7.4369404358863385</v>
      </c>
      <c r="K59" s="467" t="s">
        <v>169</v>
      </c>
    </row>
    <row r="60" spans="1:11" x14ac:dyDescent="0.2">
      <c r="A60" s="91" t="s">
        <v>140</v>
      </c>
      <c r="B60" s="92"/>
      <c r="C60" s="93">
        <f>'DB GAS FLOW'!C155</f>
        <v>5.4920099999999996</v>
      </c>
      <c r="D60" s="94" t="str">
        <f>D18</f>
        <v>l/min</v>
      </c>
      <c r="E60" s="395"/>
      <c r="F60" s="395"/>
      <c r="G60" s="395"/>
      <c r="H60" s="395"/>
      <c r="I60" s="395"/>
      <c r="J60" s="395"/>
      <c r="K60" s="95"/>
    </row>
    <row r="61" spans="1:11" ht="15" x14ac:dyDescent="0.2">
      <c r="A61" s="96" t="s">
        <v>142</v>
      </c>
      <c r="B61" s="97" t="s">
        <v>143</v>
      </c>
      <c r="C61" s="98" t="s">
        <v>144</v>
      </c>
      <c r="D61" s="97" t="s">
        <v>145</v>
      </c>
      <c r="E61" s="99" t="s">
        <v>146</v>
      </c>
      <c r="F61" s="97" t="s">
        <v>147</v>
      </c>
      <c r="G61" s="98" t="s">
        <v>148</v>
      </c>
      <c r="H61" s="97" t="s">
        <v>149</v>
      </c>
      <c r="I61" s="98" t="s">
        <v>150</v>
      </c>
      <c r="J61" s="97" t="s">
        <v>151</v>
      </c>
      <c r="K61" s="100" t="s">
        <v>152</v>
      </c>
    </row>
    <row r="62" spans="1:11" x14ac:dyDescent="0.2">
      <c r="A62" s="101" t="s">
        <v>153</v>
      </c>
      <c r="B62" s="102" t="str">
        <f>D60</f>
        <v>l/min</v>
      </c>
      <c r="C62" s="396" t="s">
        <v>154</v>
      </c>
      <c r="D62" s="727">
        <f>'DB GAS FLOW'!D155</f>
        <v>2.7386127875257721E-3</v>
      </c>
      <c r="E62" s="397">
        <f>SQRT(5)</f>
        <v>2.2360679774997898</v>
      </c>
      <c r="F62" s="102">
        <v>4</v>
      </c>
      <c r="G62" s="398">
        <f>D62/E62</f>
        <v>1.2247448713915629E-3</v>
      </c>
      <c r="H62" s="103">
        <v>1</v>
      </c>
      <c r="I62" s="398">
        <f>G62*H62</f>
        <v>1.2247448713915629E-3</v>
      </c>
      <c r="J62" s="104">
        <f>I62^2</f>
        <v>1.4999999999999359E-6</v>
      </c>
      <c r="K62" s="105">
        <f>I62^4/F62</f>
        <v>5.6249999999995191E-13</v>
      </c>
    </row>
    <row r="63" spans="1:11" x14ac:dyDescent="0.2">
      <c r="A63" s="106" t="s">
        <v>155</v>
      </c>
      <c r="B63" s="102" t="str">
        <f>D60</f>
        <v>l/min</v>
      </c>
      <c r="C63" s="107" t="s">
        <v>156</v>
      </c>
      <c r="D63" s="137">
        <f>'DB GAS FLOW'!M151</f>
        <v>0.25</v>
      </c>
      <c r="E63" s="108">
        <f>SQRT(3)</f>
        <v>1.7320508075688772</v>
      </c>
      <c r="F63" s="102">
        <f>1/2*(100/10)^2</f>
        <v>50</v>
      </c>
      <c r="G63" s="109">
        <f>D63/E63</f>
        <v>0.14433756729740646</v>
      </c>
      <c r="H63" s="102">
        <v>1</v>
      </c>
      <c r="I63" s="109">
        <f>G63*H63</f>
        <v>0.14433756729740646</v>
      </c>
      <c r="J63" s="110">
        <f>I63^2</f>
        <v>2.0833333333333339E-2</v>
      </c>
      <c r="K63" s="111">
        <f>I63^4/F63</f>
        <v>8.6805555555555606E-6</v>
      </c>
    </row>
    <row r="64" spans="1:11" x14ac:dyDescent="0.2">
      <c r="A64" s="106" t="s">
        <v>157</v>
      </c>
      <c r="B64" s="102" t="str">
        <f>D60</f>
        <v>l/min</v>
      </c>
      <c r="C64" s="107" t="s">
        <v>156</v>
      </c>
      <c r="D64" s="137">
        <f>'DB GAS FLOW'!N151</f>
        <v>5.0000000000000001E-3</v>
      </c>
      <c r="E64" s="108">
        <f>SQRT(3)</f>
        <v>1.7320508075688772</v>
      </c>
      <c r="F64" s="102">
        <f>1/2*(100/10)^2</f>
        <v>50</v>
      </c>
      <c r="G64" s="109">
        <f>D64/E64</f>
        <v>2.886751345948129E-3</v>
      </c>
      <c r="H64" s="102">
        <v>1</v>
      </c>
      <c r="I64" s="109">
        <f>G64*H64</f>
        <v>2.886751345948129E-3</v>
      </c>
      <c r="J64" s="110">
        <f>I64^2</f>
        <v>8.3333333333333337E-6</v>
      </c>
      <c r="K64" s="111">
        <f>I64^4/F64</f>
        <v>1.3888888888888891E-12</v>
      </c>
    </row>
    <row r="65" spans="1:11" x14ac:dyDescent="0.2">
      <c r="A65" s="101" t="s">
        <v>158</v>
      </c>
      <c r="B65" s="102" t="str">
        <f>D60</f>
        <v>l/min</v>
      </c>
      <c r="C65" s="102" t="s">
        <v>156</v>
      </c>
      <c r="D65" s="112">
        <f>'DB GAS FLOW'!K155</f>
        <v>0</v>
      </c>
      <c r="E65" s="112">
        <f>SQRT(3)</f>
        <v>1.7320508075688772</v>
      </c>
      <c r="F65" s="102">
        <f>1/2*(100/10)^2</f>
        <v>50</v>
      </c>
      <c r="G65" s="113">
        <f>D65/E65</f>
        <v>0</v>
      </c>
      <c r="H65" s="102">
        <v>1</v>
      </c>
      <c r="I65" s="113">
        <f>G65*H65</f>
        <v>0</v>
      </c>
      <c r="J65" s="110">
        <f>I65^2</f>
        <v>0</v>
      </c>
      <c r="K65" s="114">
        <f>I65^4/F65</f>
        <v>0</v>
      </c>
    </row>
    <row r="66" spans="1:11" x14ac:dyDescent="0.2">
      <c r="A66" s="115" t="s">
        <v>159</v>
      </c>
      <c r="B66" s="102" t="str">
        <f>D60</f>
        <v>l/min</v>
      </c>
      <c r="C66" s="107" t="s">
        <v>154</v>
      </c>
      <c r="D66" s="138">
        <f>'DB GAS FLOW'!L155</f>
        <v>0.17099411764705882</v>
      </c>
      <c r="E66" s="116">
        <v>2</v>
      </c>
      <c r="F66" s="102">
        <f>1/2*(100/10)^2</f>
        <v>50</v>
      </c>
      <c r="G66" s="109">
        <f>D66/E66</f>
        <v>8.5497058823529412E-2</v>
      </c>
      <c r="H66" s="102">
        <v>1</v>
      </c>
      <c r="I66" s="109">
        <f>G66*H66</f>
        <v>8.5497058823529412E-2</v>
      </c>
      <c r="J66" s="110">
        <f>I66^2</f>
        <v>7.3097470674740482E-3</v>
      </c>
      <c r="K66" s="114">
        <f>I66^4/F66</f>
        <v>1.068648043808909E-6</v>
      </c>
    </row>
    <row r="67" spans="1:11" x14ac:dyDescent="0.2">
      <c r="A67" s="115"/>
      <c r="B67" s="102"/>
      <c r="C67" s="102"/>
      <c r="D67" s="102"/>
      <c r="E67" s="112"/>
      <c r="F67" s="102"/>
      <c r="G67" s="113"/>
      <c r="H67" s="102"/>
      <c r="I67" s="113"/>
      <c r="J67" s="110"/>
      <c r="K67" s="114"/>
    </row>
    <row r="68" spans="1:11" ht="15" x14ac:dyDescent="0.2">
      <c r="A68" s="117" t="s">
        <v>160</v>
      </c>
      <c r="B68" s="399"/>
      <c r="C68" s="399"/>
      <c r="D68" s="399"/>
      <c r="E68" s="400"/>
      <c r="F68" s="399"/>
      <c r="G68" s="399"/>
      <c r="H68" s="399"/>
      <c r="I68" s="399"/>
      <c r="J68" s="118">
        <f>SUM(J62:J66)</f>
        <v>2.8152913734140722E-2</v>
      </c>
      <c r="K68" s="119">
        <f>SUM(K62:K66)</f>
        <v>9.7492055507533568E-6</v>
      </c>
    </row>
    <row r="69" spans="1:11" ht="18" x14ac:dyDescent="0.2">
      <c r="A69" s="120" t="s">
        <v>161</v>
      </c>
      <c r="B69" s="121"/>
      <c r="C69" s="121"/>
      <c r="D69" s="121"/>
      <c r="E69" s="122"/>
      <c r="F69" s="121"/>
      <c r="G69" s="123" t="s">
        <v>162</v>
      </c>
      <c r="H69" s="121"/>
      <c r="I69" s="121"/>
      <c r="J69" s="124">
        <f>SQRT(J68)</f>
        <v>0.16778830034940076</v>
      </c>
      <c r="K69" s="125"/>
    </row>
    <row r="70" spans="1:11" ht="18" x14ac:dyDescent="0.2">
      <c r="A70" s="117" t="s">
        <v>163</v>
      </c>
      <c r="B70" s="401"/>
      <c r="C70" s="401"/>
      <c r="D70" s="401"/>
      <c r="E70" s="402"/>
      <c r="F70" s="401"/>
      <c r="G70" s="403" t="s">
        <v>164</v>
      </c>
      <c r="H70" s="401"/>
      <c r="I70" s="401"/>
      <c r="J70" s="118">
        <f>J69^4/(K68)</f>
        <v>81.297552666814269</v>
      </c>
      <c r="K70" s="126"/>
    </row>
    <row r="71" spans="1:11" ht="15.75" x14ac:dyDescent="0.2">
      <c r="A71" s="120" t="s">
        <v>165</v>
      </c>
      <c r="B71" s="121"/>
      <c r="C71" s="121"/>
      <c r="D71" s="121"/>
      <c r="E71" s="122"/>
      <c r="F71" s="121"/>
      <c r="G71" s="127" t="s">
        <v>166</v>
      </c>
      <c r="H71" s="121"/>
      <c r="I71" s="121"/>
      <c r="J71" s="128">
        <f>1.95996+(2.37356/J70)+(2.818745/J70^2)+(2.546662/J70^3)+(1.761829/J70^4)+(0.245458/J70^5)+(1.000764/J70^6)</f>
        <v>1.9895872209326533</v>
      </c>
      <c r="K71" s="125"/>
    </row>
    <row r="72" spans="1:11" ht="15.75" thickBot="1" x14ac:dyDescent="0.25">
      <c r="A72" s="129" t="s">
        <v>167</v>
      </c>
      <c r="B72" s="130"/>
      <c r="C72" s="130"/>
      <c r="D72" s="130"/>
      <c r="E72" s="131"/>
      <c r="F72" s="130"/>
      <c r="G72" s="132" t="s">
        <v>168</v>
      </c>
      <c r="H72" s="130"/>
      <c r="I72" s="130"/>
      <c r="J72" s="466">
        <f>J69*J71</f>
        <v>0.33382945819717758</v>
      </c>
      <c r="K72" s="134" t="str">
        <f>D60</f>
        <v>l/min</v>
      </c>
    </row>
    <row r="73" spans="1:11" ht="15.75" thickBot="1" x14ac:dyDescent="0.25">
      <c r="A73" s="133"/>
      <c r="B73" s="401"/>
      <c r="C73" s="401"/>
      <c r="D73" s="401"/>
      <c r="E73" s="402"/>
      <c r="F73" s="401"/>
      <c r="G73" s="403"/>
      <c r="H73" s="401"/>
      <c r="I73" s="401"/>
      <c r="J73" s="493">
        <f>(J72/C60)*100</f>
        <v>6.0784568527220015</v>
      </c>
      <c r="K73" s="468" t="s">
        <v>169</v>
      </c>
    </row>
    <row r="74" spans="1:11" x14ac:dyDescent="0.2">
      <c r="A74" s="91" t="str">
        <f>A46</f>
        <v>Flow</v>
      </c>
      <c r="B74" s="92"/>
      <c r="C74" s="93">
        <f>'DB GAS FLOW'!C156</f>
        <v>6.0000099999999996</v>
      </c>
      <c r="D74" s="94" t="str">
        <f>D46</f>
        <v>l/min</v>
      </c>
      <c r="E74" s="395"/>
      <c r="F74" s="395"/>
      <c r="G74" s="395"/>
      <c r="H74" s="395"/>
      <c r="I74" s="395"/>
      <c r="J74" s="395"/>
      <c r="K74" s="95"/>
    </row>
    <row r="75" spans="1:11" ht="15" x14ac:dyDescent="0.2">
      <c r="A75" s="96" t="s">
        <v>142</v>
      </c>
      <c r="B75" s="97" t="s">
        <v>143</v>
      </c>
      <c r="C75" s="98" t="s">
        <v>144</v>
      </c>
      <c r="D75" s="97" t="s">
        <v>145</v>
      </c>
      <c r="E75" s="99" t="s">
        <v>146</v>
      </c>
      <c r="F75" s="97" t="s">
        <v>147</v>
      </c>
      <c r="G75" s="98" t="s">
        <v>148</v>
      </c>
      <c r="H75" s="97" t="s">
        <v>149</v>
      </c>
      <c r="I75" s="98" t="s">
        <v>150</v>
      </c>
      <c r="J75" s="97" t="s">
        <v>151</v>
      </c>
      <c r="K75" s="100" t="s">
        <v>152</v>
      </c>
    </row>
    <row r="76" spans="1:11" x14ac:dyDescent="0.2">
      <c r="A76" s="101" t="s">
        <v>153</v>
      </c>
      <c r="B76" s="102" t="str">
        <f>D74</f>
        <v>l/min</v>
      </c>
      <c r="C76" s="396" t="s">
        <v>154</v>
      </c>
      <c r="D76" s="727">
        <f>'DB GAS FLOW'!D156</f>
        <v>0</v>
      </c>
      <c r="E76" s="397">
        <f>SQRT(5)</f>
        <v>2.2360679774997898</v>
      </c>
      <c r="F76" s="102">
        <v>4</v>
      </c>
      <c r="G76" s="398">
        <f>D76/E76</f>
        <v>0</v>
      </c>
      <c r="H76" s="103">
        <v>1</v>
      </c>
      <c r="I76" s="398">
        <f>G76*H76</f>
        <v>0</v>
      </c>
      <c r="J76" s="104">
        <f>I76^2</f>
        <v>0</v>
      </c>
      <c r="K76" s="105">
        <f>I76^4/F76</f>
        <v>0</v>
      </c>
    </row>
    <row r="77" spans="1:11" x14ac:dyDescent="0.2">
      <c r="A77" s="106" t="s">
        <v>155</v>
      </c>
      <c r="B77" s="102" t="str">
        <f>D74</f>
        <v>l/min</v>
      </c>
      <c r="C77" s="107" t="s">
        <v>156</v>
      </c>
      <c r="D77" s="137">
        <f>'DB GAS FLOW'!M151</f>
        <v>0.25</v>
      </c>
      <c r="E77" s="108">
        <f>SQRT(3)</f>
        <v>1.7320508075688772</v>
      </c>
      <c r="F77" s="102">
        <f>1/2*(100/10)^2</f>
        <v>50</v>
      </c>
      <c r="G77" s="109">
        <f>D77/E77</f>
        <v>0.14433756729740646</v>
      </c>
      <c r="H77" s="102">
        <v>1</v>
      </c>
      <c r="I77" s="109">
        <f>G77*H77</f>
        <v>0.14433756729740646</v>
      </c>
      <c r="J77" s="110">
        <f>I77^2</f>
        <v>2.0833333333333339E-2</v>
      </c>
      <c r="K77" s="111">
        <f>I77^4/F77</f>
        <v>8.6805555555555606E-6</v>
      </c>
    </row>
    <row r="78" spans="1:11" x14ac:dyDescent="0.2">
      <c r="A78" s="106" t="s">
        <v>157</v>
      </c>
      <c r="B78" s="102" t="str">
        <f>D74</f>
        <v>l/min</v>
      </c>
      <c r="C78" s="107" t="s">
        <v>156</v>
      </c>
      <c r="D78" s="137">
        <f>'DB GAS FLOW'!N151</f>
        <v>5.0000000000000001E-3</v>
      </c>
      <c r="E78" s="108">
        <f>SQRT(3)</f>
        <v>1.7320508075688772</v>
      </c>
      <c r="F78" s="102">
        <f>1/2*(100/10)^2</f>
        <v>50</v>
      </c>
      <c r="G78" s="109">
        <f>D78/E78</f>
        <v>2.886751345948129E-3</v>
      </c>
      <c r="H78" s="102">
        <v>1</v>
      </c>
      <c r="I78" s="109">
        <f>G78*H78</f>
        <v>2.886751345948129E-3</v>
      </c>
      <c r="J78" s="110">
        <f>I78^2</f>
        <v>8.3333333333333337E-6</v>
      </c>
      <c r="K78" s="111">
        <f>I78^4/F78</f>
        <v>1.3888888888888891E-12</v>
      </c>
    </row>
    <row r="79" spans="1:11" x14ac:dyDescent="0.2">
      <c r="A79" s="101" t="s">
        <v>158</v>
      </c>
      <c r="B79" s="102" t="str">
        <f>D74</f>
        <v>l/min</v>
      </c>
      <c r="C79" s="102" t="s">
        <v>156</v>
      </c>
      <c r="D79" s="112">
        <f>'DB GAS FLOW'!K156</f>
        <v>0</v>
      </c>
      <c r="E79" s="112">
        <f>SQRT(3)</f>
        <v>1.7320508075688772</v>
      </c>
      <c r="F79" s="102">
        <f>1/2*(100/10)^2</f>
        <v>50</v>
      </c>
      <c r="G79" s="113">
        <f>D79/E79</f>
        <v>0</v>
      </c>
      <c r="H79" s="102">
        <v>1</v>
      </c>
      <c r="I79" s="113">
        <f>G79*H79</f>
        <v>0</v>
      </c>
      <c r="J79" s="110">
        <f>I79^2</f>
        <v>0</v>
      </c>
      <c r="K79" s="114">
        <f>I79^4/F79</f>
        <v>0</v>
      </c>
    </row>
    <row r="80" spans="1:11" x14ac:dyDescent="0.2">
      <c r="A80" s="115" t="s">
        <v>159</v>
      </c>
      <c r="B80" s="102" t="str">
        <f>D74</f>
        <v>l/min</v>
      </c>
      <c r="C80" s="107" t="s">
        <v>154</v>
      </c>
      <c r="D80" s="138">
        <f>'DB GAS FLOW'!L156</f>
        <v>0.18129837728194725</v>
      </c>
      <c r="E80" s="116">
        <v>2</v>
      </c>
      <c r="F80" s="102">
        <f>1/2*(100/10)^2</f>
        <v>50</v>
      </c>
      <c r="G80" s="109">
        <f>D80/E80</f>
        <v>9.0649188640973627E-2</v>
      </c>
      <c r="H80" s="102">
        <v>1</v>
      </c>
      <c r="I80" s="109">
        <f>G80*H80</f>
        <v>9.0649188640973627E-2</v>
      </c>
      <c r="J80" s="110">
        <f>I80^2</f>
        <v>8.2172754012668214E-3</v>
      </c>
      <c r="K80" s="114">
        <f>I80^4/F80</f>
        <v>1.3504723004052961E-6</v>
      </c>
    </row>
    <row r="81" spans="1:11" x14ac:dyDescent="0.2">
      <c r="A81" s="115"/>
      <c r="B81" s="102"/>
      <c r="C81" s="102"/>
      <c r="D81" s="102"/>
      <c r="E81" s="112"/>
      <c r="F81" s="102"/>
      <c r="G81" s="113"/>
      <c r="H81" s="102"/>
      <c r="I81" s="113"/>
      <c r="J81" s="110"/>
      <c r="K81" s="114"/>
    </row>
    <row r="82" spans="1:11" ht="15" x14ac:dyDescent="0.2">
      <c r="A82" s="117" t="s">
        <v>160</v>
      </c>
      <c r="B82" s="399"/>
      <c r="C82" s="399"/>
      <c r="D82" s="399"/>
      <c r="E82" s="400"/>
      <c r="F82" s="399"/>
      <c r="G82" s="399"/>
      <c r="H82" s="399"/>
      <c r="I82" s="399"/>
      <c r="J82" s="118">
        <f>SUM(J76:J80)</f>
        <v>2.9058942067933493E-2</v>
      </c>
      <c r="K82" s="119">
        <f>SUM(K76:K80)</f>
        <v>1.0031029244849746E-5</v>
      </c>
    </row>
    <row r="83" spans="1:11" ht="18" x14ac:dyDescent="0.2">
      <c r="A83" s="120" t="s">
        <v>161</v>
      </c>
      <c r="B83" s="121"/>
      <c r="C83" s="121"/>
      <c r="D83" s="121"/>
      <c r="E83" s="122"/>
      <c r="F83" s="121"/>
      <c r="G83" s="123" t="s">
        <v>162</v>
      </c>
      <c r="H83" s="121"/>
      <c r="I83" s="121"/>
      <c r="J83" s="124">
        <f>SQRT(J82)</f>
        <v>0.1704668356834651</v>
      </c>
      <c r="K83" s="125"/>
    </row>
    <row r="84" spans="1:11" ht="18" x14ac:dyDescent="0.2">
      <c r="A84" s="117" t="s">
        <v>163</v>
      </c>
      <c r="B84" s="401"/>
      <c r="C84" s="401"/>
      <c r="D84" s="401"/>
      <c r="E84" s="402"/>
      <c r="F84" s="401"/>
      <c r="G84" s="403" t="s">
        <v>164</v>
      </c>
      <c r="H84" s="401"/>
      <c r="I84" s="401"/>
      <c r="J84" s="118">
        <f>J83^4/(K82)</f>
        <v>84.181004111922832</v>
      </c>
      <c r="K84" s="126"/>
    </row>
    <row r="85" spans="1:11" ht="15.75" x14ac:dyDescent="0.2">
      <c r="A85" s="120" t="s">
        <v>165</v>
      </c>
      <c r="B85" s="121"/>
      <c r="C85" s="121"/>
      <c r="D85" s="121"/>
      <c r="E85" s="122"/>
      <c r="F85" s="121"/>
      <c r="G85" s="127" t="s">
        <v>166</v>
      </c>
      <c r="H85" s="121"/>
      <c r="I85" s="121"/>
      <c r="J85" s="128">
        <f>1.95996+(2.37356/J84)+(2.818745/J84^2)+(2.546662/J84^3)+(1.761829/J84^4)+(0.245458/J84^5)+(1.000764/J84^6)</f>
        <v>1.9885579799203479</v>
      </c>
      <c r="K85" s="125"/>
    </row>
    <row r="86" spans="1:11" ht="15.75" thickBot="1" x14ac:dyDescent="0.25">
      <c r="A86" s="129" t="s">
        <v>167</v>
      </c>
      <c r="B86" s="130"/>
      <c r="C86" s="130"/>
      <c r="D86" s="130"/>
      <c r="E86" s="131"/>
      <c r="F86" s="130"/>
      <c r="G86" s="132" t="s">
        <v>168</v>
      </c>
      <c r="H86" s="130"/>
      <c r="I86" s="130"/>
      <c r="J86" s="466">
        <f>J83*J85</f>
        <v>0.33898318641012526</v>
      </c>
      <c r="K86" s="134" t="str">
        <f>D74</f>
        <v>l/min</v>
      </c>
    </row>
    <row r="87" spans="1:11" ht="13.5" thickBot="1" x14ac:dyDescent="0.25">
      <c r="A87" s="404"/>
      <c r="B87" s="135"/>
      <c r="C87" s="135"/>
      <c r="D87" s="135"/>
      <c r="E87" s="135"/>
      <c r="F87" s="135"/>
      <c r="G87" s="135"/>
      <c r="H87" s="135"/>
      <c r="I87" s="135"/>
      <c r="J87" s="492">
        <f>(J86/C74)*100</f>
        <v>5.6497103573181588</v>
      </c>
      <c r="K87" s="467" t="s">
        <v>169</v>
      </c>
    </row>
    <row r="88" spans="1:11" x14ac:dyDescent="0.2">
      <c r="A88" s="91" t="str">
        <f>A60</f>
        <v>Flow</v>
      </c>
      <c r="B88" s="92"/>
      <c r="C88" s="93">
        <f>'DB GAS FLOW'!A157</f>
        <v>7</v>
      </c>
      <c r="D88" s="94" t="str">
        <f>D60</f>
        <v>l/min</v>
      </c>
      <c r="E88" s="395"/>
      <c r="F88" s="395"/>
      <c r="G88" s="395"/>
      <c r="H88" s="395"/>
      <c r="I88" s="395"/>
      <c r="J88" s="395"/>
      <c r="K88" s="95"/>
    </row>
    <row r="89" spans="1:11" ht="15" x14ac:dyDescent="0.2">
      <c r="A89" s="96" t="s">
        <v>142</v>
      </c>
      <c r="B89" s="97" t="s">
        <v>143</v>
      </c>
      <c r="C89" s="98" t="s">
        <v>144</v>
      </c>
      <c r="D89" s="97" t="s">
        <v>145</v>
      </c>
      <c r="E89" s="99" t="s">
        <v>146</v>
      </c>
      <c r="F89" s="97" t="s">
        <v>147</v>
      </c>
      <c r="G89" s="98" t="s">
        <v>148</v>
      </c>
      <c r="H89" s="97" t="s">
        <v>149</v>
      </c>
      <c r="I89" s="98" t="s">
        <v>150</v>
      </c>
      <c r="J89" s="97" t="s">
        <v>151</v>
      </c>
      <c r="K89" s="100" t="s">
        <v>152</v>
      </c>
    </row>
    <row r="90" spans="1:11" x14ac:dyDescent="0.2">
      <c r="A90" s="101" t="s">
        <v>153</v>
      </c>
      <c r="B90" s="102" t="str">
        <f>D88</f>
        <v>l/min</v>
      </c>
      <c r="C90" s="396" t="s">
        <v>154</v>
      </c>
      <c r="D90" s="727">
        <f>'DB GAS FLOW'!D157</f>
        <v>0</v>
      </c>
      <c r="E90" s="397">
        <f>SQRT(5)</f>
        <v>2.2360679774997898</v>
      </c>
      <c r="F90" s="102">
        <v>4</v>
      </c>
      <c r="G90" s="398">
        <f>D90/E90</f>
        <v>0</v>
      </c>
      <c r="H90" s="103">
        <v>1</v>
      </c>
      <c r="I90" s="398">
        <f>G90*H90</f>
        <v>0</v>
      </c>
      <c r="J90" s="104">
        <f>I90^2</f>
        <v>0</v>
      </c>
      <c r="K90" s="105">
        <f>I90^4/F90</f>
        <v>0</v>
      </c>
    </row>
    <row r="91" spans="1:11" x14ac:dyDescent="0.2">
      <c r="A91" s="106" t="s">
        <v>155</v>
      </c>
      <c r="B91" s="102" t="str">
        <f>D88</f>
        <v>l/min</v>
      </c>
      <c r="C91" s="107" t="s">
        <v>156</v>
      </c>
      <c r="D91" s="137">
        <f>'DB GAS FLOW'!M151</f>
        <v>0.25</v>
      </c>
      <c r="E91" s="108">
        <f>SQRT(3)</f>
        <v>1.7320508075688772</v>
      </c>
      <c r="F91" s="102">
        <f>1/2*(100/10)^2</f>
        <v>50</v>
      </c>
      <c r="G91" s="109">
        <f>D91/E91</f>
        <v>0.14433756729740646</v>
      </c>
      <c r="H91" s="102">
        <v>1</v>
      </c>
      <c r="I91" s="109">
        <f>G91*H91</f>
        <v>0.14433756729740646</v>
      </c>
      <c r="J91" s="110">
        <f>I91^2</f>
        <v>2.0833333333333339E-2</v>
      </c>
      <c r="K91" s="111">
        <f>I91^4/F91</f>
        <v>8.6805555555555606E-6</v>
      </c>
    </row>
    <row r="92" spans="1:11" x14ac:dyDescent="0.2">
      <c r="A92" s="106" t="s">
        <v>157</v>
      </c>
      <c r="B92" s="102" t="str">
        <f>D88</f>
        <v>l/min</v>
      </c>
      <c r="C92" s="107" t="s">
        <v>156</v>
      </c>
      <c r="D92" s="137">
        <f>'DB GAS FLOW'!N151</f>
        <v>5.0000000000000001E-3</v>
      </c>
      <c r="E92" s="108">
        <f>SQRT(3)</f>
        <v>1.7320508075688772</v>
      </c>
      <c r="F92" s="102">
        <f>1/2*(100/10)^2</f>
        <v>50</v>
      </c>
      <c r="G92" s="109">
        <f>D92/E92</f>
        <v>2.886751345948129E-3</v>
      </c>
      <c r="H92" s="102">
        <v>1</v>
      </c>
      <c r="I92" s="109">
        <f>G92*H92</f>
        <v>2.886751345948129E-3</v>
      </c>
      <c r="J92" s="110">
        <f>I92^2</f>
        <v>8.3333333333333337E-6</v>
      </c>
      <c r="K92" s="111">
        <f>I92^4/F92</f>
        <v>1.3888888888888891E-12</v>
      </c>
    </row>
    <row r="93" spans="1:11" x14ac:dyDescent="0.2">
      <c r="A93" s="101" t="s">
        <v>158</v>
      </c>
      <c r="B93" s="102" t="str">
        <f>D88</f>
        <v>l/min</v>
      </c>
      <c r="C93" s="102" t="s">
        <v>156</v>
      </c>
      <c r="D93" s="112">
        <f>'DB GAS FLOW'!K157</f>
        <v>0</v>
      </c>
      <c r="E93" s="112">
        <f>SQRT(3)</f>
        <v>1.7320508075688772</v>
      </c>
      <c r="F93" s="102">
        <f>1/2*(100/10)^2</f>
        <v>50</v>
      </c>
      <c r="G93" s="113">
        <f>D93/E93</f>
        <v>0</v>
      </c>
      <c r="H93" s="102">
        <v>1</v>
      </c>
      <c r="I93" s="113">
        <f>G93*H93</f>
        <v>0</v>
      </c>
      <c r="J93" s="110">
        <f>I93^2</f>
        <v>0</v>
      </c>
      <c r="K93" s="114">
        <f>I93^4/F93</f>
        <v>0</v>
      </c>
    </row>
    <row r="94" spans="1:11" x14ac:dyDescent="0.2">
      <c r="A94" s="115" t="s">
        <v>159</v>
      </c>
      <c r="B94" s="102" t="str">
        <f>D88</f>
        <v>l/min</v>
      </c>
      <c r="C94" s="107" t="s">
        <v>154</v>
      </c>
      <c r="D94" s="138">
        <f>'DB GAS FLOW'!L157</f>
        <v>0.20158235294117646</v>
      </c>
      <c r="E94" s="116">
        <v>2</v>
      </c>
      <c r="F94" s="102">
        <f>1/2*(100/10)^2</f>
        <v>50</v>
      </c>
      <c r="G94" s="109">
        <f>D94/E94</f>
        <v>0.10079117647058823</v>
      </c>
      <c r="H94" s="102">
        <v>1</v>
      </c>
      <c r="I94" s="109">
        <f>G94*H94</f>
        <v>0.10079117647058823</v>
      </c>
      <c r="J94" s="110">
        <f>I94^2</f>
        <v>1.0158861254325259E-2</v>
      </c>
      <c r="K94" s="114">
        <f>I94^4/F94</f>
        <v>2.0640492396926193E-6</v>
      </c>
    </row>
    <row r="95" spans="1:11" x14ac:dyDescent="0.2">
      <c r="A95" s="115"/>
      <c r="B95" s="102"/>
      <c r="C95" s="102"/>
      <c r="D95" s="102"/>
      <c r="E95" s="112"/>
      <c r="F95" s="102"/>
      <c r="G95" s="113"/>
      <c r="H95" s="102"/>
      <c r="I95" s="113"/>
      <c r="J95" s="110"/>
      <c r="K95" s="114"/>
    </row>
    <row r="96" spans="1:11" ht="15" x14ac:dyDescent="0.2">
      <c r="A96" s="117" t="s">
        <v>160</v>
      </c>
      <c r="B96" s="399"/>
      <c r="C96" s="399"/>
      <c r="D96" s="399"/>
      <c r="E96" s="400"/>
      <c r="F96" s="399"/>
      <c r="G96" s="399"/>
      <c r="H96" s="399"/>
      <c r="I96" s="399"/>
      <c r="J96" s="118">
        <f>SUM(J90:J94)</f>
        <v>3.1000527920991928E-2</v>
      </c>
      <c r="K96" s="119">
        <f>SUM(K90:K94)</f>
        <v>1.0744606184137069E-5</v>
      </c>
    </row>
    <row r="97" spans="1:11" ht="18" x14ac:dyDescent="0.2">
      <c r="A97" s="120" t="s">
        <v>161</v>
      </c>
      <c r="B97" s="121"/>
      <c r="C97" s="121"/>
      <c r="D97" s="121"/>
      <c r="E97" s="122"/>
      <c r="F97" s="121"/>
      <c r="G97" s="123" t="s">
        <v>162</v>
      </c>
      <c r="H97" s="121"/>
      <c r="I97" s="121"/>
      <c r="J97" s="124">
        <f>SQRT(J96)</f>
        <v>0.17606966780508199</v>
      </c>
      <c r="K97" s="125"/>
    </row>
    <row r="98" spans="1:11" ht="18" x14ac:dyDescent="0.2">
      <c r="A98" s="117" t="s">
        <v>163</v>
      </c>
      <c r="B98" s="401"/>
      <c r="C98" s="401"/>
      <c r="D98" s="401"/>
      <c r="E98" s="402"/>
      <c r="F98" s="401"/>
      <c r="G98" s="403" t="s">
        <v>164</v>
      </c>
      <c r="H98" s="401"/>
      <c r="I98" s="401"/>
      <c r="J98" s="118">
        <f>J97^4/(K96)</f>
        <v>89.443271806372238</v>
      </c>
      <c r="K98" s="126"/>
    </row>
    <row r="99" spans="1:11" ht="15.75" x14ac:dyDescent="0.2">
      <c r="A99" s="120" t="s">
        <v>165</v>
      </c>
      <c r="B99" s="121"/>
      <c r="C99" s="121"/>
      <c r="D99" s="121"/>
      <c r="E99" s="122"/>
      <c r="F99" s="121"/>
      <c r="G99" s="127" t="s">
        <v>166</v>
      </c>
      <c r="H99" s="121"/>
      <c r="I99" s="121"/>
      <c r="J99" s="128">
        <f>1.95996+(2.37356/J98)+(2.818745/J98^2)+(2.546662/J98^3)+(1.761829/J98^4)+(0.245458/J98^5)+(1.000764/J98^6)</f>
        <v>1.9868529689047303</v>
      </c>
      <c r="K99" s="125"/>
    </row>
    <row r="100" spans="1:11" ht="15.75" thickBot="1" x14ac:dyDescent="0.25">
      <c r="A100" s="129" t="s">
        <v>167</v>
      </c>
      <c r="B100" s="130"/>
      <c r="C100" s="130"/>
      <c r="D100" s="130"/>
      <c r="E100" s="131"/>
      <c r="F100" s="130"/>
      <c r="G100" s="132" t="s">
        <v>168</v>
      </c>
      <c r="H100" s="130"/>
      <c r="I100" s="130"/>
      <c r="J100" s="466">
        <f>J97*J99</f>
        <v>0.34982454221259673</v>
      </c>
      <c r="K100" s="134" t="str">
        <f>D88</f>
        <v>l/min</v>
      </c>
    </row>
    <row r="101" spans="1:11" ht="13.5" thickBot="1" x14ac:dyDescent="0.25">
      <c r="A101" s="404"/>
      <c r="B101" s="135"/>
      <c r="C101" s="135"/>
      <c r="D101" s="135"/>
      <c r="E101" s="135"/>
      <c r="F101" s="135"/>
      <c r="G101" s="135"/>
      <c r="H101" s="135"/>
      <c r="I101" s="135"/>
      <c r="J101" s="492">
        <f>(J100/C88)*100</f>
        <v>4.9974934601799532</v>
      </c>
      <c r="K101" s="467" t="s">
        <v>169</v>
      </c>
    </row>
  </sheetData>
  <sheetProtection algorithmName="SHA-512" hashValue="WKjFLaXUJxlpBgUkMjvShtLzmRajVPLwuOJpCrclzoJZ9iWkBf9sHJavqe2kZoZdBMnnfK4LbhbX01lzizbZ0A==" saltValue="KxGk3nyckhX1TagEr0tR5w==" spinCount="100000" sheet="1" objects="1" scenarios="1"/>
  <mergeCells count="1">
    <mergeCell ref="A1:K1"/>
  </mergeCells>
  <printOptions horizontalCentered="1" verticalCentered="1"/>
  <pageMargins left="0.196850393700787" right="0.196850393700787" top="0.196850393700787" bottom="0.196850393700787" header="0.196850393700787" footer="0.196850393700787"/>
  <pageSetup paperSize="9" scale="57" orientation="portrait" horizontalDpi="4294967293" r:id="rId1"/>
  <headerFooter>
    <oddHeader xml:space="preserve">&amp;R&amp;"-,Regular"&amp;8FV.UB  006-18 / REV : 0&amp;"Times New Roman,Regular"&amp;9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70"/>
  <sheetViews>
    <sheetView showGridLines="0" view="pageBreakPreview" topLeftCell="A50" zoomScale="90" zoomScaleNormal="90" zoomScaleSheetLayoutView="90" zoomScalePageLayoutView="90" workbookViewId="0">
      <selection activeCell="N39" sqref="N39:N45"/>
    </sheetView>
  </sheetViews>
  <sheetFormatPr defaultColWidth="9.140625" defaultRowHeight="12.75" x14ac:dyDescent="0.2"/>
  <cols>
    <col min="1" max="2" width="4.85546875" style="406" customWidth="1"/>
    <col min="3" max="3" width="14" style="406" customWidth="1"/>
    <col min="4" max="4" width="8.28515625" style="406" customWidth="1"/>
    <col min="5" max="9" width="6.7109375" style="406" customWidth="1"/>
    <col min="10" max="10" width="9.7109375" style="408" customWidth="1"/>
    <col min="11" max="11" width="7.85546875" style="409" customWidth="1"/>
    <col min="12" max="12" width="8.42578125" style="409" customWidth="1"/>
    <col min="13" max="13" width="9.7109375" style="406" customWidth="1"/>
    <col min="14" max="14" width="8" style="406" customWidth="1"/>
    <col min="15" max="15" width="8.28515625" style="406" customWidth="1"/>
    <col min="16" max="16" width="6.28515625" style="406" customWidth="1"/>
    <col min="17" max="17" width="10.85546875" style="406" bestFit="1" customWidth="1"/>
    <col min="18" max="18" width="13.42578125" style="406" customWidth="1"/>
    <col min="19" max="19" width="13.85546875" style="406" customWidth="1"/>
    <col min="20" max="16384" width="9.140625" style="406"/>
  </cols>
  <sheetData>
    <row r="1" spans="1:16" ht="15.75" x14ac:dyDescent="0.2">
      <c r="A1" s="930" t="s">
        <v>170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930"/>
      <c r="M1" s="930"/>
      <c r="N1" s="930"/>
      <c r="O1" s="930"/>
      <c r="P1" s="405"/>
    </row>
    <row r="2" spans="1:16" ht="15.75" x14ac:dyDescent="0.2">
      <c r="A2" s="931" t="str">
        <f>ID!C2&amp;ID!L2&amp;ID!I2</f>
        <v>Nomor Sertifikat : 35 / 1 / III - 17 / E - 002. 22 DL</v>
      </c>
      <c r="B2" s="931"/>
      <c r="C2" s="931"/>
      <c r="D2" s="931"/>
      <c r="E2" s="931"/>
      <c r="F2" s="931"/>
      <c r="G2" s="931"/>
      <c r="H2" s="931"/>
      <c r="I2" s="931"/>
      <c r="J2" s="931"/>
      <c r="K2" s="931"/>
      <c r="L2" s="931"/>
      <c r="M2" s="931"/>
      <c r="N2" s="931"/>
      <c r="O2" s="931"/>
      <c r="P2" s="407"/>
    </row>
    <row r="3" spans="1:16" ht="15.75" x14ac:dyDescent="0.2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407"/>
    </row>
    <row r="5" spans="1:16" ht="14.25" x14ac:dyDescent="0.2">
      <c r="A5" s="222" t="str">
        <f>ID!A4</f>
        <v>Merek</v>
      </c>
      <c r="B5" s="222"/>
      <c r="C5" s="222"/>
      <c r="D5" s="223" t="s">
        <v>9</v>
      </c>
      <c r="E5" s="222" t="str">
        <f>ID!E4</f>
        <v>Datex-Ohmeda</v>
      </c>
      <c r="F5" s="222"/>
      <c r="G5" s="222"/>
      <c r="H5" s="222"/>
      <c r="I5" s="222"/>
    </row>
    <row r="6" spans="1:16" ht="14.25" x14ac:dyDescent="0.2">
      <c r="A6" s="222" t="str">
        <f>ID!A5</f>
        <v>Model/Tipe</v>
      </c>
      <c r="B6" s="222"/>
      <c r="C6" s="222"/>
      <c r="D6" s="223" t="s">
        <v>9</v>
      </c>
      <c r="E6" s="222" t="str">
        <f>ID!E5</f>
        <v>Aespire</v>
      </c>
      <c r="F6" s="222"/>
      <c r="G6" s="222"/>
      <c r="H6" s="222"/>
      <c r="I6" s="222"/>
    </row>
    <row r="7" spans="1:16" ht="14.25" x14ac:dyDescent="0.2">
      <c r="A7" s="222" t="str">
        <f>ID!A6</f>
        <v>No. Seri</v>
      </c>
      <c r="B7" s="222"/>
      <c r="C7" s="222"/>
      <c r="D7" s="223" t="s">
        <v>9</v>
      </c>
      <c r="E7" s="222" t="str">
        <f>ID!E6</f>
        <v>AMXM00250</v>
      </c>
      <c r="F7" s="222"/>
      <c r="G7" s="222"/>
      <c r="H7" s="222"/>
      <c r="I7" s="222"/>
    </row>
    <row r="8" spans="1:16" ht="14.25" x14ac:dyDescent="0.2">
      <c r="A8" s="222" t="str">
        <f>ID!A7</f>
        <v>Resolusi</v>
      </c>
      <c r="B8" s="222"/>
      <c r="C8" s="222"/>
      <c r="D8" s="223" t="s">
        <v>9</v>
      </c>
      <c r="E8" s="1013">
        <f>ID!E7</f>
        <v>0.5</v>
      </c>
      <c r="F8" s="1013"/>
      <c r="G8" s="222"/>
      <c r="H8" s="222"/>
      <c r="I8" s="222"/>
    </row>
    <row r="9" spans="1:16" ht="14.25" x14ac:dyDescent="0.2">
      <c r="A9" s="222" t="str">
        <f>ID!A8</f>
        <v>Tanggal Penerimaan Alat</v>
      </c>
      <c r="B9" s="222"/>
      <c r="C9" s="222"/>
      <c r="D9" s="223" t="str">
        <f>ID!D8</f>
        <v>:</v>
      </c>
      <c r="E9" s="728" t="str">
        <f>ID!E8</f>
        <v>12 November 2023</v>
      </c>
      <c r="F9" s="728"/>
      <c r="G9" s="222"/>
      <c r="H9" s="222"/>
      <c r="I9" s="222"/>
    </row>
    <row r="10" spans="1:16" ht="14.25" x14ac:dyDescent="0.2">
      <c r="A10" s="222" t="str">
        <f>ID!A9</f>
        <v>Tanggal Kalibrasi</v>
      </c>
      <c r="B10" s="222"/>
      <c r="C10" s="222"/>
      <c r="D10" s="223" t="s">
        <v>9</v>
      </c>
      <c r="E10" s="1014" t="str">
        <f>ID!E9</f>
        <v>12 November 2023</v>
      </c>
      <c r="F10" s="1014"/>
      <c r="G10" s="1014"/>
      <c r="H10" s="222"/>
      <c r="I10" s="222"/>
    </row>
    <row r="11" spans="1:16" ht="14.25" x14ac:dyDescent="0.2">
      <c r="A11" s="222" t="str">
        <f>ID!A10</f>
        <v>Tempat Kalibrasi</v>
      </c>
      <c r="B11" s="222"/>
      <c r="C11" s="222"/>
      <c r="D11" s="223" t="s">
        <v>9</v>
      </c>
      <c r="E11" s="222" t="str">
        <f>ID!E10</f>
        <v>IBS</v>
      </c>
      <c r="F11" s="222"/>
      <c r="G11" s="222"/>
      <c r="H11" s="222"/>
      <c r="I11" s="222"/>
    </row>
    <row r="12" spans="1:16" ht="14.25" x14ac:dyDescent="0.2">
      <c r="A12" s="222" t="str">
        <f>ID!A11</f>
        <v xml:space="preserve">Nama Ruang </v>
      </c>
      <c r="B12" s="222"/>
      <c r="C12" s="222"/>
      <c r="D12" s="223" t="s">
        <v>9</v>
      </c>
      <c r="E12" s="222" t="str">
        <f>ID!E11</f>
        <v>OK 6</v>
      </c>
      <c r="F12" s="222"/>
      <c r="G12" s="222"/>
      <c r="H12" s="222"/>
      <c r="I12" s="222"/>
    </row>
    <row r="13" spans="1:16" ht="14.25" x14ac:dyDescent="0.2">
      <c r="A13" s="222" t="s">
        <v>103</v>
      </c>
      <c r="B13" s="222"/>
      <c r="C13" s="222"/>
      <c r="D13" s="223" t="s">
        <v>9</v>
      </c>
      <c r="E13" s="222" t="str">
        <f>ID!E12</f>
        <v>MK 006 - 18</v>
      </c>
      <c r="F13" s="222"/>
      <c r="G13" s="222"/>
      <c r="H13" s="222"/>
      <c r="I13" s="222"/>
    </row>
    <row r="14" spans="1:16" ht="14.25" customHeight="1" x14ac:dyDescent="0.2">
      <c r="B14" s="222"/>
      <c r="C14" s="222"/>
      <c r="D14" s="222"/>
      <c r="E14" s="222"/>
      <c r="F14" s="222"/>
      <c r="G14" s="222"/>
      <c r="H14" s="222"/>
      <c r="I14" s="222"/>
      <c r="J14" s="410"/>
      <c r="K14" s="410"/>
      <c r="L14" s="411"/>
      <c r="M14" s="411"/>
      <c r="N14" s="411"/>
      <c r="O14" s="411"/>
      <c r="P14" s="411"/>
    </row>
    <row r="15" spans="1:16" ht="15" x14ac:dyDescent="0.2">
      <c r="A15" s="225" t="str">
        <f>ID!A14</f>
        <v xml:space="preserve">I.     </v>
      </c>
      <c r="B15" s="225" t="str">
        <f>ID!B14</f>
        <v>Kondisi Ruang</v>
      </c>
      <c r="C15" s="225"/>
      <c r="D15" s="225"/>
      <c r="E15" s="225"/>
      <c r="F15" s="225"/>
      <c r="G15" s="225"/>
      <c r="H15" s="225"/>
      <c r="I15" s="225"/>
      <c r="J15" s="665"/>
      <c r="K15" s="412"/>
      <c r="L15" s="412"/>
      <c r="M15" s="412"/>
      <c r="N15" s="412"/>
      <c r="O15" s="412"/>
      <c r="P15" s="412"/>
    </row>
    <row r="16" spans="1:16" ht="16.5" x14ac:dyDescent="0.2">
      <c r="B16" s="406" t="str">
        <f>ID!B16</f>
        <v xml:space="preserve">1. Suhu </v>
      </c>
      <c r="C16" s="222"/>
      <c r="D16" s="223" t="s">
        <v>9</v>
      </c>
      <c r="E16" s="666" t="str">
        <f>'DB Thermohygro'!Q381</f>
        <v>( 19.8 ± 0.3 ) °C</v>
      </c>
      <c r="F16" s="667"/>
      <c r="G16" s="230"/>
      <c r="H16" s="668"/>
      <c r="I16" s="222"/>
      <c r="J16" s="665"/>
      <c r="L16" s="412"/>
      <c r="M16" s="412"/>
      <c r="N16" s="412"/>
      <c r="O16" s="412"/>
      <c r="P16" s="412"/>
    </row>
    <row r="17" spans="1:33" ht="14.25" x14ac:dyDescent="0.2">
      <c r="B17" s="406" t="str">
        <f>ID!B17</f>
        <v xml:space="preserve">2. Kelembaban </v>
      </c>
      <c r="C17" s="222"/>
      <c r="D17" s="223" t="s">
        <v>9</v>
      </c>
      <c r="E17" s="666" t="str">
        <f>'DB Thermohygro'!Q382</f>
        <v>( 48.8 ± 2.6 ) %RH</v>
      </c>
      <c r="F17" s="669"/>
      <c r="G17" s="669"/>
      <c r="H17" s="241"/>
      <c r="I17" s="222"/>
      <c r="J17" s="665"/>
      <c r="L17" s="412"/>
      <c r="M17" s="412"/>
      <c r="N17" s="412"/>
      <c r="O17" s="412"/>
      <c r="P17" s="412"/>
    </row>
    <row r="18" spans="1:33" ht="14.25" x14ac:dyDescent="0.2">
      <c r="B18" s="406" t="str">
        <f>ID!B18</f>
        <v>3. Tegangan Jala - jala</v>
      </c>
      <c r="C18" s="222"/>
      <c r="D18" s="223" t="s">
        <v>9</v>
      </c>
      <c r="E18" s="838" t="str">
        <f>'DB Kelistrikan'!H274</f>
        <v>( 210.0 ± 2.5 ) Volt</v>
      </c>
      <c r="F18" s="838"/>
      <c r="G18" s="230"/>
      <c r="H18" s="241"/>
      <c r="I18" s="222"/>
      <c r="J18" s="665"/>
      <c r="L18" s="412"/>
      <c r="M18" s="412"/>
      <c r="N18" s="412"/>
      <c r="O18" s="412"/>
      <c r="P18" s="412"/>
    </row>
    <row r="19" spans="1:33" ht="14.25" customHeight="1" x14ac:dyDescent="0.2">
      <c r="B19" s="222"/>
      <c r="C19" s="222"/>
      <c r="D19" s="222"/>
      <c r="E19" s="222"/>
      <c r="F19" s="222"/>
      <c r="G19" s="222"/>
      <c r="H19" s="222"/>
      <c r="I19" s="222"/>
      <c r="J19" s="665"/>
      <c r="K19" s="412"/>
      <c r="L19" s="412"/>
      <c r="M19" s="412"/>
      <c r="N19" s="412"/>
      <c r="O19" s="412"/>
      <c r="P19" s="412"/>
    </row>
    <row r="20" spans="1:33" ht="15" x14ac:dyDescent="0.2">
      <c r="A20" s="225" t="str">
        <f>ID!A20</f>
        <v xml:space="preserve">II.     </v>
      </c>
      <c r="B20" s="225" t="str">
        <f>ID!B20</f>
        <v>Pemeriksaan Kondisi Fisik dan Fungsi Alat.</v>
      </c>
      <c r="C20" s="225"/>
      <c r="D20" s="225"/>
      <c r="E20" s="225"/>
      <c r="F20" s="225"/>
      <c r="G20" s="225"/>
      <c r="H20" s="225"/>
      <c r="I20" s="225"/>
      <c r="J20" s="670"/>
      <c r="K20" s="670"/>
      <c r="L20" s="413"/>
      <c r="M20" s="413"/>
      <c r="N20" s="413"/>
      <c r="O20" s="671" t="s">
        <v>22</v>
      </c>
      <c r="P20" s="413"/>
    </row>
    <row r="21" spans="1:33" ht="15" x14ac:dyDescent="0.2">
      <c r="B21" s="406" t="str">
        <f>ID!B21</f>
        <v>1. Fisik</v>
      </c>
      <c r="C21" s="222"/>
      <c r="D21" s="223" t="str">
        <f>ID!D21</f>
        <v>:</v>
      </c>
      <c r="E21" s="222" t="str">
        <f>ID!E21</f>
        <v>Baik</v>
      </c>
      <c r="F21" s="225"/>
      <c r="G21" s="225"/>
      <c r="H21" s="225"/>
      <c r="I21" s="225"/>
      <c r="J21" s="670"/>
      <c r="K21" s="670"/>
      <c r="L21" s="413"/>
      <c r="M21" s="413"/>
      <c r="N21" s="413"/>
      <c r="O21" s="672">
        <f>IF(E21="baik",5,IF(E21="Tidak Baik",0))</f>
        <v>5</v>
      </c>
      <c r="P21" s="413"/>
    </row>
    <row r="22" spans="1:33" ht="15" x14ac:dyDescent="0.2">
      <c r="B22" s="406" t="str">
        <f>ID!B22</f>
        <v>2. Fungsi</v>
      </c>
      <c r="C22" s="222"/>
      <c r="D22" s="223" t="str">
        <f>ID!D22</f>
        <v>:</v>
      </c>
      <c r="E22" s="222" t="str">
        <f>ID!E22</f>
        <v>Baik</v>
      </c>
      <c r="F22" s="225"/>
      <c r="G22" s="225"/>
      <c r="H22" s="225"/>
      <c r="I22" s="225"/>
      <c r="J22" s="670"/>
      <c r="K22" s="670"/>
      <c r="L22" s="413"/>
      <c r="M22" s="413"/>
      <c r="N22" s="413"/>
      <c r="O22" s="672">
        <f>IF(E22="baik",5,IF(E22="Tidak Baik",0))</f>
        <v>5</v>
      </c>
      <c r="P22" s="413"/>
    </row>
    <row r="23" spans="1:33" ht="14.25" customHeight="1" x14ac:dyDescent="0.2">
      <c r="B23" s="225"/>
      <c r="C23" s="222"/>
      <c r="D23" s="223"/>
      <c r="E23" s="222"/>
      <c r="F23" s="225"/>
      <c r="G23" s="225"/>
      <c r="H23" s="225"/>
      <c r="I23" s="225"/>
      <c r="J23" s="670"/>
      <c r="K23" s="670"/>
      <c r="L23" s="413"/>
      <c r="M23" s="413"/>
      <c r="N23" s="413"/>
      <c r="O23" s="413"/>
      <c r="P23" s="413"/>
      <c r="Q23" s="960" t="str">
        <f>IF(I28="-",T31,ID!S25)</f>
        <v>G</v>
      </c>
      <c r="R23" s="960"/>
      <c r="S23" s="953" t="s">
        <v>39</v>
      </c>
      <c r="T23" s="953" t="s">
        <v>373</v>
      </c>
      <c r="U23" s="953" t="s">
        <v>46</v>
      </c>
      <c r="V23" s="447"/>
      <c r="W23" s="959" t="str">
        <f>IF(OR(I28="-",Q23=T31),W24,IF(OR(T25&gt;U25,C28=W32),"",IF(I28&gt;K28,W25,"")))</f>
        <v/>
      </c>
      <c r="X23" s="959"/>
      <c r="Y23" s="959"/>
      <c r="Z23" s="959"/>
      <c r="AA23" s="959"/>
      <c r="AB23" s="959"/>
      <c r="AC23" s="959"/>
      <c r="AD23" s="959"/>
      <c r="AE23" s="959"/>
      <c r="AF23" s="290"/>
      <c r="AG23" s="290"/>
    </row>
    <row r="24" spans="1:33" ht="15" x14ac:dyDescent="0.2">
      <c r="A24" s="225" t="str">
        <f>ID!A25</f>
        <v>III.</v>
      </c>
      <c r="B24" s="225" t="str">
        <f>ID!B25</f>
        <v>Pengujian Keselamatan Listrik</v>
      </c>
      <c r="C24" s="225"/>
      <c r="D24" s="223"/>
      <c r="E24" s="222"/>
      <c r="F24" s="225"/>
      <c r="G24" s="225"/>
      <c r="H24" s="225"/>
      <c r="I24" s="225"/>
      <c r="J24" s="670"/>
      <c r="K24" s="670"/>
      <c r="L24" s="413"/>
      <c r="M24" s="413"/>
      <c r="N24" s="413"/>
      <c r="O24" s="413"/>
      <c r="P24" s="413"/>
      <c r="Q24" s="960"/>
      <c r="R24" s="960"/>
      <c r="S24" s="953"/>
      <c r="T24" s="953"/>
      <c r="U24" s="953"/>
      <c r="V24" s="447"/>
      <c r="W24" s="949" t="s">
        <v>298</v>
      </c>
      <c r="X24" s="949"/>
      <c r="Y24" s="949"/>
      <c r="Z24" s="949"/>
      <c r="AA24" s="949"/>
      <c r="AB24" s="949"/>
      <c r="AC24" s="949"/>
      <c r="AD24" s="949"/>
      <c r="AE24" s="949"/>
      <c r="AF24" s="290"/>
      <c r="AG24" s="290"/>
    </row>
    <row r="25" spans="1:33" ht="25.5" customHeight="1" x14ac:dyDescent="0.2">
      <c r="B25" s="214" t="s">
        <v>44</v>
      </c>
      <c r="C25" s="996" t="s">
        <v>31</v>
      </c>
      <c r="D25" s="996"/>
      <c r="E25" s="996"/>
      <c r="F25" s="996"/>
      <c r="G25" s="996"/>
      <c r="H25" s="996"/>
      <c r="I25" s="962" t="s">
        <v>32</v>
      </c>
      <c r="J25" s="963"/>
      <c r="K25" s="962" t="s">
        <v>33</v>
      </c>
      <c r="L25" s="963"/>
      <c r="M25" s="411"/>
      <c r="N25" s="755" t="s">
        <v>22</v>
      </c>
      <c r="O25" s="752"/>
      <c r="P25" s="413"/>
      <c r="Q25" s="740" t="s">
        <v>371</v>
      </c>
      <c r="R25" s="741" t="s">
        <v>372</v>
      </c>
      <c r="S25" s="743">
        <f>ID!U27</f>
        <v>10</v>
      </c>
      <c r="T25" s="744">
        <f>'DB Kelistrikan'!O272</f>
        <v>15.275173894069468</v>
      </c>
      <c r="U25" s="742">
        <v>100</v>
      </c>
      <c r="V25" s="447"/>
      <c r="W25" s="949" t="s">
        <v>299</v>
      </c>
      <c r="X25" s="949"/>
      <c r="Y25" s="949"/>
      <c r="Z25" s="949"/>
      <c r="AA25" s="949"/>
      <c r="AB25" s="949"/>
      <c r="AC25" s="949"/>
      <c r="AD25" s="949"/>
      <c r="AE25" s="949"/>
      <c r="AF25" s="290"/>
      <c r="AG25" s="290"/>
    </row>
    <row r="26" spans="1:33" ht="14.25" x14ac:dyDescent="0.2">
      <c r="B26" s="231">
        <v>1</v>
      </c>
      <c r="C26" s="423" t="str">
        <f>ID!C27</f>
        <v>Resistansi Isolasi</v>
      </c>
      <c r="D26" s="424"/>
      <c r="E26" s="424"/>
      <c r="F26" s="424"/>
      <c r="G26" s="425"/>
      <c r="H26" s="424"/>
      <c r="I26" s="975" t="str">
        <f>'DB Kelistrikan'!O269</f>
        <v>OL</v>
      </c>
      <c r="J26" s="976"/>
      <c r="K26" s="969">
        <f>ID!K27</f>
        <v>2</v>
      </c>
      <c r="L26" s="970"/>
      <c r="N26" s="956">
        <f>IF(OR(I28="-",O28=20),SUM(O26:O28),0)</f>
        <v>40</v>
      </c>
      <c r="O26" s="754">
        <f>IF(OR(I26="-",I26="OL",I26&gt;K26),10,0)</f>
        <v>10</v>
      </c>
      <c r="P26" s="753"/>
      <c r="Q26" s="447"/>
      <c r="R26" s="447"/>
      <c r="S26" s="447"/>
      <c r="T26" s="447"/>
      <c r="U26" s="447"/>
      <c r="V26" s="447"/>
      <c r="W26" s="447"/>
      <c r="X26" s="447"/>
      <c r="Y26" s="447"/>
      <c r="Z26" s="447"/>
      <c r="AA26" s="447"/>
      <c r="AB26" s="447"/>
      <c r="AC26" s="447"/>
      <c r="AD26" s="447"/>
      <c r="AE26" s="447"/>
      <c r="AF26" s="290"/>
      <c r="AG26" s="290"/>
    </row>
    <row r="27" spans="1:33" ht="14.25" x14ac:dyDescent="0.2">
      <c r="B27" s="234">
        <v>2</v>
      </c>
      <c r="C27" s="673" t="str">
        <f>ID!C28</f>
        <v>Resistansi Pembumian Protektif (kabel dapat dilepas)</v>
      </c>
      <c r="D27" s="674"/>
      <c r="E27" s="674"/>
      <c r="F27" s="674"/>
      <c r="G27" s="675"/>
      <c r="H27" s="674"/>
      <c r="I27" s="977">
        <f>'DB Kelistrikan'!O270</f>
        <v>8.9164881258146349E-3</v>
      </c>
      <c r="J27" s="978"/>
      <c r="K27" s="971">
        <v>0.2</v>
      </c>
      <c r="L27" s="972"/>
      <c r="N27" s="957"/>
      <c r="O27" s="754">
        <f>IF(OR(I27="-",I27="OL",I27&lt;=K27,C28=W29),10,0)</f>
        <v>10</v>
      </c>
      <c r="P27" s="753"/>
      <c r="Q27" s="447"/>
      <c r="R27" s="447"/>
      <c r="S27" s="447"/>
      <c r="T27" s="447"/>
      <c r="U27" s="447"/>
      <c r="V27" s="447"/>
      <c r="W27" s="447"/>
      <c r="X27" s="447"/>
      <c r="Y27" s="447"/>
      <c r="Z27" s="447"/>
      <c r="AA27" s="447"/>
      <c r="AB27" s="447"/>
      <c r="AC27" s="447"/>
      <c r="AD27" s="447"/>
      <c r="AE27" s="447"/>
      <c r="AF27" s="290"/>
      <c r="AG27" s="290"/>
    </row>
    <row r="28" spans="1:33" ht="15" x14ac:dyDescent="0.2">
      <c r="B28" s="235">
        <v>3</v>
      </c>
      <c r="C28" s="966" t="str">
        <f>ID!C29:G29</f>
        <v>Arus bocor peralatan untuk peralatan elektromedik kelas I</v>
      </c>
      <c r="D28" s="967"/>
      <c r="E28" s="967"/>
      <c r="F28" s="967"/>
      <c r="G28" s="967"/>
      <c r="H28" s="968"/>
      <c r="I28" s="1017">
        <f>'DB Kelistrikan'!O271</f>
        <v>24.024526195170527</v>
      </c>
      <c r="J28" s="1018"/>
      <c r="K28" s="973">
        <f>ID!K29:L29</f>
        <v>500</v>
      </c>
      <c r="L28" s="974"/>
      <c r="N28" s="958"/>
      <c r="O28" s="754">
        <f>IF(Q31&lt;=R31,20,0)</f>
        <v>20</v>
      </c>
      <c r="P28" s="753"/>
      <c r="Q28" s="447"/>
      <c r="R28" s="447"/>
      <c r="S28" s="447"/>
      <c r="T28" s="447"/>
      <c r="U28" s="447"/>
      <c r="V28" s="447"/>
      <c r="W28" s="950" t="s">
        <v>290</v>
      </c>
      <c r="X28" s="951"/>
      <c r="Y28" s="951"/>
      <c r="Z28" s="951"/>
      <c r="AA28" s="951"/>
      <c r="AB28" s="951"/>
      <c r="AC28" s="952"/>
      <c r="AD28" s="447"/>
      <c r="AE28" s="447"/>
      <c r="AF28" s="290"/>
      <c r="AG28" s="290"/>
    </row>
    <row r="29" spans="1:33" ht="14.25" x14ac:dyDescent="0.2">
      <c r="B29" s="472"/>
      <c r="G29" s="676"/>
      <c r="H29" s="677"/>
      <c r="J29" s="677"/>
      <c r="K29" s="406"/>
      <c r="L29" s="540"/>
      <c r="N29" s="413"/>
      <c r="O29" s="413"/>
      <c r="P29" s="413"/>
      <c r="Q29" s="953" t="s">
        <v>374</v>
      </c>
      <c r="R29" s="954" t="s">
        <v>46</v>
      </c>
      <c r="S29" s="447"/>
      <c r="T29" s="740" t="s">
        <v>375</v>
      </c>
      <c r="U29" s="447"/>
      <c r="V29" s="447"/>
      <c r="W29" s="745" t="s">
        <v>376</v>
      </c>
      <c r="X29" s="746"/>
      <c r="Y29" s="746"/>
      <c r="Z29" s="746"/>
      <c r="AA29" s="746"/>
      <c r="AB29" s="747"/>
      <c r="AC29" s="554">
        <v>0.2</v>
      </c>
      <c r="AD29" s="447" t="s">
        <v>377</v>
      </c>
      <c r="AE29" s="748"/>
      <c r="AF29" s="290"/>
      <c r="AG29" s="290"/>
    </row>
    <row r="30" spans="1:33" ht="15" x14ac:dyDescent="0.2">
      <c r="A30" s="225" t="str">
        <f>ID!A31</f>
        <v>IV.</v>
      </c>
      <c r="B30" s="225" t="str">
        <f>ID!B31</f>
        <v>Pengujian Kinerja</v>
      </c>
      <c r="C30" s="222"/>
      <c r="G30" s="676"/>
      <c r="H30" s="677"/>
      <c r="J30" s="677"/>
      <c r="K30" s="406"/>
      <c r="L30" s="540"/>
      <c r="N30" s="413"/>
      <c r="O30" s="413"/>
      <c r="P30" s="413"/>
      <c r="Q30" s="953"/>
      <c r="R30" s="955"/>
      <c r="S30" s="447"/>
      <c r="T30" s="740" t="s">
        <v>276</v>
      </c>
      <c r="U30" s="447"/>
      <c r="V30" s="447"/>
      <c r="W30" s="749" t="s">
        <v>378</v>
      </c>
      <c r="X30" s="547"/>
      <c r="Y30" s="547"/>
      <c r="Z30" s="547"/>
      <c r="AA30" s="547"/>
      <c r="AB30" s="548"/>
      <c r="AC30" s="554">
        <v>0.3</v>
      </c>
      <c r="AD30" s="447" t="s">
        <v>379</v>
      </c>
      <c r="AE30" s="748"/>
      <c r="AF30" s="290"/>
      <c r="AG30" s="290"/>
    </row>
    <row r="31" spans="1:33" ht="15" x14ac:dyDescent="0.2">
      <c r="A31" s="225"/>
      <c r="B31" s="225" t="str">
        <f>ID!B32</f>
        <v>A. Pengujian Oxygen Flush</v>
      </c>
      <c r="C31" s="237"/>
      <c r="D31" s="238"/>
      <c r="E31" s="238"/>
      <c r="F31" s="678"/>
      <c r="G31" s="678"/>
      <c r="H31" s="678"/>
      <c r="I31" s="678"/>
      <c r="Q31" s="744">
        <f>IF(OR(S25="",C28=W32,Q23=T31),I28,IF(I28&gt;K28,T25,I28))</f>
        <v>24.024526195170527</v>
      </c>
      <c r="R31" s="740">
        <f>IF(OR(S25="",C28=W32,Q23=T31),K28,IF(I28&gt;K28,U25,K28))</f>
        <v>500</v>
      </c>
      <c r="S31" s="447"/>
      <c r="T31" s="740" t="s">
        <v>111</v>
      </c>
      <c r="U31" s="447"/>
      <c r="V31" s="447"/>
      <c r="W31" s="750" t="s">
        <v>112</v>
      </c>
      <c r="X31" s="751"/>
      <c r="Y31" s="751"/>
      <c r="Z31" s="751"/>
      <c r="AA31" s="751"/>
      <c r="AB31" s="548"/>
      <c r="AC31" s="554">
        <v>500</v>
      </c>
      <c r="AD31" s="748"/>
      <c r="AE31" s="748"/>
      <c r="AF31" s="290"/>
      <c r="AG31" s="290"/>
    </row>
    <row r="32" spans="1:33" ht="14.25" customHeight="1" x14ac:dyDescent="0.2">
      <c r="A32" s="225"/>
      <c r="B32" s="964" t="str">
        <f>ID!B33</f>
        <v>No</v>
      </c>
      <c r="C32" s="964" t="str">
        <f>ID!C33</f>
        <v>Parameter</v>
      </c>
      <c r="D32" s="981" t="str">
        <f>ID!D33</f>
        <v xml:space="preserve"> Pembacaan standar</v>
      </c>
      <c r="E32" s="999"/>
      <c r="F32" s="982"/>
      <c r="G32" s="981" t="s">
        <v>46</v>
      </c>
      <c r="H32" s="999"/>
      <c r="I32" s="982"/>
      <c r="J32" s="1025"/>
      <c r="K32" s="679"/>
      <c r="L32" s="679"/>
      <c r="M32" s="679"/>
      <c r="N32" s="679"/>
      <c r="O32" s="961" t="s">
        <v>22</v>
      </c>
      <c r="Q32" s="447"/>
      <c r="R32" s="447"/>
      <c r="S32" s="447"/>
      <c r="T32" s="447"/>
      <c r="U32" s="447"/>
      <c r="V32" s="447"/>
      <c r="W32" s="750" t="s">
        <v>297</v>
      </c>
      <c r="X32" s="751"/>
      <c r="Y32" s="751"/>
      <c r="Z32" s="751"/>
      <c r="AA32" s="751"/>
      <c r="AB32" s="548"/>
      <c r="AC32" s="554">
        <v>100</v>
      </c>
      <c r="AD32" s="748"/>
      <c r="AE32" s="748"/>
      <c r="AF32" s="290"/>
      <c r="AG32" s="290"/>
    </row>
    <row r="33" spans="1:19" ht="18.75" customHeight="1" x14ac:dyDescent="0.2">
      <c r="A33" s="225"/>
      <c r="B33" s="965"/>
      <c r="C33" s="965"/>
      <c r="D33" s="983"/>
      <c r="E33" s="1000"/>
      <c r="F33" s="984"/>
      <c r="G33" s="983"/>
      <c r="H33" s="1000"/>
      <c r="I33" s="984"/>
      <c r="J33" s="1025"/>
      <c r="K33" s="679"/>
      <c r="L33" s="679"/>
      <c r="M33" s="679"/>
      <c r="N33" s="679"/>
      <c r="O33" s="961"/>
    </row>
    <row r="34" spans="1:19" ht="30.75" customHeight="1" x14ac:dyDescent="0.2">
      <c r="A34" s="225"/>
      <c r="B34" s="226">
        <f>ID!B35</f>
        <v>1</v>
      </c>
      <c r="C34" s="226" t="str">
        <f>ID!C35</f>
        <v>Oxygen Flush Valve ( L/min )</v>
      </c>
      <c r="D34" s="1320">
        <f>'DB GAS FLOW'!C147</f>
        <v>69.989999999999995</v>
      </c>
      <c r="E34" s="1320"/>
      <c r="F34" s="1320"/>
      <c r="G34" s="1001" t="s">
        <v>172</v>
      </c>
      <c r="H34" s="1002"/>
      <c r="I34" s="1003"/>
      <c r="J34" s="680"/>
      <c r="K34" s="681"/>
      <c r="L34" s="681"/>
      <c r="M34" s="681"/>
      <c r="N34" s="682"/>
      <c r="O34" s="683">
        <f>IF(D34="-",25,IF(D34&lt;=35,0,IF(D34&gt;=75,0,IF(D34&gt;=35,25))))</f>
        <v>25</v>
      </c>
    </row>
    <row r="35" spans="1:19" ht="14.25" customHeight="1" x14ac:dyDescent="0.2">
      <c r="A35" s="225"/>
      <c r="B35" s="416"/>
      <c r="C35" s="416"/>
      <c r="D35" s="684"/>
      <c r="E35" s="684"/>
      <c r="F35" s="684"/>
      <c r="G35" s="685"/>
      <c r="H35" s="685"/>
      <c r="I35" s="685"/>
      <c r="J35" s="686"/>
      <c r="K35" s="685"/>
      <c r="L35" s="685"/>
      <c r="M35" s="685"/>
      <c r="N35" s="682"/>
      <c r="O35" s="687"/>
    </row>
    <row r="36" spans="1:19" ht="15.75" thickBot="1" x14ac:dyDescent="0.25">
      <c r="A36" s="225"/>
      <c r="B36" s="225" t="str">
        <f>ID!B37</f>
        <v>B. Kalibrasi Akurasi Laju Aliran</v>
      </c>
      <c r="C36" s="225"/>
      <c r="D36" s="222"/>
      <c r="E36" s="222"/>
    </row>
    <row r="37" spans="1:19" ht="24.95" customHeight="1" x14ac:dyDescent="0.2">
      <c r="B37" s="996" t="str">
        <f>ID!B38</f>
        <v>No</v>
      </c>
      <c r="C37" s="996" t="str">
        <f>ID!C38</f>
        <v>Parameter</v>
      </c>
      <c r="D37" s="996" t="str">
        <f>ID!D38</f>
        <v>Setting alat</v>
      </c>
      <c r="E37" s="1016" t="s">
        <v>115</v>
      </c>
      <c r="F37" s="1016"/>
      <c r="G37" s="998" t="s">
        <v>173</v>
      </c>
      <c r="H37" s="998"/>
      <c r="I37" s="981" t="s">
        <v>46</v>
      </c>
      <c r="J37" s="982"/>
      <c r="K37" s="981" t="s">
        <v>174</v>
      </c>
      <c r="L37" s="982"/>
      <c r="N37" s="989" t="s">
        <v>175</v>
      </c>
      <c r="O37" s="991" t="s">
        <v>22</v>
      </c>
      <c r="P37" s="414"/>
      <c r="Q37" s="415"/>
      <c r="R37" s="985" t="str">
        <f>SCORING!A5</f>
        <v>KESIMPULAN PENGUJIAN KINERJA</v>
      </c>
      <c r="S37" s="986"/>
    </row>
    <row r="38" spans="1:19" ht="24.95" customHeight="1" thickBot="1" x14ac:dyDescent="0.25">
      <c r="B38" s="996"/>
      <c r="C38" s="996"/>
      <c r="D38" s="996"/>
      <c r="E38" s="1016"/>
      <c r="F38" s="1016"/>
      <c r="G38" s="998"/>
      <c r="H38" s="998"/>
      <c r="I38" s="983"/>
      <c r="J38" s="984"/>
      <c r="K38" s="983"/>
      <c r="L38" s="984"/>
      <c r="N38" s="990"/>
      <c r="O38" s="991"/>
      <c r="P38" s="414"/>
      <c r="Q38" s="415"/>
      <c r="R38" s="987"/>
      <c r="S38" s="988"/>
    </row>
    <row r="39" spans="1:19" ht="17.25" customHeight="1" x14ac:dyDescent="0.2">
      <c r="B39" s="1004">
        <f>ID!B40</f>
        <v>2</v>
      </c>
      <c r="C39" s="1004" t="str">
        <f>ID!C40</f>
        <v>Flow (L/min)</v>
      </c>
      <c r="D39" s="688">
        <f>ID!D40:E40</f>
        <v>1</v>
      </c>
      <c r="E39" s="1005">
        <f>IFERROR('DB GAS FLOW'!C151,"-")</f>
        <v>0.99500999999999984</v>
      </c>
      <c r="F39" s="1005"/>
      <c r="G39" s="997">
        <f>IFERROR('DB GAS FLOW'!G151,"-")</f>
        <v>-4.990000000000161E-3</v>
      </c>
      <c r="H39" s="997"/>
      <c r="I39" s="1007" t="s">
        <v>176</v>
      </c>
      <c r="J39" s="1008"/>
      <c r="K39" s="1322" t="s">
        <v>435</v>
      </c>
      <c r="L39" s="1321">
        <f>IFERROR(UB!J16,"-")</f>
        <v>0.30425200219490861</v>
      </c>
      <c r="N39" s="689">
        <f>'DB GAS FLOW'!H151</f>
        <v>0.50150249746235331</v>
      </c>
      <c r="O39" s="689">
        <f>IF(N39="-",3.571,IF(N39&lt;=10,3.571,IF(N39&gt;10,0)))</f>
        <v>3.5710000000000002</v>
      </c>
      <c r="P39" s="414"/>
      <c r="Q39" s="415"/>
      <c r="R39" s="508" t="s">
        <v>177</v>
      </c>
      <c r="S39" s="509" t="s">
        <v>178</v>
      </c>
    </row>
    <row r="40" spans="1:19" ht="17.25" customHeight="1" thickBot="1" x14ac:dyDescent="0.25">
      <c r="B40" s="1004"/>
      <c r="C40" s="1004"/>
      <c r="D40" s="690">
        <f>ID!D41:E41</f>
        <v>2</v>
      </c>
      <c r="E40" s="1015">
        <f>IFERROR('DB GAS FLOW'!C152,"-")</f>
        <v>2.0968100000000001</v>
      </c>
      <c r="F40" s="1015"/>
      <c r="G40" s="979">
        <f>IFERROR('DB GAS FLOW'!G152,"-")</f>
        <v>9.6810000000000063E-2</v>
      </c>
      <c r="H40" s="979"/>
      <c r="I40" s="1009"/>
      <c r="J40" s="1010"/>
      <c r="K40" s="1323" t="s">
        <v>435</v>
      </c>
      <c r="L40" s="1327">
        <f>IFERROR(UB!J30,"-")</f>
        <v>0.30991878579394666</v>
      </c>
      <c r="N40" s="689">
        <f>'DB GAS FLOW'!H152</f>
        <v>4.6170134633085524</v>
      </c>
      <c r="O40" s="689">
        <f t="shared" ref="O40:O45" si="0">IF(N40="-",3.571,IF(N40&lt;=10,3.571,IF(N40&gt;10,0)))</f>
        <v>3.5710000000000002</v>
      </c>
      <c r="P40" s="414"/>
      <c r="Q40" s="415"/>
      <c r="R40" s="510">
        <f>SCORING!B7</f>
        <v>50</v>
      </c>
      <c r="S40" s="511" t="str">
        <f>SCORING!C7</f>
        <v>PASS</v>
      </c>
    </row>
    <row r="41" spans="1:19" ht="17.25" customHeight="1" x14ac:dyDescent="0.2">
      <c r="B41" s="1004"/>
      <c r="C41" s="1004"/>
      <c r="D41" s="690">
        <f>ID!D42:E42</f>
        <v>3</v>
      </c>
      <c r="E41" s="1015">
        <f>IFERROR('DB GAS FLOW'!C153,"-")</f>
        <v>3.1532099999999996</v>
      </c>
      <c r="F41" s="1015"/>
      <c r="G41" s="979">
        <f>IFERROR('DB GAS FLOW'!G153,"-")</f>
        <v>0.15320999999999962</v>
      </c>
      <c r="H41" s="979"/>
      <c r="I41" s="1009"/>
      <c r="J41" s="1010"/>
      <c r="K41" s="1323" t="s">
        <v>435</v>
      </c>
      <c r="L41" s="1325">
        <f>IFERROR(UB!J44,"-")</f>
        <v>0.3249768210213182</v>
      </c>
      <c r="N41" s="689">
        <f>'DB GAS FLOW'!H153</f>
        <v>4.8588581160150968</v>
      </c>
      <c r="O41" s="689">
        <f t="shared" si="0"/>
        <v>3.5710000000000002</v>
      </c>
      <c r="P41" s="414"/>
      <c r="Q41" s="415"/>
      <c r="R41" s="512"/>
    </row>
    <row r="42" spans="1:19" ht="17.25" customHeight="1" x14ac:dyDescent="0.2">
      <c r="B42" s="1004"/>
      <c r="C42" s="1004"/>
      <c r="D42" s="690">
        <f>ID!D43:E43</f>
        <v>4</v>
      </c>
      <c r="E42" s="1015">
        <f>IFERROR('DB GAS FLOW'!C154,"-")</f>
        <v>4.3604099999999999</v>
      </c>
      <c r="F42" s="1015"/>
      <c r="G42" s="979">
        <f>IFERROR('DB GAS FLOW'!G154,"-")</f>
        <v>0.3604099999999999</v>
      </c>
      <c r="H42" s="979"/>
      <c r="I42" s="1009"/>
      <c r="J42" s="1010"/>
      <c r="K42" s="1323" t="s">
        <v>435</v>
      </c>
      <c r="L42" s="1325">
        <f>IFERROR(UB!J58,"-")</f>
        <v>0.32428109446043146</v>
      </c>
      <c r="N42" s="689">
        <f>'DB GAS FLOW'!H154</f>
        <v>8.2655071426769471</v>
      </c>
      <c r="O42" s="689">
        <f t="shared" si="0"/>
        <v>3.5710000000000002</v>
      </c>
      <c r="P42" s="426"/>
      <c r="Q42" s="415"/>
    </row>
    <row r="43" spans="1:19" ht="17.25" customHeight="1" x14ac:dyDescent="0.2">
      <c r="B43" s="1004"/>
      <c r="C43" s="1004"/>
      <c r="D43" s="690">
        <f>ID!D44:E44</f>
        <v>5</v>
      </c>
      <c r="E43" s="1015">
        <f>IFERROR('DB GAS FLOW'!C155,"-")</f>
        <v>5.4920099999999996</v>
      </c>
      <c r="F43" s="1015"/>
      <c r="G43" s="979">
        <f>IFERROR('DB GAS FLOW'!G155,"-")</f>
        <v>0.49200999999999961</v>
      </c>
      <c r="H43" s="979"/>
      <c r="I43" s="1009"/>
      <c r="J43" s="1010"/>
      <c r="K43" s="1323" t="s">
        <v>435</v>
      </c>
      <c r="L43" s="1325">
        <f>IFERROR(UB!J72,"-")</f>
        <v>0.33382945819717758</v>
      </c>
      <c r="N43" s="689">
        <f>'DB GAS FLOW'!H155</f>
        <v>8.9586508400385227</v>
      </c>
      <c r="O43" s="689">
        <f t="shared" si="0"/>
        <v>3.5710000000000002</v>
      </c>
      <c r="P43" s="426"/>
      <c r="Q43" s="415"/>
    </row>
    <row r="44" spans="1:19" ht="17.25" customHeight="1" x14ac:dyDescent="0.2">
      <c r="B44" s="1004"/>
      <c r="C44" s="1004"/>
      <c r="D44" s="690">
        <f>ID!D45:E45</f>
        <v>6</v>
      </c>
      <c r="E44" s="1015">
        <f>IFERROR('DB GAS FLOW'!C156,"-")</f>
        <v>6.0000099999999996</v>
      </c>
      <c r="F44" s="1015"/>
      <c r="G44" s="979">
        <f>IFERROR('DB GAS FLOW'!G156,"-")</f>
        <v>9.9999999996214228E-6</v>
      </c>
      <c r="H44" s="979"/>
      <c r="I44" s="1009"/>
      <c r="J44" s="1010"/>
      <c r="K44" s="1323" t="s">
        <v>435</v>
      </c>
      <c r="L44" s="1325">
        <f>IFERROR(UB!J86,"-")</f>
        <v>0.33898318641012526</v>
      </c>
      <c r="N44" s="689">
        <f>'DB GAS FLOW'!H156</f>
        <v>1.6666638888304224E-4</v>
      </c>
      <c r="O44" s="689">
        <f t="shared" si="0"/>
        <v>3.5710000000000002</v>
      </c>
      <c r="P44" s="426"/>
      <c r="Q44" s="415"/>
    </row>
    <row r="45" spans="1:19" ht="17.25" customHeight="1" x14ac:dyDescent="0.2">
      <c r="B45" s="1004"/>
      <c r="C45" s="1004"/>
      <c r="D45" s="691">
        <f>ID!D46:E46</f>
        <v>7</v>
      </c>
      <c r="E45" s="1027">
        <f>IFERROR('DB GAS FLOW'!C157,"-")</f>
        <v>7.0000099999999996</v>
      </c>
      <c r="F45" s="1027"/>
      <c r="G45" s="980">
        <f>IFERROR('DB GAS FLOW'!G157,"-")</f>
        <v>9.9999999996214228E-6</v>
      </c>
      <c r="H45" s="980"/>
      <c r="I45" s="1011"/>
      <c r="J45" s="1012"/>
      <c r="K45" s="1324" t="s">
        <v>435</v>
      </c>
      <c r="L45" s="1326">
        <f>UB!J100</f>
        <v>0.34982454221259673</v>
      </c>
      <c r="N45" s="689">
        <f>'DB GAS FLOW'!H157</f>
        <v>1.4285693877039352E-4</v>
      </c>
      <c r="O45" s="689">
        <f t="shared" si="0"/>
        <v>3.5710000000000002</v>
      </c>
      <c r="P45" s="426"/>
      <c r="Q45" s="415"/>
    </row>
    <row r="46" spans="1:19" ht="14.25" customHeight="1" x14ac:dyDescent="0.2">
      <c r="B46" s="416"/>
      <c r="C46" s="692"/>
      <c r="D46" s="684"/>
      <c r="E46" s="686"/>
      <c r="F46" s="686"/>
      <c r="G46" s="686"/>
      <c r="H46" s="412"/>
      <c r="I46" s="412"/>
      <c r="J46" s="686"/>
      <c r="K46" s="693"/>
      <c r="L46" s="693"/>
      <c r="M46" s="685"/>
      <c r="N46" s="682"/>
      <c r="O46" s="694"/>
    </row>
    <row r="47" spans="1:19" ht="15" x14ac:dyDescent="0.2">
      <c r="A47" s="422" t="str">
        <f>ID!A48</f>
        <v>V.</v>
      </c>
      <c r="B47" s="422" t="str">
        <f>ID!B48</f>
        <v>Keterangan</v>
      </c>
      <c r="C47" s="422"/>
      <c r="D47" s="418"/>
      <c r="E47" s="419"/>
      <c r="F47" s="418"/>
      <c r="G47" s="418"/>
      <c r="H47" s="418"/>
      <c r="I47" s="418"/>
      <c r="J47" s="420"/>
      <c r="K47" s="421"/>
      <c r="L47" s="421"/>
      <c r="M47" s="418"/>
      <c r="N47" s="418"/>
      <c r="O47" s="418"/>
      <c r="P47" s="222"/>
    </row>
    <row r="48" spans="1:19" ht="14.25" x14ac:dyDescent="0.2">
      <c r="A48" s="417"/>
      <c r="B48" s="418" t="str">
        <f>ID!B49</f>
        <v>Ketidakpastian pengukuran dilaporkan pada tingkat kepercayaan 95% dengan faktor cakupan k = 2</v>
      </c>
      <c r="C48" s="418"/>
      <c r="D48" s="418"/>
      <c r="E48" s="419"/>
      <c r="F48" s="418"/>
      <c r="G48" s="418"/>
      <c r="H48" s="418"/>
      <c r="I48" s="418"/>
      <c r="J48" s="420"/>
      <c r="K48" s="421"/>
      <c r="L48" s="421"/>
      <c r="M48" s="418"/>
      <c r="N48" s="418"/>
      <c r="O48" s="418"/>
      <c r="P48" s="222"/>
    </row>
    <row r="49" spans="1:18" ht="14.25" x14ac:dyDescent="0.2">
      <c r="A49" s="417"/>
      <c r="B49" s="418" t="str">
        <f>ID!B50</f>
        <v>Hasil pengukuran keselamatan listrik tertelusur ke Satuan Internasional ( SI ) melalui PT. Kaliman (LK-032-IDN)</v>
      </c>
      <c r="C49" s="418"/>
      <c r="D49" s="418"/>
      <c r="E49" s="419"/>
      <c r="F49" s="418"/>
      <c r="G49" s="418"/>
      <c r="H49" s="418"/>
      <c r="I49" s="418"/>
      <c r="J49" s="420"/>
      <c r="K49" s="421"/>
      <c r="L49" s="421"/>
      <c r="M49" s="418"/>
      <c r="N49" s="418"/>
      <c r="O49" s="418"/>
      <c r="P49" s="222"/>
    </row>
    <row r="50" spans="1:18" ht="14.25" x14ac:dyDescent="0.2">
      <c r="A50" s="417"/>
      <c r="B50" s="418" t="str">
        <f>ID!B51</f>
        <v>Hasil kalibrasi Flow tertelusur ke Satuan Internasional (SI) melalui PT. CALTEK PTE LTD</v>
      </c>
      <c r="C50" s="418"/>
      <c r="D50" s="418"/>
      <c r="E50" s="419"/>
      <c r="F50" s="418"/>
      <c r="G50" s="418"/>
      <c r="H50" s="418"/>
      <c r="I50" s="418"/>
      <c r="J50" s="420"/>
      <c r="K50" s="421"/>
      <c r="L50" s="421"/>
      <c r="M50" s="418"/>
      <c r="N50" s="418"/>
      <c r="O50" s="418"/>
      <c r="P50" s="222"/>
    </row>
    <row r="51" spans="1:18" ht="14.25" x14ac:dyDescent="0.2">
      <c r="A51" s="417"/>
      <c r="B51" s="418" t="str">
        <f>ID!B52</f>
        <v/>
      </c>
      <c r="C51" s="418"/>
      <c r="D51" s="418"/>
      <c r="E51" s="419"/>
      <c r="F51" s="418"/>
      <c r="G51" s="418"/>
      <c r="H51" s="418"/>
      <c r="I51" s="418"/>
      <c r="J51" s="420"/>
      <c r="K51" s="421"/>
      <c r="L51" s="421"/>
      <c r="M51" s="418"/>
      <c r="N51" s="418"/>
      <c r="O51" s="418"/>
      <c r="P51" s="222"/>
    </row>
    <row r="52" spans="1:18" ht="14.25" x14ac:dyDescent="0.2">
      <c r="A52" s="417"/>
      <c r="B52" s="418"/>
      <c r="C52" s="418"/>
      <c r="D52" s="418"/>
      <c r="E52" s="419"/>
      <c r="F52" s="418"/>
      <c r="G52" s="418"/>
      <c r="H52" s="418"/>
      <c r="I52" s="418"/>
      <c r="J52" s="420"/>
      <c r="K52" s="421"/>
      <c r="L52" s="421"/>
      <c r="M52" s="418"/>
      <c r="N52" s="418"/>
      <c r="O52" s="418"/>
      <c r="P52" s="222"/>
    </row>
    <row r="53" spans="1:18" ht="15" x14ac:dyDescent="0.2">
      <c r="A53" s="422" t="str">
        <f>ID!A54</f>
        <v>VI.</v>
      </c>
      <c r="B53" s="422" t="str">
        <f>ID!B54</f>
        <v>Alat Ukur Yang Digunakan</v>
      </c>
      <c r="C53" s="422"/>
      <c r="D53" s="418"/>
      <c r="E53" s="418"/>
      <c r="F53" s="418"/>
      <c r="G53" s="418"/>
      <c r="H53" s="418"/>
      <c r="I53" s="418"/>
      <c r="J53" s="420"/>
      <c r="K53" s="421"/>
      <c r="L53" s="421"/>
      <c r="M53" s="418"/>
      <c r="N53" s="418"/>
      <c r="O53" s="418"/>
      <c r="P53" s="222"/>
    </row>
    <row r="54" spans="1:18" ht="14.25" x14ac:dyDescent="0.2">
      <c r="A54" s="417"/>
      <c r="B54" s="418" t="str">
        <f>ID!B55:J55</f>
        <v>Gas Flow Analyzer, Merek : Fluke, Model : VT900A, SN : 5101035-5102036</v>
      </c>
      <c r="C54" s="701"/>
      <c r="D54" s="418"/>
      <c r="E54" s="418"/>
      <c r="F54" s="418"/>
      <c r="G54" s="418"/>
      <c r="H54" s="418"/>
      <c r="I54" s="418"/>
      <c r="J54" s="420"/>
      <c r="K54" s="421"/>
      <c r="L54" s="421"/>
      <c r="M54" s="418"/>
      <c r="N54" s="418"/>
      <c r="O54" s="418"/>
      <c r="P54" s="222"/>
    </row>
    <row r="55" spans="1:18" ht="14.25" x14ac:dyDescent="0.2">
      <c r="A55" s="417"/>
      <c r="B55" s="418" t="str">
        <f>ID!B56:J56</f>
        <v>Electrical Safety Analyzer, Merek : Fluke, Model : ESA 620, SN : 1837056</v>
      </c>
      <c r="C55" s="701"/>
      <c r="D55" s="418"/>
      <c r="E55" s="418"/>
      <c r="F55" s="418"/>
      <c r="G55" s="418"/>
      <c r="H55" s="418"/>
      <c r="I55" s="418"/>
      <c r="J55" s="420"/>
      <c r="K55" s="421"/>
      <c r="L55" s="421"/>
      <c r="M55" s="418"/>
      <c r="N55" s="418"/>
      <c r="O55" s="418"/>
      <c r="P55" s="222"/>
    </row>
    <row r="56" spans="1:18" ht="14.25" x14ac:dyDescent="0.2">
      <c r="A56" s="417"/>
      <c r="B56" s="418" t="str">
        <f>ID!B57:J57</f>
        <v>Thermohygrolight, Merek : Greisinger, Model : GFTB 200, SN : 34903051</v>
      </c>
      <c r="C56" s="701"/>
      <c r="D56" s="418"/>
      <c r="E56" s="418"/>
      <c r="F56" s="418"/>
      <c r="G56" s="418"/>
      <c r="H56" s="418"/>
      <c r="I56" s="418"/>
      <c r="J56" s="420"/>
      <c r="K56" s="421"/>
      <c r="L56" s="421"/>
      <c r="M56" s="418"/>
      <c r="N56" s="418"/>
      <c r="O56" s="418"/>
      <c r="P56" s="222"/>
    </row>
    <row r="57" spans="1:18" ht="14.25" customHeight="1" x14ac:dyDescent="0.2">
      <c r="A57" s="417"/>
      <c r="B57" s="418"/>
      <c r="C57" s="701"/>
      <c r="D57" s="418"/>
      <c r="E57" s="418"/>
      <c r="F57" s="418"/>
      <c r="G57" s="418"/>
      <c r="H57" s="418"/>
      <c r="I57" s="418"/>
      <c r="J57" s="420"/>
      <c r="K57" s="421"/>
      <c r="L57" s="421"/>
      <c r="M57" s="418"/>
      <c r="N57" s="418"/>
      <c r="O57" s="418"/>
      <c r="P57" s="222"/>
    </row>
    <row r="58" spans="1:18" ht="15" x14ac:dyDescent="0.2">
      <c r="A58" s="422" t="str">
        <f>ID!A59</f>
        <v>VII.</v>
      </c>
      <c r="B58" s="422" t="str">
        <f>ID!B59</f>
        <v>Kesimpulan</v>
      </c>
      <c r="C58" s="702"/>
      <c r="D58" s="418"/>
      <c r="E58" s="418"/>
      <c r="F58" s="418"/>
      <c r="G58" s="418"/>
      <c r="H58" s="418"/>
      <c r="I58" s="418"/>
      <c r="J58" s="420"/>
      <c r="K58" s="421"/>
      <c r="L58" s="421"/>
      <c r="M58" s="418"/>
      <c r="N58" s="418"/>
      <c r="O58" s="418"/>
      <c r="P58" s="222"/>
    </row>
    <row r="59" spans="1:18" ht="14.25" customHeight="1" x14ac:dyDescent="0.2">
      <c r="A59" s="417"/>
      <c r="B59" s="1006" t="str">
        <f>ID!B60</f>
        <v>Alat yang dikalibrasi dalam batas toleransi dan dinyatakan LAIK PAKAI, dimana hasil atau skor akhir sama dengan atau melampaui 70% berdasarkan Keputusan Direktur Jenderal Pelayanan Kesehatan No : HK.02.02/V/0412/2020.</v>
      </c>
      <c r="C59" s="1006"/>
      <c r="D59" s="1006"/>
      <c r="E59" s="1006"/>
      <c r="F59" s="1006"/>
      <c r="G59" s="1006"/>
      <c r="H59" s="1006"/>
      <c r="I59" s="1006"/>
      <c r="J59" s="1006"/>
      <c r="K59" s="1006"/>
      <c r="L59" s="1006"/>
      <c r="M59" s="1006"/>
      <c r="N59" s="1006"/>
      <c r="O59" s="1006"/>
      <c r="P59" s="222"/>
    </row>
    <row r="60" spans="1:18" ht="14.25" x14ac:dyDescent="0.2">
      <c r="A60" s="417"/>
      <c r="B60" s="1006"/>
      <c r="C60" s="1006"/>
      <c r="D60" s="1006"/>
      <c r="E60" s="1006"/>
      <c r="F60" s="1006"/>
      <c r="G60" s="1006"/>
      <c r="H60" s="1006"/>
      <c r="I60" s="1006"/>
      <c r="J60" s="1006"/>
      <c r="K60" s="1006"/>
      <c r="L60" s="1006"/>
      <c r="M60" s="1006"/>
      <c r="N60" s="1006"/>
      <c r="O60" s="1006"/>
      <c r="P60" s="222"/>
    </row>
    <row r="61" spans="1:18" ht="14.25" x14ac:dyDescent="0.2">
      <c r="A61" s="417"/>
      <c r="B61" s="418"/>
      <c r="C61" s="701"/>
      <c r="D61" s="418"/>
      <c r="E61" s="418"/>
      <c r="F61" s="418"/>
      <c r="G61" s="418"/>
      <c r="H61" s="418"/>
      <c r="I61" s="418"/>
      <c r="J61" s="420"/>
      <c r="K61" s="421"/>
      <c r="L61" s="421"/>
      <c r="M61" s="418"/>
      <c r="N61" s="418"/>
      <c r="O61" s="418"/>
      <c r="P61" s="222"/>
      <c r="R61" s="406" t="s">
        <v>94</v>
      </c>
    </row>
    <row r="62" spans="1:18" ht="15" x14ac:dyDescent="0.2">
      <c r="A62" s="422" t="str">
        <f>ID!A63</f>
        <v>VIII.</v>
      </c>
      <c r="B62" s="422" t="str">
        <f>ID!B63</f>
        <v>Petugas Kalibrasi</v>
      </c>
      <c r="C62" s="422"/>
      <c r="D62" s="418"/>
      <c r="E62" s="418"/>
      <c r="F62" s="418"/>
      <c r="G62" s="418"/>
      <c r="H62" s="418"/>
      <c r="I62" s="418"/>
      <c r="J62" s="420"/>
      <c r="K62" s="421"/>
      <c r="L62" s="421"/>
      <c r="M62" s="418"/>
      <c r="N62" s="418"/>
      <c r="O62" s="418"/>
      <c r="P62" s="222"/>
    </row>
    <row r="63" spans="1:18" ht="14.25" x14ac:dyDescent="0.2">
      <c r="A63" s="417"/>
      <c r="B63" s="418" t="str">
        <f>ID!B64</f>
        <v>Gusti Arya Dinata</v>
      </c>
      <c r="C63" s="418"/>
      <c r="D63" s="418"/>
      <c r="E63" s="418"/>
      <c r="F63" s="418"/>
      <c r="G63" s="418"/>
      <c r="H63" s="418"/>
      <c r="I63" s="418"/>
      <c r="J63" s="420"/>
      <c r="K63" s="421"/>
      <c r="L63" s="421"/>
      <c r="M63" s="418"/>
      <c r="N63" s="418"/>
      <c r="O63" s="418"/>
      <c r="P63" s="222"/>
    </row>
    <row r="64" spans="1:18" ht="14.25" x14ac:dyDescent="0.2">
      <c r="B64" s="222"/>
      <c r="C64" s="222"/>
      <c r="D64" s="222"/>
      <c r="E64" s="222"/>
      <c r="F64" s="222"/>
      <c r="G64" s="222"/>
      <c r="H64" s="222"/>
      <c r="I64" s="222"/>
      <c r="J64" s="271"/>
      <c r="K64" s="272"/>
      <c r="L64" s="272"/>
      <c r="M64" s="222"/>
      <c r="N64" s="222"/>
      <c r="O64" s="222"/>
      <c r="P64" s="222"/>
    </row>
    <row r="65" spans="1:16" ht="14.25" x14ac:dyDescent="0.2">
      <c r="B65" s="222"/>
      <c r="C65" s="222"/>
      <c r="D65" s="222"/>
      <c r="E65" s="222"/>
      <c r="F65" s="222"/>
      <c r="G65" s="222"/>
      <c r="H65" s="222"/>
      <c r="I65" s="222"/>
      <c r="J65" s="271"/>
      <c r="K65" s="272"/>
      <c r="L65" s="272"/>
      <c r="M65" s="222"/>
      <c r="N65" s="222"/>
      <c r="O65" s="222"/>
      <c r="P65" s="222"/>
    </row>
    <row r="66" spans="1:16" ht="14.25" x14ac:dyDescent="0.2">
      <c r="B66" s="222"/>
      <c r="C66" s="1026" t="s">
        <v>179</v>
      </c>
      <c r="D66" s="1026"/>
      <c r="E66" s="1026"/>
      <c r="F66" s="1026"/>
      <c r="G66" s="1026"/>
      <c r="H66" s="994" t="s">
        <v>86</v>
      </c>
      <c r="I66" s="994"/>
      <c r="J66" s="994"/>
      <c r="K66" s="695" t="s">
        <v>180</v>
      </c>
      <c r="L66" s="1019" t="s">
        <v>181</v>
      </c>
      <c r="M66" s="1020"/>
      <c r="N66" s="222"/>
      <c r="O66" s="222"/>
      <c r="P66" s="222"/>
    </row>
    <row r="67" spans="1:16" ht="14.25" x14ac:dyDescent="0.2">
      <c r="B67" s="222"/>
      <c r="C67" s="696" t="str">
        <f>'DB GAS FLOW'!E186&amp;ID!B64</f>
        <v>Dibuat : Gusti Arya Dinata</v>
      </c>
      <c r="D67" s="697"/>
      <c r="E67" s="697"/>
      <c r="F67" s="697"/>
      <c r="G67" s="698"/>
      <c r="H67" s="995" t="str">
        <f>ID!B67</f>
        <v>7 September 2020</v>
      </c>
      <c r="I67" s="995"/>
      <c r="J67" s="995"/>
      <c r="K67" s="699"/>
      <c r="L67" s="1021">
        <f>SUM(O21:O22,N26,R40)</f>
        <v>100</v>
      </c>
      <c r="M67" s="1022"/>
      <c r="N67" s="222"/>
      <c r="O67" s="222"/>
      <c r="P67" s="222"/>
    </row>
    <row r="68" spans="1:16" ht="14.25" x14ac:dyDescent="0.2">
      <c r="B68" s="222"/>
      <c r="C68" s="700" t="s">
        <v>182</v>
      </c>
      <c r="D68" s="992"/>
      <c r="E68" s="993"/>
      <c r="F68" s="993"/>
      <c r="G68" s="993"/>
      <c r="H68" s="1026"/>
      <c r="I68" s="1026"/>
      <c r="J68" s="1026"/>
      <c r="K68" s="699"/>
      <c r="L68" s="1023"/>
      <c r="M68" s="1024"/>
      <c r="N68" s="222"/>
      <c r="O68" s="222"/>
      <c r="P68" s="222"/>
    </row>
    <row r="69" spans="1:16" ht="14.25" x14ac:dyDescent="0.2">
      <c r="B69" s="222"/>
      <c r="C69" s="222"/>
      <c r="D69" s="222"/>
      <c r="E69" s="222"/>
      <c r="F69" s="222"/>
      <c r="G69" s="222"/>
      <c r="H69" s="222"/>
      <c r="I69" s="222"/>
      <c r="J69" s="271"/>
      <c r="K69" s="272"/>
      <c r="L69" s="272"/>
      <c r="M69" s="222"/>
      <c r="N69" s="222"/>
      <c r="O69" s="222"/>
      <c r="P69" s="222"/>
    </row>
    <row r="70" spans="1:16" ht="14.25" x14ac:dyDescent="0.2">
      <c r="A70" s="417"/>
      <c r="B70" s="418"/>
      <c r="C70" s="418"/>
      <c r="D70" s="418"/>
      <c r="E70" s="418"/>
      <c r="F70" s="418"/>
      <c r="G70" s="418"/>
      <c r="H70" s="418"/>
      <c r="I70" s="418"/>
      <c r="J70" s="420"/>
      <c r="K70" s="421"/>
      <c r="L70" s="421"/>
      <c r="M70" s="418"/>
      <c r="N70" s="418"/>
      <c r="O70" s="418"/>
      <c r="P70" s="222"/>
    </row>
  </sheetData>
  <sheetProtection formatCells="0" formatColumns="0" formatRows="0" insertColumns="0" insertRows="0" insertHyperlinks="0" deleteColumns="0" deleteRows="0"/>
  <mergeCells count="68">
    <mergeCell ref="L66:M66"/>
    <mergeCell ref="L67:M68"/>
    <mergeCell ref="J32:J33"/>
    <mergeCell ref="D32:F33"/>
    <mergeCell ref="D34:F34"/>
    <mergeCell ref="C66:G66"/>
    <mergeCell ref="G41:H41"/>
    <mergeCell ref="C37:C38"/>
    <mergeCell ref="D37:D38"/>
    <mergeCell ref="H68:J68"/>
    <mergeCell ref="E42:F42"/>
    <mergeCell ref="E43:F43"/>
    <mergeCell ref="E44:F44"/>
    <mergeCell ref="E45:F45"/>
    <mergeCell ref="G42:H42"/>
    <mergeCell ref="A1:O1"/>
    <mergeCell ref="A2:O2"/>
    <mergeCell ref="E8:F8"/>
    <mergeCell ref="E10:G10"/>
    <mergeCell ref="E40:F40"/>
    <mergeCell ref="E37:F38"/>
    <mergeCell ref="B37:B38"/>
    <mergeCell ref="I28:J28"/>
    <mergeCell ref="D68:G68"/>
    <mergeCell ref="H66:J66"/>
    <mergeCell ref="H67:J67"/>
    <mergeCell ref="C25:H25"/>
    <mergeCell ref="I25:J25"/>
    <mergeCell ref="G39:H39"/>
    <mergeCell ref="G37:H38"/>
    <mergeCell ref="I37:J38"/>
    <mergeCell ref="G32:I33"/>
    <mergeCell ref="G34:I34"/>
    <mergeCell ref="C39:C45"/>
    <mergeCell ref="E39:F39"/>
    <mergeCell ref="B59:O60"/>
    <mergeCell ref="I39:J45"/>
    <mergeCell ref="B39:B45"/>
    <mergeCell ref="G44:H44"/>
    <mergeCell ref="G45:H45"/>
    <mergeCell ref="K37:L38"/>
    <mergeCell ref="G43:H43"/>
    <mergeCell ref="G40:H40"/>
    <mergeCell ref="Q23:R24"/>
    <mergeCell ref="O32:O33"/>
    <mergeCell ref="K25:L25"/>
    <mergeCell ref="B32:B33"/>
    <mergeCell ref="C32:C33"/>
    <mergeCell ref="C28:H28"/>
    <mergeCell ref="K26:L26"/>
    <mergeCell ref="K27:L27"/>
    <mergeCell ref="K28:L28"/>
    <mergeCell ref="I26:J26"/>
    <mergeCell ref="I27:J27"/>
    <mergeCell ref="R37:S38"/>
    <mergeCell ref="N37:N38"/>
    <mergeCell ref="O37:O38"/>
    <mergeCell ref="E41:F41"/>
    <mergeCell ref="S23:S24"/>
    <mergeCell ref="T23:T24"/>
    <mergeCell ref="U23:U24"/>
    <mergeCell ref="W23:AE23"/>
    <mergeCell ref="W24:AE24"/>
    <mergeCell ref="W25:AE25"/>
    <mergeCell ref="W28:AC28"/>
    <mergeCell ref="Q29:Q30"/>
    <mergeCell ref="R29:R30"/>
    <mergeCell ref="N26:N28"/>
  </mergeCells>
  <phoneticPr fontId="0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75" orientation="portrait" horizontalDpi="4294967294" verticalDpi="4294967293" r:id="rId1"/>
  <headerFooter>
    <oddHeader>&amp;R&amp;"-,Regular"&amp;8FV.LP  006-18 / REV : 0</oddHeader>
    <oddFooter>&amp;C&amp;"Arial,Bold"&amp;8&amp;K0070C0SOFTWARE ANESTHESI UNIT&amp;R&amp;K01+024ANESTHESI UNIT 30.8.2023</oddFooter>
    <firstHeader>&amp;C&amp;"Arial,Bold"&amp;12KEMENTERIAN KESEHATAN R.I
DIREKTORAT JENDERAL BINA UPAYA KESEHATAN
LOKA PENGAMANAN FASILITAS KESEHATAN BANJARBARU</first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3653AB2-62D6-4B50-BC35-E34F638A388A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L67</xm:sqref>
        </x14:conditionalFormatting>
        <x14:conditionalFormatting xmlns:xm="http://schemas.microsoft.com/office/excel/2006/main">
          <x14:cfRule type="iconSet" priority="8" id="{177CDDA5-0691-4FF1-AC24-D7D11A5FAE7E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O21:O22</xm:sqref>
        </x14:conditionalFormatting>
        <x14:conditionalFormatting xmlns:xm="http://schemas.microsoft.com/office/excel/2006/main">
          <x14:cfRule type="iconSet" priority="6" id="{CB6A2DFB-DAAD-4782-8C8B-E2FA0481BE5F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O26:O27</xm:sqref>
        </x14:conditionalFormatting>
        <x14:conditionalFormatting xmlns:xm="http://schemas.microsoft.com/office/excel/2006/main">
          <x14:cfRule type="iconSet" priority="5" id="{ED844B20-3727-43DD-8739-3318AEAF5ED1}">
            <x14:iconSet custom="1">
              <x14:cfvo type="percent">
                <xm:f>0</xm:f>
              </x14:cfvo>
              <x14:cfvo type="num">
                <xm:f>20</xm:f>
              </x14:cfvo>
              <x14:cfvo type="num">
                <xm:f>20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O28</xm:sqref>
        </x14:conditionalFormatting>
        <x14:conditionalFormatting xmlns:xm="http://schemas.microsoft.com/office/excel/2006/main">
          <x14:cfRule type="iconSet" priority="2" id="{86DD61CE-4033-49CF-ACD1-29FF95C052EE}">
            <x14:iconSet custom="1">
              <x14:cfvo type="percent">
                <xm:f>0</xm:f>
              </x14:cfvo>
              <x14:cfvo type="num">
                <xm:f>25</xm:f>
              </x14:cfvo>
              <x14:cfvo type="num">
                <xm:f>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O34:O35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113"/>
  <sheetViews>
    <sheetView showGridLines="0" tabSelected="1" view="pageBreakPreview" topLeftCell="A49" zoomScale="83" zoomScaleNormal="100" zoomScaleSheetLayoutView="100" workbookViewId="0">
      <selection activeCell="K56" sqref="K56"/>
    </sheetView>
  </sheetViews>
  <sheetFormatPr defaultColWidth="9.140625" defaultRowHeight="14.25" x14ac:dyDescent="0.2"/>
  <cols>
    <col min="1" max="1" width="5.42578125" style="222" customWidth="1"/>
    <col min="2" max="2" width="4" style="222" customWidth="1"/>
    <col min="3" max="3" width="17.42578125" style="222" customWidth="1"/>
    <col min="4" max="4" width="5.140625" style="222" customWidth="1"/>
    <col min="5" max="5" width="9.140625" style="222" customWidth="1"/>
    <col min="6" max="6" width="9.140625" style="222"/>
    <col min="7" max="7" width="12.28515625" style="222" customWidth="1"/>
    <col min="8" max="9" width="9.140625" style="222"/>
    <col min="10" max="10" width="10" style="222" bestFit="1" customWidth="1"/>
    <col min="11" max="11" width="7.140625" style="222" customWidth="1"/>
    <col min="12" max="12" width="6.85546875" style="222" customWidth="1"/>
    <col min="13" max="13" width="11.7109375" style="222" customWidth="1"/>
    <col min="14" max="14" width="4.28515625" style="222" customWidth="1"/>
    <col min="15" max="15" width="9.140625" style="222"/>
    <col min="16" max="16" width="3.42578125" style="222" customWidth="1"/>
    <col min="17" max="16384" width="9.140625" style="222"/>
  </cols>
  <sheetData>
    <row r="1" spans="1:15" ht="15.75" x14ac:dyDescent="0.2">
      <c r="A1" s="930" t="s">
        <v>92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930"/>
      <c r="M1" s="930"/>
      <c r="N1" s="270"/>
      <c r="O1" s="270"/>
    </row>
    <row r="2" spans="1:15" ht="15" x14ac:dyDescent="0.2">
      <c r="A2" s="229"/>
      <c r="C2" s="1028" t="str">
        <f>'DB GAS FLOW'!A214</f>
        <v>Nomor Sertifikat : 35 /</v>
      </c>
      <c r="D2" s="1028"/>
      <c r="E2" s="1028"/>
      <c r="F2" s="1028"/>
      <c r="H2" s="300"/>
      <c r="I2" s="564" t="s">
        <v>93</v>
      </c>
      <c r="J2" s="300"/>
      <c r="K2" s="300"/>
      <c r="L2" s="225" t="s">
        <v>94</v>
      </c>
    </row>
    <row r="3" spans="1:15" x14ac:dyDescent="0.2">
      <c r="J3" s="271"/>
      <c r="K3" s="272"/>
      <c r="L3" s="272"/>
    </row>
    <row r="4" spans="1:15" x14ac:dyDescent="0.2">
      <c r="A4" s="222" t="s">
        <v>2</v>
      </c>
      <c r="D4" s="223" t="s">
        <v>9</v>
      </c>
      <c r="E4" s="224" t="s">
        <v>95</v>
      </c>
      <c r="F4" s="224"/>
      <c r="G4" s="224"/>
      <c r="J4" s="271"/>
      <c r="K4" s="272"/>
      <c r="L4" s="272"/>
    </row>
    <row r="5" spans="1:15" x14ac:dyDescent="0.2">
      <c r="A5" s="222" t="s">
        <v>4</v>
      </c>
      <c r="D5" s="223" t="s">
        <v>9</v>
      </c>
      <c r="E5" s="224" t="s">
        <v>96</v>
      </c>
      <c r="F5" s="224"/>
      <c r="G5" s="224"/>
      <c r="J5" s="271"/>
      <c r="K5" s="272"/>
      <c r="L5" s="272"/>
    </row>
    <row r="6" spans="1:15" x14ac:dyDescent="0.2">
      <c r="A6" s="222" t="s">
        <v>5</v>
      </c>
      <c r="D6" s="223" t="s">
        <v>9</v>
      </c>
      <c r="E6" s="224" t="s">
        <v>97</v>
      </c>
      <c r="F6" s="224"/>
      <c r="G6" s="224"/>
      <c r="J6" s="271"/>
      <c r="K6" s="272"/>
      <c r="L6" s="272"/>
    </row>
    <row r="7" spans="1:15" x14ac:dyDescent="0.2">
      <c r="A7" s="222" t="s">
        <v>6</v>
      </c>
      <c r="D7" s="223" t="s">
        <v>9</v>
      </c>
      <c r="E7" s="561">
        <v>0.5</v>
      </c>
      <c r="F7" s="222" t="s">
        <v>98</v>
      </c>
      <c r="J7" s="271"/>
      <c r="K7" s="272"/>
      <c r="L7" s="272"/>
    </row>
    <row r="8" spans="1:15" x14ac:dyDescent="0.2">
      <c r="A8" s="222" t="s">
        <v>99</v>
      </c>
      <c r="D8" s="223" t="s">
        <v>9</v>
      </c>
      <c r="E8" s="883" t="s">
        <v>436</v>
      </c>
      <c r="J8" s="271"/>
      <c r="K8" s="272"/>
      <c r="L8" s="272"/>
    </row>
    <row r="9" spans="1:15" x14ac:dyDescent="0.2">
      <c r="A9" s="222" t="str">
        <f>LK!A8</f>
        <v>Tanggal Kalibrasi</v>
      </c>
      <c r="D9" s="223" t="s">
        <v>9</v>
      </c>
      <c r="E9" s="883" t="s">
        <v>436</v>
      </c>
      <c r="F9" s="298"/>
      <c r="G9" s="224"/>
      <c r="J9" s="271"/>
      <c r="K9" s="272"/>
      <c r="L9" s="272"/>
    </row>
    <row r="10" spans="1:15" x14ac:dyDescent="0.2">
      <c r="A10" s="222" t="str">
        <f>LK!A9</f>
        <v>Tempat Kalibrasi</v>
      </c>
      <c r="D10" s="223" t="s">
        <v>9</v>
      </c>
      <c r="E10" s="224" t="s">
        <v>100</v>
      </c>
      <c r="F10" s="224"/>
      <c r="G10" s="224"/>
      <c r="J10" s="271"/>
      <c r="K10" s="272"/>
      <c r="L10" s="272"/>
    </row>
    <row r="11" spans="1:15" x14ac:dyDescent="0.2">
      <c r="A11" s="222" t="s">
        <v>101</v>
      </c>
      <c r="D11" s="223" t="s">
        <v>9</v>
      </c>
      <c r="E11" s="224" t="s">
        <v>102</v>
      </c>
      <c r="F11" s="224"/>
      <c r="G11" s="224"/>
      <c r="J11" s="271"/>
      <c r="K11" s="272"/>
      <c r="L11" s="272"/>
    </row>
    <row r="12" spans="1:15" ht="15" customHeight="1" x14ac:dyDescent="0.2">
      <c r="A12" s="222" t="s">
        <v>103</v>
      </c>
      <c r="D12" s="223" t="s">
        <v>9</v>
      </c>
      <c r="E12" s="222" t="s">
        <v>104</v>
      </c>
      <c r="J12" s="271"/>
      <c r="K12" s="272"/>
      <c r="L12" s="272"/>
    </row>
    <row r="13" spans="1:15" ht="15" customHeight="1" x14ac:dyDescent="0.2">
      <c r="J13" s="271"/>
      <c r="K13" s="272"/>
      <c r="L13" s="272"/>
    </row>
    <row r="14" spans="1:15" ht="15" x14ac:dyDescent="0.2">
      <c r="A14" s="225" t="s">
        <v>12</v>
      </c>
      <c r="B14" s="225" t="s">
        <v>13</v>
      </c>
      <c r="C14" s="225"/>
      <c r="D14" s="225"/>
      <c r="E14" s="225"/>
      <c r="F14" s="225"/>
      <c r="G14" s="225"/>
      <c r="H14" s="225"/>
      <c r="I14" s="225"/>
      <c r="J14" s="273"/>
      <c r="K14" s="274"/>
      <c r="L14" s="274"/>
    </row>
    <row r="15" spans="1:15" ht="22.5" x14ac:dyDescent="0.2">
      <c r="A15" s="225"/>
      <c r="B15" s="225"/>
      <c r="C15" s="225"/>
      <c r="D15" s="225"/>
      <c r="E15" s="443" t="s">
        <v>14</v>
      </c>
      <c r="F15" s="444" t="s">
        <v>15</v>
      </c>
      <c r="G15" s="632" t="s">
        <v>105</v>
      </c>
      <c r="H15" s="265"/>
      <c r="I15" s="225"/>
      <c r="J15" s="273"/>
      <c r="K15" s="274"/>
      <c r="L15" s="274"/>
    </row>
    <row r="16" spans="1:15" ht="16.5" x14ac:dyDescent="0.2">
      <c r="B16" s="222" t="s">
        <v>16</v>
      </c>
      <c r="D16" s="223" t="s">
        <v>9</v>
      </c>
      <c r="E16" s="563">
        <v>20</v>
      </c>
      <c r="F16" s="563">
        <v>20</v>
      </c>
      <c r="G16" s="243">
        <f>'DB Thermohygro'!R377</f>
        <v>19.8</v>
      </c>
      <c r="H16" s="227" t="s">
        <v>17</v>
      </c>
      <c r="J16" s="271"/>
      <c r="K16" s="272"/>
      <c r="L16" s="272"/>
    </row>
    <row r="17" spans="1:27" x14ac:dyDescent="0.2">
      <c r="B17" s="222" t="s">
        <v>106</v>
      </c>
      <c r="D17" s="223" t="s">
        <v>9</v>
      </c>
      <c r="E17" s="563">
        <v>50</v>
      </c>
      <c r="F17" s="563">
        <v>50</v>
      </c>
      <c r="G17" s="243">
        <f>'DB Thermohygro'!R378</f>
        <v>48.8</v>
      </c>
      <c r="H17" s="222" t="s">
        <v>19</v>
      </c>
      <c r="J17" s="271"/>
      <c r="K17" s="272"/>
      <c r="L17" s="272"/>
    </row>
    <row r="18" spans="1:27" x14ac:dyDescent="0.2">
      <c r="B18" s="222" t="s">
        <v>107</v>
      </c>
      <c r="D18" s="223" t="s">
        <v>9</v>
      </c>
      <c r="E18" s="562">
        <v>210</v>
      </c>
      <c r="F18" s="299" t="s">
        <v>21</v>
      </c>
      <c r="H18" s="228"/>
      <c r="J18" s="271"/>
      <c r="K18" s="272"/>
      <c r="L18" s="272"/>
    </row>
    <row r="19" spans="1:27" ht="14.25" customHeight="1" x14ac:dyDescent="0.2">
      <c r="J19" s="271"/>
      <c r="K19" s="272"/>
      <c r="L19" s="272"/>
    </row>
    <row r="20" spans="1:27" ht="15" x14ac:dyDescent="0.2">
      <c r="A20" s="225" t="s">
        <v>23</v>
      </c>
      <c r="B20" s="225" t="s">
        <v>24</v>
      </c>
      <c r="C20" s="225"/>
      <c r="D20" s="225"/>
      <c r="E20" s="225"/>
      <c r="F20" s="225"/>
      <c r="G20" s="225"/>
      <c r="H20" s="225"/>
      <c r="I20" s="225"/>
      <c r="J20" s="271"/>
      <c r="K20" s="272"/>
      <c r="L20" s="272"/>
    </row>
    <row r="21" spans="1:27" ht="15.75" customHeight="1" x14ac:dyDescent="0.2">
      <c r="A21" s="230"/>
      <c r="B21" s="222" t="s">
        <v>25</v>
      </c>
      <c r="D21" s="223" t="s">
        <v>9</v>
      </c>
      <c r="E21" s="561" t="s">
        <v>108</v>
      </c>
      <c r="F21" s="230"/>
      <c r="G21" s="230"/>
      <c r="H21" s="230"/>
      <c r="I21" s="230"/>
      <c r="J21" s="271"/>
      <c r="K21" s="272"/>
      <c r="P21" s="536"/>
      <c r="Q21" s="738"/>
      <c r="R21" s="738"/>
      <c r="S21" s="738"/>
      <c r="T21" s="738"/>
      <c r="U21" s="738"/>
      <c r="V21" s="738"/>
      <c r="W21" s="738"/>
      <c r="X21" s="738"/>
      <c r="Y21" s="738"/>
      <c r="Z21" s="738"/>
      <c r="AA21" s="406"/>
    </row>
    <row r="22" spans="1:27" ht="15.75" customHeight="1" x14ac:dyDescent="0.2">
      <c r="A22" s="230"/>
      <c r="B22" s="222" t="s">
        <v>27</v>
      </c>
      <c r="D22" s="223" t="s">
        <v>9</v>
      </c>
      <c r="E22" s="561" t="s">
        <v>108</v>
      </c>
      <c r="F22" s="230"/>
      <c r="G22" s="230"/>
      <c r="H22" s="230"/>
      <c r="I22" s="230"/>
      <c r="J22" s="271"/>
      <c r="K22" s="272"/>
      <c r="P22" s="536"/>
      <c r="Q22" s="738"/>
      <c r="R22" s="738"/>
      <c r="S22" s="738"/>
      <c r="T22" s="738"/>
      <c r="U22" s="738"/>
      <c r="V22" s="738"/>
      <c r="W22" s="738"/>
      <c r="X22" s="738"/>
      <c r="Y22" s="738"/>
      <c r="Z22" s="738"/>
      <c r="AA22" s="406"/>
    </row>
    <row r="23" spans="1:27" ht="14.25" customHeight="1" x14ac:dyDescent="0.2">
      <c r="A23" s="230"/>
      <c r="D23" s="230"/>
      <c r="E23" s="230"/>
      <c r="F23" s="230"/>
      <c r="G23" s="230"/>
      <c r="H23" s="230"/>
      <c r="I23" s="230"/>
      <c r="J23" s="271"/>
      <c r="K23" s="272"/>
      <c r="P23" s="536"/>
      <c r="S23" s="406"/>
      <c r="T23" s="406"/>
      <c r="U23" s="406"/>
      <c r="V23" s="406"/>
      <c r="W23" s="406"/>
      <c r="X23" s="406"/>
      <c r="Y23" s="406"/>
      <c r="Z23" s="406"/>
      <c r="AA23" s="406"/>
    </row>
    <row r="24" spans="1:27" ht="14.25" customHeight="1" x14ac:dyDescent="0.2">
      <c r="A24" s="230"/>
      <c r="D24" s="230"/>
      <c r="E24" s="230"/>
      <c r="F24" s="230"/>
      <c r="G24" s="230"/>
      <c r="H24" s="230"/>
      <c r="I24" s="230"/>
      <c r="J24" s="271"/>
      <c r="K24" s="272"/>
      <c r="P24" s="536"/>
      <c r="S24" s="406"/>
      <c r="T24" s="406"/>
      <c r="U24" s="406"/>
      <c r="V24" s="406"/>
      <c r="W24" s="406"/>
      <c r="X24" s="406"/>
      <c r="Y24" s="406"/>
      <c r="Z24" s="406"/>
      <c r="AA24" s="406"/>
    </row>
    <row r="25" spans="1:27" ht="15" x14ac:dyDescent="0.2">
      <c r="A25" s="225" t="s">
        <v>28</v>
      </c>
      <c r="B25" s="225" t="s">
        <v>29</v>
      </c>
      <c r="C25" s="225"/>
      <c r="J25" s="271"/>
      <c r="K25" s="272"/>
      <c r="L25" s="272"/>
      <c r="P25" s="536"/>
      <c r="R25" s="406"/>
      <c r="S25" s="1061" t="s">
        <v>276</v>
      </c>
      <c r="T25" s="1061"/>
      <c r="U25" s="953" t="s">
        <v>39</v>
      </c>
      <c r="V25" s="953" t="s">
        <v>46</v>
      </c>
      <c r="W25" s="406"/>
      <c r="X25" s="406"/>
      <c r="Y25" s="406"/>
      <c r="Z25" s="406"/>
      <c r="AA25" s="406"/>
    </row>
    <row r="26" spans="1:27" ht="28.5" customHeight="1" x14ac:dyDescent="0.2">
      <c r="B26" s="214" t="s">
        <v>44</v>
      </c>
      <c r="C26" s="962" t="s">
        <v>31</v>
      </c>
      <c r="D26" s="1035"/>
      <c r="E26" s="1035"/>
      <c r="F26" s="1035"/>
      <c r="G26" s="1035"/>
      <c r="H26" s="963"/>
      <c r="I26" s="962" t="s">
        <v>32</v>
      </c>
      <c r="J26" s="963"/>
      <c r="K26" s="962" t="s">
        <v>33</v>
      </c>
      <c r="L26" s="963"/>
      <c r="O26" s="732"/>
      <c r="P26" s="536"/>
      <c r="Q26" s="406"/>
      <c r="R26" s="406"/>
      <c r="S26" s="1061"/>
      <c r="T26" s="1061"/>
      <c r="U26" s="953"/>
      <c r="V26" s="953"/>
      <c r="W26" s="406"/>
      <c r="X26" s="406"/>
      <c r="Y26" s="406"/>
      <c r="Z26" s="406"/>
      <c r="AA26" s="406"/>
    </row>
    <row r="27" spans="1:27" ht="14.45" customHeight="1" x14ac:dyDescent="0.2">
      <c r="B27" s="231">
        <v>1</v>
      </c>
      <c r="C27" s="423" t="str">
        <f>LK!C24</f>
        <v>Resistansi Isolasi</v>
      </c>
      <c r="D27" s="424"/>
      <c r="E27" s="424"/>
      <c r="F27" s="424"/>
      <c r="G27" s="425"/>
      <c r="H27" s="538"/>
      <c r="I27" s="560" t="s">
        <v>370</v>
      </c>
      <c r="J27" s="232" t="s">
        <v>110</v>
      </c>
      <c r="K27" s="969">
        <f>LK!K24</f>
        <v>2</v>
      </c>
      <c r="L27" s="970"/>
      <c r="O27" s="884"/>
      <c r="P27" s="536"/>
      <c r="Q27" s="406"/>
      <c r="R27" s="406"/>
      <c r="S27" s="740" t="s">
        <v>371</v>
      </c>
      <c r="T27" s="741" t="s">
        <v>372</v>
      </c>
      <c r="U27" s="885">
        <v>10</v>
      </c>
      <c r="V27" s="742">
        <v>100</v>
      </c>
      <c r="W27" s="406"/>
      <c r="X27" s="406"/>
      <c r="Y27" s="406"/>
      <c r="Z27" s="406"/>
      <c r="AA27" s="406"/>
    </row>
    <row r="28" spans="1:27" ht="15" customHeight="1" x14ac:dyDescent="0.2">
      <c r="B28" s="234">
        <v>2</v>
      </c>
      <c r="C28" s="1036" t="s">
        <v>376</v>
      </c>
      <c r="D28" s="1037"/>
      <c r="E28" s="1037"/>
      <c r="F28" s="1037"/>
      <c r="G28" s="1037"/>
      <c r="H28" s="539"/>
      <c r="I28" s="559">
        <v>0.01</v>
      </c>
      <c r="J28" s="233" t="s">
        <v>37</v>
      </c>
      <c r="K28" s="1029">
        <f>IF(C28=PENYELIA!W29,PENYELIA!AC29,PENYELIA!AC30)</f>
        <v>0.2</v>
      </c>
      <c r="L28" s="1030"/>
      <c r="O28" s="884"/>
      <c r="P28" s="536"/>
      <c r="Q28" s="733"/>
      <c r="R28" s="739"/>
      <c r="S28" s="739"/>
      <c r="T28" s="739"/>
      <c r="U28" s="739"/>
      <c r="V28" s="739"/>
      <c r="W28" s="739"/>
      <c r="X28" s="739"/>
      <c r="Y28" s="739"/>
      <c r="Z28" s="739"/>
      <c r="AA28" s="739"/>
    </row>
    <row r="29" spans="1:27" ht="15" customHeight="1" x14ac:dyDescent="0.2">
      <c r="B29" s="235">
        <v>3</v>
      </c>
      <c r="C29" s="1033" t="s">
        <v>112</v>
      </c>
      <c r="D29" s="1034"/>
      <c r="E29" s="1034"/>
      <c r="F29" s="1034"/>
      <c r="G29" s="1034"/>
      <c r="H29" s="261"/>
      <c r="I29" s="756">
        <v>19</v>
      </c>
      <c r="J29" s="236" t="s">
        <v>39</v>
      </c>
      <c r="K29" s="1031">
        <f>IF(C29=PENYELIA!W31,PENYELIA!AC31,PENYELIA!AC32)</f>
        <v>500</v>
      </c>
      <c r="L29" s="1032"/>
      <c r="O29" s="884"/>
      <c r="P29" s="734"/>
      <c r="Q29" s="735"/>
      <c r="R29" s="734"/>
      <c r="S29" s="734"/>
      <c r="T29" s="734"/>
      <c r="U29" s="734"/>
      <c r="V29" s="734"/>
      <c r="W29" s="406"/>
      <c r="X29" s="736"/>
      <c r="Y29" s="734"/>
      <c r="Z29" s="737"/>
      <c r="AA29" s="406"/>
    </row>
    <row r="30" spans="1:27" ht="14.25" customHeight="1" x14ac:dyDescent="0.2">
      <c r="B30" s="225"/>
      <c r="C30" s="225"/>
      <c r="J30" s="271"/>
      <c r="K30" s="272"/>
      <c r="L30" s="272"/>
    </row>
    <row r="31" spans="1:27" ht="14.25" customHeight="1" x14ac:dyDescent="0.2">
      <c r="A31" s="225" t="str">
        <f>LK!A28</f>
        <v>IV.</v>
      </c>
      <c r="B31" s="225" t="str">
        <f>LK!B28</f>
        <v>Pengujian Kinerja</v>
      </c>
      <c r="C31" s="225"/>
      <c r="J31" s="271"/>
      <c r="K31" s="272"/>
      <c r="L31" s="272"/>
    </row>
    <row r="32" spans="1:27" ht="12.75" customHeight="1" x14ac:dyDescent="0.2">
      <c r="A32" s="225"/>
      <c r="B32" s="225" t="str">
        <f>LK!B29</f>
        <v>A. Pengujian Oxygen Flush</v>
      </c>
      <c r="C32" s="237"/>
      <c r="J32" s="271"/>
      <c r="K32" s="272"/>
      <c r="L32" s="272"/>
    </row>
    <row r="33" spans="1:15" ht="12.75" customHeight="1" x14ac:dyDescent="0.2">
      <c r="A33" s="225"/>
      <c r="B33" s="964" t="s">
        <v>44</v>
      </c>
      <c r="C33" s="964" t="s">
        <v>31</v>
      </c>
      <c r="D33" s="981" t="s">
        <v>45</v>
      </c>
      <c r="E33" s="999"/>
      <c r="F33" s="982"/>
      <c r="G33" s="279"/>
      <c r="H33" s="279"/>
      <c r="I33" s="279"/>
      <c r="J33" s="271"/>
      <c r="K33" s="272"/>
      <c r="L33" s="272"/>
    </row>
    <row r="34" spans="1:15" ht="12.75" customHeight="1" x14ac:dyDescent="0.2">
      <c r="A34" s="225"/>
      <c r="B34" s="965"/>
      <c r="C34" s="965"/>
      <c r="D34" s="983"/>
      <c r="E34" s="1000"/>
      <c r="F34" s="984"/>
      <c r="G34" s="281"/>
      <c r="H34" s="281"/>
      <c r="I34" s="281"/>
      <c r="J34" s="271"/>
      <c r="K34" s="272"/>
      <c r="L34" s="272"/>
    </row>
    <row r="35" spans="1:15" ht="26.25" customHeight="1" x14ac:dyDescent="0.2">
      <c r="A35" s="225"/>
      <c r="B35" s="226">
        <v>1</v>
      </c>
      <c r="C35" s="226" t="s">
        <v>113</v>
      </c>
      <c r="D35" s="1039">
        <v>70</v>
      </c>
      <c r="E35" s="1040"/>
      <c r="F35" s="1041"/>
      <c r="G35" s="263"/>
      <c r="H35" s="288"/>
      <c r="I35" s="288"/>
      <c r="J35" s="271"/>
      <c r="K35" s="272"/>
      <c r="L35" s="272"/>
    </row>
    <row r="36" spans="1:15" ht="12.75" customHeight="1" x14ac:dyDescent="0.2">
      <c r="A36" s="225"/>
      <c r="B36" s="416"/>
      <c r="C36" s="416"/>
      <c r="D36" s="491"/>
      <c r="E36" s="491"/>
      <c r="F36" s="491"/>
      <c r="G36" s="263"/>
      <c r="H36" s="288"/>
      <c r="I36" s="288"/>
      <c r="J36" s="271"/>
      <c r="K36" s="272"/>
      <c r="L36" s="272"/>
    </row>
    <row r="37" spans="1:15" ht="14.25" customHeight="1" x14ac:dyDescent="0.2">
      <c r="A37" s="225"/>
      <c r="B37" s="225" t="str">
        <f>LK!B34</f>
        <v>B. Kalibrasi Akurasi Laju Aliran</v>
      </c>
      <c r="C37" s="225"/>
      <c r="E37" s="238"/>
      <c r="F37" s="238"/>
      <c r="G37" s="238"/>
      <c r="H37" s="238"/>
      <c r="I37" s="238"/>
      <c r="J37" s="271"/>
      <c r="K37" s="272"/>
      <c r="L37" s="272"/>
    </row>
    <row r="38" spans="1:15" ht="19.5" customHeight="1" x14ac:dyDescent="0.2">
      <c r="B38" s="996" t="s">
        <v>44</v>
      </c>
      <c r="C38" s="996" t="s">
        <v>31</v>
      </c>
      <c r="D38" s="996" t="s">
        <v>51</v>
      </c>
      <c r="E38" s="996"/>
      <c r="F38" s="996" t="s">
        <v>114</v>
      </c>
      <c r="G38" s="996"/>
      <c r="H38" s="996"/>
      <c r="I38" s="996"/>
      <c r="J38" s="996"/>
      <c r="K38" s="998" t="s">
        <v>115</v>
      </c>
      <c r="L38" s="998"/>
      <c r="M38" s="925"/>
      <c r="N38" s="925"/>
      <c r="O38" s="925"/>
    </row>
    <row r="39" spans="1:15" ht="17.25" customHeight="1" x14ac:dyDescent="0.2">
      <c r="B39" s="996"/>
      <c r="C39" s="996"/>
      <c r="D39" s="996"/>
      <c r="E39" s="996"/>
      <c r="F39" s="214" t="s">
        <v>53</v>
      </c>
      <c r="G39" s="214" t="s">
        <v>54</v>
      </c>
      <c r="H39" s="214" t="s">
        <v>55</v>
      </c>
      <c r="I39" s="214" t="s">
        <v>56</v>
      </c>
      <c r="J39" s="214" t="s">
        <v>57</v>
      </c>
      <c r="K39" s="998"/>
      <c r="L39" s="998"/>
      <c r="M39" s="925"/>
      <c r="N39" s="925"/>
      <c r="O39" s="925"/>
    </row>
    <row r="40" spans="1:15" ht="20.100000000000001" customHeight="1" x14ac:dyDescent="0.2">
      <c r="B40" s="1045">
        <v>2</v>
      </c>
      <c r="C40" s="1045" t="s">
        <v>116</v>
      </c>
      <c r="D40" s="1053">
        <v>1</v>
      </c>
      <c r="E40" s="1054"/>
      <c r="F40" s="556">
        <v>994</v>
      </c>
      <c r="G40" s="556">
        <v>994</v>
      </c>
      <c r="H40" s="556">
        <v>999</v>
      </c>
      <c r="I40" s="556">
        <v>994</v>
      </c>
      <c r="J40" s="556">
        <v>994</v>
      </c>
      <c r="K40" s="1048">
        <f>'DB GAS FLOW'!C151</f>
        <v>0.99500999999999984</v>
      </c>
      <c r="L40" s="1049"/>
      <c r="M40" s="1052"/>
      <c r="N40" s="283"/>
      <c r="O40" s="284"/>
    </row>
    <row r="41" spans="1:15" ht="20.100000000000001" customHeight="1" x14ac:dyDescent="0.2">
      <c r="B41" s="1046"/>
      <c r="C41" s="1046"/>
      <c r="D41" s="1059">
        <v>2</v>
      </c>
      <c r="E41" s="1060"/>
      <c r="F41" s="557">
        <v>2097</v>
      </c>
      <c r="G41" s="557">
        <v>2097</v>
      </c>
      <c r="H41" s="557">
        <v>2096</v>
      </c>
      <c r="I41" s="557">
        <v>2097</v>
      </c>
      <c r="J41" s="557">
        <v>2097</v>
      </c>
      <c r="K41" s="1050">
        <f>'DB GAS FLOW'!C152</f>
        <v>2.0968100000000001</v>
      </c>
      <c r="L41" s="1051"/>
      <c r="M41" s="1052"/>
      <c r="N41" s="283"/>
      <c r="O41" s="284"/>
    </row>
    <row r="42" spans="1:15" ht="20.100000000000001" customHeight="1" x14ac:dyDescent="0.2">
      <c r="B42" s="1046"/>
      <c r="C42" s="1046"/>
      <c r="D42" s="1059">
        <v>3</v>
      </c>
      <c r="E42" s="1060"/>
      <c r="F42" s="557">
        <v>3000</v>
      </c>
      <c r="G42" s="557">
        <v>3190</v>
      </c>
      <c r="H42" s="557">
        <v>3196</v>
      </c>
      <c r="I42" s="557">
        <v>3190</v>
      </c>
      <c r="J42" s="557">
        <v>3190</v>
      </c>
      <c r="K42" s="1050">
        <f>'DB GAS FLOW'!C153</f>
        <v>3.1532099999999996</v>
      </c>
      <c r="L42" s="1051"/>
      <c r="M42" s="1052"/>
      <c r="N42" s="283"/>
      <c r="O42" s="284"/>
    </row>
    <row r="43" spans="1:15" ht="20.100000000000001" customHeight="1" x14ac:dyDescent="0.2">
      <c r="B43" s="1046"/>
      <c r="C43" s="1046"/>
      <c r="D43" s="1059">
        <v>4</v>
      </c>
      <c r="E43" s="1060"/>
      <c r="F43" s="557">
        <v>4361</v>
      </c>
      <c r="G43" s="557">
        <v>4360</v>
      </c>
      <c r="H43" s="557">
        <v>4361</v>
      </c>
      <c r="I43" s="557">
        <v>4360</v>
      </c>
      <c r="J43" s="557">
        <v>4360</v>
      </c>
      <c r="K43" s="1050">
        <f>'DB GAS FLOW'!C154</f>
        <v>4.3604099999999999</v>
      </c>
      <c r="L43" s="1051"/>
      <c r="M43" s="1052"/>
      <c r="N43" s="283"/>
      <c r="O43" s="284"/>
    </row>
    <row r="44" spans="1:15" ht="20.100000000000001" customHeight="1" x14ac:dyDescent="0.2">
      <c r="B44" s="1046"/>
      <c r="C44" s="1046"/>
      <c r="D44" s="1059">
        <v>5</v>
      </c>
      <c r="E44" s="1060"/>
      <c r="F44" s="557">
        <v>5495</v>
      </c>
      <c r="G44" s="557">
        <v>5490</v>
      </c>
      <c r="H44" s="557">
        <v>5495</v>
      </c>
      <c r="I44" s="557">
        <v>5490</v>
      </c>
      <c r="J44" s="557">
        <v>5490</v>
      </c>
      <c r="K44" s="1050">
        <f>'DB GAS FLOW'!C155</f>
        <v>5.4920099999999996</v>
      </c>
      <c r="L44" s="1051"/>
      <c r="M44" s="1052"/>
      <c r="N44" s="283"/>
      <c r="O44" s="284"/>
    </row>
    <row r="45" spans="1:15" ht="20.100000000000001" customHeight="1" x14ac:dyDescent="0.2">
      <c r="B45" s="1046"/>
      <c r="C45" s="1046"/>
      <c r="D45" s="1059">
        <v>6</v>
      </c>
      <c r="E45" s="1060"/>
      <c r="F45" s="557">
        <v>6000</v>
      </c>
      <c r="G45" s="557">
        <v>6000</v>
      </c>
      <c r="H45" s="557">
        <v>6000</v>
      </c>
      <c r="I45" s="557">
        <v>6000</v>
      </c>
      <c r="J45" s="557">
        <v>6000</v>
      </c>
      <c r="K45" s="1050">
        <f>'DB GAS FLOW'!C156</f>
        <v>6.0000099999999996</v>
      </c>
      <c r="L45" s="1051"/>
      <c r="M45" s="1052"/>
      <c r="N45" s="283"/>
      <c r="O45" s="284"/>
    </row>
    <row r="46" spans="1:15" ht="20.100000000000001" customHeight="1" x14ac:dyDescent="0.2">
      <c r="B46" s="1047"/>
      <c r="C46" s="1047"/>
      <c r="D46" s="1057">
        <v>7</v>
      </c>
      <c r="E46" s="1058"/>
      <c r="F46" s="558">
        <v>7000</v>
      </c>
      <c r="G46" s="558">
        <v>7000</v>
      </c>
      <c r="H46" s="558">
        <v>7000</v>
      </c>
      <c r="I46" s="558">
        <v>7000</v>
      </c>
      <c r="J46" s="558">
        <v>7000</v>
      </c>
      <c r="K46" s="1055">
        <f>'DB GAS FLOW'!C157</f>
        <v>7.0000099999999996</v>
      </c>
      <c r="L46" s="1056"/>
      <c r="M46" s="1052"/>
      <c r="N46" s="283"/>
      <c r="O46" s="284"/>
    </row>
    <row r="47" spans="1:15" ht="14.25" customHeight="1" x14ac:dyDescent="0.2">
      <c r="E47" s="228"/>
      <c r="J47" s="271"/>
      <c r="K47" s="272"/>
      <c r="L47" s="272"/>
    </row>
    <row r="48" spans="1:15" ht="15" x14ac:dyDescent="0.2">
      <c r="A48" s="225" t="str">
        <f>LK!A45</f>
        <v>V.</v>
      </c>
      <c r="B48" s="225" t="str">
        <f>LK!B45</f>
        <v>Keterangan</v>
      </c>
      <c r="C48" s="225"/>
      <c r="E48" s="228"/>
      <c r="J48" s="271"/>
      <c r="K48" s="272"/>
      <c r="L48" s="272"/>
    </row>
    <row r="49" spans="1:14" ht="15" x14ac:dyDescent="0.2">
      <c r="A49" s="225"/>
      <c r="B49" s="222" t="s">
        <v>117</v>
      </c>
      <c r="E49" s="228"/>
      <c r="J49" s="271"/>
      <c r="K49" s="272"/>
      <c r="L49" s="272"/>
    </row>
    <row r="50" spans="1:14" ht="15" x14ac:dyDescent="0.2">
      <c r="A50" s="225"/>
      <c r="B50" s="272" t="str">
        <f>'DB Kelistrikan'!N311</f>
        <v>Hasil pengukuran keselamatan listrik tertelusur ke Satuan Internasional ( SI ) melalui PT. Kaliman (LK-032-IDN)</v>
      </c>
      <c r="E50" s="228"/>
      <c r="J50" s="271"/>
      <c r="K50" s="272"/>
      <c r="L50" s="272"/>
    </row>
    <row r="51" spans="1:14" ht="15" x14ac:dyDescent="0.2">
      <c r="A51" s="225"/>
      <c r="B51" s="222" t="str">
        <f>'DB GAS FLOW'!M206</f>
        <v>Hasil kalibrasi Flow tertelusur ke Satuan Internasional (SI) melalui PT. CALTEK PTE LTD</v>
      </c>
      <c r="J51" s="271"/>
      <c r="K51" s="272"/>
      <c r="L51" s="272"/>
    </row>
    <row r="52" spans="1:14" ht="15" x14ac:dyDescent="0.2">
      <c r="A52" s="225"/>
      <c r="B52" s="222" t="str">
        <f>PENYELIA!W23</f>
        <v/>
      </c>
      <c r="J52" s="271"/>
      <c r="K52" s="272"/>
      <c r="L52" s="272"/>
    </row>
    <row r="53" spans="1:14" ht="15" x14ac:dyDescent="0.2">
      <c r="A53" s="225"/>
      <c r="J53" s="271"/>
      <c r="K53" s="272"/>
      <c r="L53" s="272"/>
    </row>
    <row r="54" spans="1:14" ht="15" x14ac:dyDescent="0.2">
      <c r="A54" s="239" t="str">
        <f>LK!A50</f>
        <v>VI.</v>
      </c>
      <c r="B54" s="239" t="str">
        <f>LK!B50</f>
        <v>Alat Ukur Yang Digunakan</v>
      </c>
      <c r="C54" s="239"/>
      <c r="D54" s="240"/>
      <c r="E54" s="230"/>
      <c r="F54" s="230"/>
      <c r="G54" s="230"/>
      <c r="H54" s="230"/>
      <c r="I54" s="230"/>
      <c r="J54" s="273"/>
      <c r="K54" s="274"/>
      <c r="L54" s="288"/>
      <c r="M54" s="288"/>
      <c r="N54" s="288"/>
    </row>
    <row r="55" spans="1:14" ht="15" x14ac:dyDescent="0.2">
      <c r="A55" s="239"/>
      <c r="B55" s="1042" t="s">
        <v>381</v>
      </c>
      <c r="C55" s="1042"/>
      <c r="D55" s="1042"/>
      <c r="E55" s="1042"/>
      <c r="F55" s="1042"/>
      <c r="G55" s="1042"/>
      <c r="H55" s="1042"/>
      <c r="I55" s="1042"/>
      <c r="J55" s="1042"/>
      <c r="K55" s="274"/>
      <c r="L55" s="288"/>
      <c r="M55" s="288"/>
      <c r="N55" s="288"/>
    </row>
    <row r="56" spans="1:14" ht="15" x14ac:dyDescent="0.2">
      <c r="A56" s="239"/>
      <c r="B56" s="1043" t="s">
        <v>392</v>
      </c>
      <c r="C56" s="1043"/>
      <c r="D56" s="1043"/>
      <c r="E56" s="1043"/>
      <c r="F56" s="1043"/>
      <c r="G56" s="1043"/>
      <c r="H56" s="1043"/>
      <c r="I56" s="1043"/>
      <c r="J56" s="1043"/>
      <c r="L56" s="288"/>
      <c r="M56" s="288"/>
      <c r="N56" s="288"/>
    </row>
    <row r="57" spans="1:14" ht="15" x14ac:dyDescent="0.2">
      <c r="A57" s="239"/>
      <c r="B57" s="1042" t="s">
        <v>120</v>
      </c>
      <c r="C57" s="1042"/>
      <c r="D57" s="1042"/>
      <c r="E57" s="1042"/>
      <c r="F57" s="1042"/>
      <c r="G57" s="1042"/>
      <c r="H57" s="1042"/>
      <c r="I57" s="1042"/>
      <c r="J57" s="1042"/>
      <c r="K57" s="241"/>
      <c r="L57" s="288"/>
      <c r="M57" s="288"/>
      <c r="N57" s="288"/>
    </row>
    <row r="58" spans="1:14" ht="14.25" customHeight="1" x14ac:dyDescent="0.2">
      <c r="B58" s="239"/>
      <c r="D58" s="240"/>
      <c r="E58" s="230"/>
      <c r="F58" s="230"/>
      <c r="G58" s="230"/>
      <c r="H58" s="230"/>
      <c r="I58" s="230"/>
      <c r="J58" s="273"/>
      <c r="K58" s="274"/>
      <c r="L58" s="288"/>
      <c r="M58" s="288"/>
      <c r="N58" s="288"/>
    </row>
    <row r="59" spans="1:14" ht="15" x14ac:dyDescent="0.2">
      <c r="A59" s="239" t="s">
        <v>80</v>
      </c>
      <c r="B59" s="239" t="s">
        <v>81</v>
      </c>
      <c r="C59" s="239"/>
      <c r="D59" s="240"/>
      <c r="E59" s="230"/>
      <c r="F59" s="230"/>
      <c r="G59" s="230"/>
      <c r="H59" s="230"/>
      <c r="I59" s="230"/>
      <c r="J59" s="273"/>
      <c r="K59" s="274"/>
      <c r="L59" s="288"/>
      <c r="M59" s="288"/>
      <c r="N59" s="288"/>
    </row>
    <row r="60" spans="1:14" ht="15" customHeight="1" x14ac:dyDescent="0.2">
      <c r="A60" s="239"/>
      <c r="B60" s="1044" t="str">
        <f>'DB GAS FLOW'!A220</f>
        <v>Alat yang dikalibrasi dalam batas toleransi dan dinyatakan LAIK PAKAI, dimana hasil atau skor akhir sama dengan atau melampaui 70% berdasarkan Keputusan Direktur Jenderal Pelayanan Kesehatan No : HK.02.02/V/0412/2020.</v>
      </c>
      <c r="C60" s="1044"/>
      <c r="D60" s="1044"/>
      <c r="E60" s="1044"/>
      <c r="F60" s="1044"/>
      <c r="G60" s="1044"/>
      <c r="H60" s="1044"/>
      <c r="I60" s="1044"/>
      <c r="J60" s="1044"/>
      <c r="K60" s="1044"/>
      <c r="L60" s="1044"/>
      <c r="M60" s="1044"/>
      <c r="N60" s="288"/>
    </row>
    <row r="61" spans="1:14" ht="15" x14ac:dyDescent="0.2">
      <c r="A61" s="239"/>
      <c r="B61" s="1044"/>
      <c r="C61" s="1044"/>
      <c r="D61" s="1044"/>
      <c r="E61" s="1044"/>
      <c r="F61" s="1044"/>
      <c r="G61" s="1044"/>
      <c r="H61" s="1044"/>
      <c r="I61" s="1044"/>
      <c r="J61" s="1044"/>
      <c r="K61" s="1044"/>
      <c r="L61" s="1044"/>
      <c r="M61" s="1044"/>
      <c r="N61" s="288"/>
    </row>
    <row r="62" spans="1:14" ht="14.25" customHeight="1" x14ac:dyDescent="0.2">
      <c r="A62" s="239"/>
      <c r="D62" s="240"/>
      <c r="E62" s="230"/>
      <c r="F62" s="230"/>
      <c r="G62" s="230"/>
      <c r="H62" s="230"/>
      <c r="I62" s="230"/>
      <c r="J62" s="273"/>
      <c r="K62" s="274"/>
      <c r="L62" s="288"/>
      <c r="M62" s="288"/>
      <c r="N62" s="288"/>
    </row>
    <row r="63" spans="1:14" ht="15" x14ac:dyDescent="0.2">
      <c r="A63" s="225" t="s">
        <v>83</v>
      </c>
      <c r="B63" s="225" t="str">
        <f>LK!B68</f>
        <v>Petugas Kalibrasi</v>
      </c>
      <c r="C63" s="225"/>
      <c r="J63" s="271"/>
      <c r="K63" s="272"/>
      <c r="L63" s="272"/>
    </row>
    <row r="64" spans="1:14" x14ac:dyDescent="0.2">
      <c r="B64" s="1042" t="s">
        <v>121</v>
      </c>
      <c r="C64" s="1042"/>
      <c r="D64" s="1042"/>
      <c r="E64" s="1042"/>
      <c r="J64" s="271"/>
      <c r="K64" s="272"/>
      <c r="L64" s="272"/>
    </row>
    <row r="65" spans="1:10" ht="14.25" customHeight="1" x14ac:dyDescent="0.2"/>
    <row r="66" spans="1:10" ht="15" x14ac:dyDescent="0.2">
      <c r="A66" s="225" t="s">
        <v>122</v>
      </c>
      <c r="B66" s="225" t="s">
        <v>123</v>
      </c>
      <c r="C66" s="225"/>
      <c r="D66" s="225"/>
    </row>
    <row r="67" spans="1:10" x14ac:dyDescent="0.2">
      <c r="B67" s="1038" t="s">
        <v>124</v>
      </c>
      <c r="C67" s="1038"/>
      <c r="D67" s="224"/>
    </row>
    <row r="77" spans="1:10" x14ac:dyDescent="0.2">
      <c r="J77" s="272"/>
    </row>
    <row r="78" spans="1:10" x14ac:dyDescent="0.2">
      <c r="J78" s="272"/>
    </row>
    <row r="79" spans="1:10" x14ac:dyDescent="0.2">
      <c r="J79" s="272"/>
    </row>
    <row r="80" spans="1:10" x14ac:dyDescent="0.2">
      <c r="C80" s="241"/>
      <c r="J80" s="272"/>
    </row>
    <row r="81" spans="3:10" x14ac:dyDescent="0.2">
      <c r="J81" s="272"/>
    </row>
    <row r="82" spans="3:10" x14ac:dyDescent="0.2">
      <c r="J82" s="272"/>
    </row>
    <row r="83" spans="3:10" x14ac:dyDescent="0.2">
      <c r="G83" s="242"/>
      <c r="J83" s="272"/>
    </row>
    <row r="84" spans="3:10" x14ac:dyDescent="0.2">
      <c r="J84" s="272"/>
    </row>
    <row r="85" spans="3:10" x14ac:dyDescent="0.2">
      <c r="J85" s="272"/>
    </row>
    <row r="86" spans="3:10" x14ac:dyDescent="0.2">
      <c r="J86" s="272"/>
    </row>
    <row r="87" spans="3:10" x14ac:dyDescent="0.2">
      <c r="J87" s="272"/>
    </row>
    <row r="88" spans="3:10" x14ac:dyDescent="0.2">
      <c r="C88" s="222" t="s">
        <v>108</v>
      </c>
      <c r="E88" s="222" t="s">
        <v>108</v>
      </c>
      <c r="J88" s="272"/>
    </row>
    <row r="89" spans="3:10" x14ac:dyDescent="0.2">
      <c r="C89" s="222" t="s">
        <v>125</v>
      </c>
      <c r="E89" s="222" t="s">
        <v>125</v>
      </c>
      <c r="J89" s="272"/>
    </row>
    <row r="90" spans="3:10" x14ac:dyDescent="0.2">
      <c r="C90" s="222" t="s">
        <v>108</v>
      </c>
      <c r="E90" s="222" t="s">
        <v>108</v>
      </c>
      <c r="J90" s="272"/>
    </row>
    <row r="91" spans="3:10" x14ac:dyDescent="0.2">
      <c r="C91" s="222" t="s">
        <v>125</v>
      </c>
      <c r="E91" s="222" t="s">
        <v>125</v>
      </c>
      <c r="J91" s="272"/>
    </row>
    <row r="92" spans="3:10" x14ac:dyDescent="0.2">
      <c r="C92" s="222" t="s">
        <v>108</v>
      </c>
      <c r="E92" s="222" t="s">
        <v>108</v>
      </c>
      <c r="J92" s="272"/>
    </row>
    <row r="93" spans="3:10" x14ac:dyDescent="0.2">
      <c r="C93" s="222" t="s">
        <v>125</v>
      </c>
      <c r="E93" s="222" t="s">
        <v>125</v>
      </c>
      <c r="J93" s="272"/>
    </row>
    <row r="94" spans="3:10" x14ac:dyDescent="0.2">
      <c r="J94" s="272"/>
    </row>
    <row r="95" spans="3:10" x14ac:dyDescent="0.2">
      <c r="C95" s="886" t="s">
        <v>126</v>
      </c>
      <c r="J95" s="272"/>
    </row>
    <row r="96" spans="3:10" x14ac:dyDescent="0.2">
      <c r="C96" s="886" t="s">
        <v>127</v>
      </c>
      <c r="J96" s="272"/>
    </row>
    <row r="97" spans="3:10" x14ac:dyDescent="0.2">
      <c r="C97" s="886"/>
      <c r="J97" s="272"/>
    </row>
    <row r="98" spans="3:10" x14ac:dyDescent="0.2">
      <c r="C98" s="246" t="s">
        <v>128</v>
      </c>
      <c r="J98" s="272"/>
    </row>
    <row r="99" spans="3:10" x14ac:dyDescent="0.2">
      <c r="C99" s="246" t="s">
        <v>129</v>
      </c>
      <c r="J99" s="272"/>
    </row>
    <row r="100" spans="3:10" x14ac:dyDescent="0.2">
      <c r="C100" s="246" t="s">
        <v>130</v>
      </c>
      <c r="J100" s="272"/>
    </row>
    <row r="101" spans="3:10" x14ac:dyDescent="0.2">
      <c r="C101" s="886" t="s">
        <v>109</v>
      </c>
      <c r="J101" s="272"/>
    </row>
    <row r="102" spans="3:10" x14ac:dyDescent="0.2">
      <c r="C102" s="886" t="s">
        <v>94</v>
      </c>
      <c r="J102" s="272"/>
    </row>
    <row r="103" spans="3:10" x14ac:dyDescent="0.2">
      <c r="J103" s="272"/>
    </row>
    <row r="104" spans="3:10" x14ac:dyDescent="0.2">
      <c r="C104" s="222" t="s">
        <v>131</v>
      </c>
    </row>
    <row r="105" spans="3:10" x14ac:dyDescent="0.2">
      <c r="C105" s="222" t="s">
        <v>132</v>
      </c>
    </row>
    <row r="108" spans="3:10" x14ac:dyDescent="0.2">
      <c r="C108" s="887" t="s">
        <v>133</v>
      </c>
    </row>
    <row r="109" spans="3:10" x14ac:dyDescent="0.2">
      <c r="C109" s="888" t="s">
        <v>134</v>
      </c>
    </row>
    <row r="110" spans="3:10" x14ac:dyDescent="0.2">
      <c r="C110" s="888" t="s">
        <v>135</v>
      </c>
    </row>
    <row r="111" spans="3:10" x14ac:dyDescent="0.2">
      <c r="C111" s="888" t="s">
        <v>136</v>
      </c>
    </row>
    <row r="112" spans="3:10" x14ac:dyDescent="0.2">
      <c r="C112" s="887" t="s">
        <v>137</v>
      </c>
    </row>
    <row r="113" spans="3:3" x14ac:dyDescent="0.2">
      <c r="C113" s="888" t="s">
        <v>138</v>
      </c>
    </row>
  </sheetData>
  <mergeCells count="47">
    <mergeCell ref="D45:E45"/>
    <mergeCell ref="S25:T26"/>
    <mergeCell ref="U25:U26"/>
    <mergeCell ref="V25:V26"/>
    <mergeCell ref="N38:O39"/>
    <mergeCell ref="C40:C46"/>
    <mergeCell ref="M40:M46"/>
    <mergeCell ref="M38:M39"/>
    <mergeCell ref="F38:J38"/>
    <mergeCell ref="D38:E39"/>
    <mergeCell ref="D40:E40"/>
    <mergeCell ref="K38:L39"/>
    <mergeCell ref="K45:L45"/>
    <mergeCell ref="K46:L46"/>
    <mergeCell ref="D46:E46"/>
    <mergeCell ref="D41:E41"/>
    <mergeCell ref="D42:E42"/>
    <mergeCell ref="K43:L43"/>
    <mergeCell ref="K44:L44"/>
    <mergeCell ref="D43:E43"/>
    <mergeCell ref="D44:E44"/>
    <mergeCell ref="B67:C67"/>
    <mergeCell ref="B33:B34"/>
    <mergeCell ref="C33:C34"/>
    <mergeCell ref="D33:F34"/>
    <mergeCell ref="B38:B39"/>
    <mergeCell ref="C38:C39"/>
    <mergeCell ref="D35:F35"/>
    <mergeCell ref="B64:E64"/>
    <mergeCell ref="B55:J55"/>
    <mergeCell ref="B56:J56"/>
    <mergeCell ref="B60:M61"/>
    <mergeCell ref="B57:J57"/>
    <mergeCell ref="B40:B46"/>
    <mergeCell ref="K40:L40"/>
    <mergeCell ref="K41:L41"/>
    <mergeCell ref="K42:L42"/>
    <mergeCell ref="A1:M1"/>
    <mergeCell ref="C2:F2"/>
    <mergeCell ref="K27:L27"/>
    <mergeCell ref="K28:L28"/>
    <mergeCell ref="K29:L29"/>
    <mergeCell ref="I26:J26"/>
    <mergeCell ref="K26:L26"/>
    <mergeCell ref="C29:G29"/>
    <mergeCell ref="C26:H26"/>
    <mergeCell ref="C28:G28"/>
  </mergeCells>
  <dataValidations count="2">
    <dataValidation type="list" allowBlank="1" showInputMessage="1" showErrorMessage="1" sqref="E22" xr:uid="{00000000-0002-0000-0100-000000000000}">
      <formula1>$C$92:$C$93</formula1>
    </dataValidation>
    <dataValidation type="list" allowBlank="1" showInputMessage="1" showErrorMessage="1" sqref="E21" xr:uid="{00000000-0002-0000-0100-000001000000}">
      <formula1>$C$88:$C$89</formula1>
    </dataValidation>
  </dataValidations>
  <printOptions horizontalCentered="1"/>
  <pageMargins left="0.51181102362204722" right="0.23622047244094491" top="0.51181102362204722" bottom="0.23622047244094491" header="0.23622047244094491" footer="0.23622047244094491"/>
  <pageSetup paperSize="9" scale="76" orientation="portrait" horizontalDpi="4294967294" r:id="rId1"/>
  <headerFooter>
    <oddHeader>&amp;R&amp;"-,Regular"&amp;8FV.ID  006-18 / REV : 0</oddHeader>
    <firstHeader>&amp;C&amp;"Arial,Bold"&amp;12KEMENTERIAN KESEHATAN R.I
DIREKTORAT JENDERAL BINA UPAYA KESEHATAN
LOKA PENGAMANAN FASILITAS KESEHATAN BANJARBARU</firstHeader>
  </headerFooter>
  <drawing r:id="rId2"/>
  <legacyDrawing r:id="rId3"/>
  <oleObjects>
    <mc:AlternateContent xmlns:mc="http://schemas.openxmlformats.org/markup-compatibility/2006">
      <mc:Choice Requires="x14">
        <oleObject progId="Equation.3" shapeId="14347" r:id="rId4">
          <objectPr defaultSize="0" autoPict="0" r:id="rId5">
            <anchor moveWithCells="1" sizeWithCells="1">
              <from>
                <xdr:col>10</xdr:col>
                <xdr:colOff>0</xdr:colOff>
                <xdr:row>24</xdr:row>
                <xdr:rowOff>152400</xdr:rowOff>
              </from>
              <to>
                <xdr:col>10</xdr:col>
                <xdr:colOff>400050</xdr:colOff>
                <xdr:row>24</xdr:row>
                <xdr:rowOff>152400</xdr:rowOff>
              </to>
            </anchor>
          </objectPr>
        </oleObject>
      </mc:Choice>
      <mc:Fallback>
        <oleObject progId="Equation.3" shapeId="14347" r:id="rId4"/>
      </mc:Fallback>
    </mc:AlternateContent>
    <mc:AlternateContent xmlns:mc="http://schemas.openxmlformats.org/markup-compatibility/2006">
      <mc:Choice Requires="x14">
        <oleObject progId="Equation.3" shapeId="14348" r:id="rId6">
          <objectPr defaultSize="0" autoPict="0" r:id="rId5">
            <anchor moveWithCells="1" sizeWithCells="1">
              <from>
                <xdr:col>10</xdr:col>
                <xdr:colOff>0</xdr:colOff>
                <xdr:row>24</xdr:row>
                <xdr:rowOff>152400</xdr:rowOff>
              </from>
              <to>
                <xdr:col>10</xdr:col>
                <xdr:colOff>400050</xdr:colOff>
                <xdr:row>24</xdr:row>
                <xdr:rowOff>152400</xdr:rowOff>
              </to>
            </anchor>
          </objectPr>
        </oleObject>
      </mc:Choice>
      <mc:Fallback>
        <oleObject progId="Equation.3" shapeId="14348" r:id="rId6"/>
      </mc:Fallback>
    </mc:AlternateContent>
    <mc:AlternateContent xmlns:mc="http://schemas.openxmlformats.org/markup-compatibility/2006">
      <mc:Choice Requires="x14">
        <oleObject progId="Equation.3" shapeId="14349" r:id="rId7">
          <objectPr defaultSize="0" autoPict="0" r:id="rId5">
            <anchor moveWithCells="1" sizeWithCells="1">
              <from>
                <xdr:col>10</xdr:col>
                <xdr:colOff>0</xdr:colOff>
                <xdr:row>24</xdr:row>
                <xdr:rowOff>152400</xdr:rowOff>
              </from>
              <to>
                <xdr:col>10</xdr:col>
                <xdr:colOff>400050</xdr:colOff>
                <xdr:row>24</xdr:row>
                <xdr:rowOff>152400</xdr:rowOff>
              </to>
            </anchor>
          </objectPr>
        </oleObject>
      </mc:Choice>
      <mc:Fallback>
        <oleObject progId="Equation.3" shapeId="14349" r:id="rId7"/>
      </mc:Fallback>
    </mc:AlternateContent>
    <mc:AlternateContent xmlns:mc="http://schemas.openxmlformats.org/markup-compatibility/2006">
      <mc:Choice Requires="x14">
        <oleObject progId="Equation.3" shapeId="14350" r:id="rId8">
          <objectPr defaultSize="0" autoPict="0" r:id="rId5">
            <anchor moveWithCells="1" sizeWithCells="1">
              <from>
                <xdr:col>10</xdr:col>
                <xdr:colOff>0</xdr:colOff>
                <xdr:row>24</xdr:row>
                <xdr:rowOff>152400</xdr:rowOff>
              </from>
              <to>
                <xdr:col>10</xdr:col>
                <xdr:colOff>400050</xdr:colOff>
                <xdr:row>24</xdr:row>
                <xdr:rowOff>152400</xdr:rowOff>
              </to>
            </anchor>
          </objectPr>
        </oleObject>
      </mc:Choice>
      <mc:Fallback>
        <oleObject progId="Equation.3" shapeId="14350" r:id="rId8"/>
      </mc:Fallback>
    </mc:AlternateContent>
    <mc:AlternateContent xmlns:mc="http://schemas.openxmlformats.org/markup-compatibility/2006">
      <mc:Choice Requires="x14">
        <oleObject progId="Equation.3" shapeId="14351" r:id="rId9">
          <objectPr defaultSize="0" autoPict="0" r:id="rId5">
            <anchor moveWithCells="1" sizeWithCells="1">
              <from>
                <xdr:col>10</xdr:col>
                <xdr:colOff>0</xdr:colOff>
                <xdr:row>24</xdr:row>
                <xdr:rowOff>152400</xdr:rowOff>
              </from>
              <to>
                <xdr:col>10</xdr:col>
                <xdr:colOff>400050</xdr:colOff>
                <xdr:row>24</xdr:row>
                <xdr:rowOff>152400</xdr:rowOff>
              </to>
            </anchor>
          </objectPr>
        </oleObject>
      </mc:Choice>
      <mc:Fallback>
        <oleObject progId="Equation.3" shapeId="14351" r:id="rId9"/>
      </mc:Fallback>
    </mc:AlternateContent>
    <mc:AlternateContent xmlns:mc="http://schemas.openxmlformats.org/markup-compatibility/2006">
      <mc:Choice Requires="x14">
        <oleObject progId="Equation.3" shapeId="14352" r:id="rId10">
          <objectPr defaultSize="0" autoPict="0" r:id="rId5">
            <anchor moveWithCells="1" sizeWithCells="1">
              <from>
                <xdr:col>10</xdr:col>
                <xdr:colOff>0</xdr:colOff>
                <xdr:row>24</xdr:row>
                <xdr:rowOff>152400</xdr:rowOff>
              </from>
              <to>
                <xdr:col>10</xdr:col>
                <xdr:colOff>400050</xdr:colOff>
                <xdr:row>24</xdr:row>
                <xdr:rowOff>152400</xdr:rowOff>
              </to>
            </anchor>
          </objectPr>
        </oleObject>
      </mc:Choice>
      <mc:Fallback>
        <oleObject progId="Equation.3" shapeId="14352" r:id="rId10"/>
      </mc:Fallback>
    </mc:AlternateContent>
    <mc:AlternateContent xmlns:mc="http://schemas.openxmlformats.org/markup-compatibility/2006">
      <mc:Choice Requires="x14">
        <oleObject progId="Equation.3" shapeId="14353" r:id="rId11">
          <objectPr defaultSize="0" autoPict="0" r:id="rId5">
            <anchor moveWithCells="1" sizeWithCells="1">
              <from>
                <xdr:col>10</xdr:col>
                <xdr:colOff>0</xdr:colOff>
                <xdr:row>24</xdr:row>
                <xdr:rowOff>152400</xdr:rowOff>
              </from>
              <to>
                <xdr:col>10</xdr:col>
                <xdr:colOff>400050</xdr:colOff>
                <xdr:row>24</xdr:row>
                <xdr:rowOff>152400</xdr:rowOff>
              </to>
            </anchor>
          </objectPr>
        </oleObject>
      </mc:Choice>
      <mc:Fallback>
        <oleObject progId="Equation.3" shapeId="14353" r:id="rId11"/>
      </mc:Fallback>
    </mc:AlternateContent>
    <mc:AlternateContent xmlns:mc="http://schemas.openxmlformats.org/markup-compatibility/2006">
      <mc:Choice Requires="x14">
        <oleObject progId="Equation.3" shapeId="14354" r:id="rId12">
          <objectPr defaultSize="0" autoPict="0" r:id="rId5">
            <anchor moveWithCells="1" sizeWithCells="1">
              <from>
                <xdr:col>10</xdr:col>
                <xdr:colOff>0</xdr:colOff>
                <xdr:row>24</xdr:row>
                <xdr:rowOff>152400</xdr:rowOff>
              </from>
              <to>
                <xdr:col>10</xdr:col>
                <xdr:colOff>400050</xdr:colOff>
                <xdr:row>24</xdr:row>
                <xdr:rowOff>152400</xdr:rowOff>
              </to>
            </anchor>
          </objectPr>
        </oleObject>
      </mc:Choice>
      <mc:Fallback>
        <oleObject progId="Equation.3" shapeId="14354" r:id="rId12"/>
      </mc:Fallback>
    </mc:AlternateContent>
    <mc:AlternateContent xmlns:mc="http://schemas.openxmlformats.org/markup-compatibility/2006">
      <mc:Choice Requires="x14">
        <oleObject progId="Equation.3" shapeId="14355" r:id="rId13">
          <objectPr defaultSize="0" autoPict="0" r:id="rId5">
            <anchor moveWithCells="1" sizeWithCells="1">
              <from>
                <xdr:col>10</xdr:col>
                <xdr:colOff>0</xdr:colOff>
                <xdr:row>24</xdr:row>
                <xdr:rowOff>152400</xdr:rowOff>
              </from>
              <to>
                <xdr:col>10</xdr:col>
                <xdr:colOff>400050</xdr:colOff>
                <xdr:row>24</xdr:row>
                <xdr:rowOff>152400</xdr:rowOff>
              </to>
            </anchor>
          </objectPr>
        </oleObject>
      </mc:Choice>
      <mc:Fallback>
        <oleObject progId="Equation.3" shapeId="14355" r:id="rId13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'DB GAS FLOW'!$A$160:$A$181</xm:f>
          </x14:formula1>
          <xm:sqref>B64:E64</xm:sqref>
        </x14:dataValidation>
        <x14:dataValidation type="list" allowBlank="1" showInputMessage="1" showErrorMessage="1" xr:uid="{00000000-0002-0000-0100-000003000000}">
          <x14:formula1>
            <xm:f>'DB GAS FLOW'!#REF!</xm:f>
          </x14:formula1>
          <xm:sqref>K56</xm:sqref>
        </x14:dataValidation>
        <x14:dataValidation type="list" allowBlank="1" showInputMessage="1" showErrorMessage="1" xr:uid="{00000000-0002-0000-0100-000004000000}">
          <x14:formula1>
            <xm:f>'DB GAS FLOW'!$A$195:$A$205</xm:f>
          </x14:formula1>
          <xm:sqref>B55:J55</xm:sqref>
        </x14:dataValidation>
        <x14:dataValidation type="list" allowBlank="1" showInputMessage="1" showErrorMessage="1" xr:uid="{00000000-0002-0000-0100-000006000000}">
          <x14:formula1>
            <xm:f>'DB Thermohygro'!$A$393:$A$412</xm:f>
          </x14:formula1>
          <xm:sqref>B57:J57</xm:sqref>
        </x14:dataValidation>
        <x14:dataValidation type="list" allowBlank="1" showInputMessage="1" showErrorMessage="1" xr:uid="{00000000-0002-0000-0100-000005000000}">
          <x14:formula1>
            <xm:f>'DB Kelistrikan'!$A$299:$A$310</xm:f>
          </x14:formula1>
          <xm:sqref>B56:J56</xm:sqref>
        </x14:dataValidation>
        <x14:dataValidation type="list" allowBlank="1" showInputMessage="1" showErrorMessage="1" xr:uid="{00000000-0002-0000-0100-000007000000}">
          <x14:formula1>
            <xm:f>PENYELIA!$W$31:$W$32</xm:f>
          </x14:formula1>
          <xm:sqref>C29:G29</xm:sqref>
        </x14:dataValidation>
        <x14:dataValidation type="list" allowBlank="1" showInputMessage="1" showErrorMessage="1" xr:uid="{649AC089-A160-48F3-ABCC-D7DD14CDC359}">
          <x14:formula1>
            <xm:f>'DB Kelistrikan'!$A$334:$A$335</xm:f>
          </x14:formula1>
          <xm:sqref>O27:O29</xm:sqref>
        </x14:dataValidation>
        <x14:dataValidation type="list" allowBlank="1" showInputMessage="1" showErrorMessage="1" xr:uid="{CB00897C-6CDE-4EE1-9BFC-E141719357DF}">
          <x14:formula1>
            <xm:f>PENYELIA!$W$29:$W$30</xm:f>
          </x14:formula1>
          <xm:sqref>C28:G28</xm:sqref>
        </x14:dataValidation>
        <x14:dataValidation type="list" allowBlank="1" showInputMessage="1" showErrorMessage="1" xr:uid="{2422ED64-5AA0-4CDC-A582-E721980BDCFC}">
          <x14:formula1>
            <xm:f>PENYELIA!$T$30:$T$31</xm:f>
          </x14:formula1>
          <xm:sqref>S25:T26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14"/>
  <sheetViews>
    <sheetView showGridLines="0" view="pageBreakPreview" zoomScale="85" zoomScaleNormal="100" zoomScaleSheetLayoutView="100" workbookViewId="0">
      <selection activeCell="E10" sqref="E10:F10"/>
    </sheetView>
  </sheetViews>
  <sheetFormatPr defaultColWidth="9.140625" defaultRowHeight="14.25" x14ac:dyDescent="0.2"/>
  <cols>
    <col min="1" max="1" width="5.140625" style="447" customWidth="1"/>
    <col min="2" max="2" width="4.85546875" style="447" customWidth="1"/>
    <col min="3" max="3" width="17.140625" style="447" customWidth="1"/>
    <col min="4" max="4" width="2.5703125" style="447" customWidth="1"/>
    <col min="5" max="5" width="9.85546875" style="447" customWidth="1"/>
    <col min="6" max="6" width="11.7109375" style="447" customWidth="1"/>
    <col min="7" max="7" width="10.28515625" style="447" customWidth="1"/>
    <col min="8" max="8" width="9.42578125" style="447" customWidth="1"/>
    <col min="9" max="9" width="7.42578125" style="447" customWidth="1"/>
    <col min="10" max="10" width="10.28515625" style="447" customWidth="1"/>
    <col min="11" max="11" width="6.85546875" style="447" customWidth="1"/>
    <col min="12" max="12" width="19.140625" style="447" customWidth="1"/>
    <col min="13" max="13" width="8.7109375" style="447" customWidth="1"/>
    <col min="14" max="14" width="8.140625" style="447" customWidth="1"/>
    <col min="15" max="15" width="3.85546875" style="447" customWidth="1"/>
    <col min="16" max="16" width="6.7109375" style="447" customWidth="1"/>
    <col min="17" max="17" width="6.85546875" style="447" customWidth="1"/>
    <col min="18" max="16384" width="9.140625" style="447"/>
  </cols>
  <sheetData>
    <row r="1" spans="1:16" ht="15.75" x14ac:dyDescent="0.2">
      <c r="A1" s="1073" t="str">
        <f>PENYELIA!A1:P1</f>
        <v>Hasil Kalibrasi Anesthesi Unit</v>
      </c>
      <c r="B1" s="1073"/>
      <c r="C1" s="1073"/>
      <c r="D1" s="1073"/>
      <c r="E1" s="1073"/>
      <c r="F1" s="1073"/>
      <c r="G1" s="1073"/>
      <c r="H1" s="1073"/>
      <c r="I1" s="1073"/>
      <c r="J1" s="1073"/>
      <c r="K1" s="1073"/>
      <c r="L1" s="1073"/>
      <c r="M1" s="460"/>
      <c r="N1" s="460"/>
      <c r="O1" s="460"/>
      <c r="P1" s="460"/>
    </row>
    <row r="2" spans="1:16" ht="15" x14ac:dyDescent="0.2">
      <c r="A2" s="1074" t="str">
        <f>PENYELIA!A2:P2</f>
        <v>Nomor Sertifikat : 35 / 1 / III - 17 / E - 002. 22 DL</v>
      </c>
      <c r="B2" s="1074"/>
      <c r="C2" s="1074"/>
      <c r="D2" s="1074"/>
      <c r="E2" s="1074"/>
      <c r="F2" s="1074"/>
      <c r="G2" s="1074"/>
      <c r="H2" s="1074"/>
      <c r="I2" s="1074"/>
      <c r="J2" s="1074"/>
      <c r="K2" s="1074"/>
      <c r="L2" s="1074"/>
      <c r="M2" s="449"/>
    </row>
    <row r="3" spans="1:16" ht="15" x14ac:dyDescent="0.2">
      <c r="A3" s="703"/>
      <c r="B3" s="703"/>
      <c r="C3" s="703"/>
      <c r="D3" s="703"/>
      <c r="E3" s="703"/>
      <c r="F3" s="703"/>
      <c r="G3" s="703"/>
      <c r="H3" s="703"/>
      <c r="I3" s="703"/>
      <c r="J3" s="703"/>
      <c r="K3" s="703"/>
      <c r="L3" s="703"/>
      <c r="M3" s="449"/>
    </row>
    <row r="5" spans="1:16" x14ac:dyDescent="0.2">
      <c r="A5" s="447" t="str">
        <f>PENYELIA!A5</f>
        <v>Merek</v>
      </c>
      <c r="D5" s="448" t="str">
        <f>PENYELIA!D5</f>
        <v>:</v>
      </c>
      <c r="E5" s="447" t="str">
        <f>PENYELIA!E5</f>
        <v>Datex-Ohmeda</v>
      </c>
    </row>
    <row r="6" spans="1:16" x14ac:dyDescent="0.2">
      <c r="A6" s="447" t="str">
        <f>PENYELIA!A6</f>
        <v>Model/Tipe</v>
      </c>
      <c r="D6" s="448" t="str">
        <f>PENYELIA!D6</f>
        <v>:</v>
      </c>
      <c r="E6" s="447" t="str">
        <f>PENYELIA!E6</f>
        <v>Aespire</v>
      </c>
    </row>
    <row r="7" spans="1:16" x14ac:dyDescent="0.2">
      <c r="A7" s="447" t="str">
        <f>PENYELIA!A7</f>
        <v>No. Seri</v>
      </c>
      <c r="D7" s="448" t="str">
        <f>PENYELIA!D7</f>
        <v>:</v>
      </c>
      <c r="E7" s="447" t="str">
        <f>PENYELIA!E7</f>
        <v>AMXM00250</v>
      </c>
    </row>
    <row r="8" spans="1:16" x14ac:dyDescent="0.2">
      <c r="A8" s="447" t="str">
        <f>PENYELIA!A8</f>
        <v>Resolusi</v>
      </c>
      <c r="D8" s="448" t="str">
        <f>PENYELIA!D8</f>
        <v>:</v>
      </c>
      <c r="E8" s="912">
        <f>PENYELIA!E8</f>
        <v>0.5</v>
      </c>
    </row>
    <row r="9" spans="1:16" x14ac:dyDescent="0.2">
      <c r="A9" s="447" t="str">
        <f>PENYELIA!A9</f>
        <v>Tanggal Penerimaan Alat</v>
      </c>
      <c r="D9" s="448" t="str">
        <f>PENYELIA!D9</f>
        <v>:</v>
      </c>
      <c r="E9" s="704" t="str">
        <f>PENYELIA!E9</f>
        <v>12 November 2023</v>
      </c>
    </row>
    <row r="10" spans="1:16" x14ac:dyDescent="0.2">
      <c r="A10" s="447" t="str">
        <f>PENYELIA!A10</f>
        <v>Tanggal Kalibrasi</v>
      </c>
      <c r="D10" s="448" t="str">
        <f>PENYELIA!D10</f>
        <v>:</v>
      </c>
      <c r="E10" s="1077" t="str">
        <f>PENYELIA!E10</f>
        <v>12 November 2023</v>
      </c>
      <c r="F10" s="1077"/>
    </row>
    <row r="11" spans="1:16" x14ac:dyDescent="0.2">
      <c r="A11" s="447" t="str">
        <f>PENYELIA!A11</f>
        <v>Tempat Kalibrasi</v>
      </c>
      <c r="D11" s="448" t="str">
        <f>PENYELIA!D11</f>
        <v>:</v>
      </c>
      <c r="E11" s="447" t="str">
        <f>PENYELIA!E11</f>
        <v>IBS</v>
      </c>
    </row>
    <row r="12" spans="1:16" x14ac:dyDescent="0.2">
      <c r="A12" s="447" t="str">
        <f>PENYELIA!A12</f>
        <v xml:space="preserve">Nama Ruang </v>
      </c>
      <c r="D12" s="448" t="str">
        <f>PENYELIA!D12</f>
        <v>:</v>
      </c>
      <c r="E12" s="447" t="str">
        <f>PENYELIA!E12</f>
        <v>OK 6</v>
      </c>
    </row>
    <row r="13" spans="1:16" x14ac:dyDescent="0.2">
      <c r="A13" s="447" t="str">
        <f>PENYELIA!A13</f>
        <v>Metode Kerja</v>
      </c>
      <c r="D13" s="448" t="str">
        <f>PENYELIA!D13</f>
        <v>:</v>
      </c>
      <c r="E13" s="447" t="str">
        <f>PENYELIA!E13</f>
        <v>MK 006 - 18</v>
      </c>
    </row>
    <row r="14" spans="1:16" ht="9" customHeight="1" x14ac:dyDescent="0.2"/>
    <row r="15" spans="1:16" ht="15" x14ac:dyDescent="0.2">
      <c r="A15" s="449" t="str">
        <f>PENYELIA!A15</f>
        <v xml:space="preserve">I.     </v>
      </c>
      <c r="B15" s="449" t="str">
        <f>PENYELIA!B15</f>
        <v>Kondisi Ruang</v>
      </c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</row>
    <row r="16" spans="1:16" ht="15" customHeight="1" x14ac:dyDescent="0.2">
      <c r="B16" s="447" t="str">
        <f>PENYELIA!B16</f>
        <v xml:space="preserve">1. Suhu </v>
      </c>
      <c r="D16" s="448" t="str">
        <f>PENYELIA!D16</f>
        <v>:</v>
      </c>
      <c r="E16" s="891">
        <f>'DB Thermohygro'!R377</f>
        <v>19.8</v>
      </c>
      <c r="F16" s="890" t="s">
        <v>435</v>
      </c>
      <c r="G16" s="912">
        <f>'DB Thermohygro'!T377</f>
        <v>0.3</v>
      </c>
      <c r="H16" s="227" t="s">
        <v>17</v>
      </c>
    </row>
    <row r="17" spans="1:11" ht="15" x14ac:dyDescent="0.2">
      <c r="B17" s="447" t="str">
        <f>PENYELIA!B17</f>
        <v xml:space="preserve">2. Kelembaban </v>
      </c>
      <c r="D17" s="448" t="str">
        <f>PENYELIA!D17</f>
        <v>:</v>
      </c>
      <c r="E17" s="891">
        <f>'DB Thermohygro'!R378</f>
        <v>48.8</v>
      </c>
      <c r="F17" s="890" t="s">
        <v>435</v>
      </c>
      <c r="G17" s="912">
        <f>'DB Thermohygro'!T378</f>
        <v>2.6</v>
      </c>
      <c r="H17" s="222" t="s">
        <v>19</v>
      </c>
    </row>
    <row r="18" spans="1:11" ht="15" x14ac:dyDescent="0.2">
      <c r="B18" s="447" t="str">
        <f>PENYELIA!B18</f>
        <v>3. Tegangan Jala - jala</v>
      </c>
      <c r="D18" s="448" t="str">
        <f>PENYELIA!D18</f>
        <v>:</v>
      </c>
      <c r="E18" s="891">
        <f>'DB Kelistrikan'!N268</f>
        <v>209.99961832061069</v>
      </c>
      <c r="F18" s="890" t="s">
        <v>435</v>
      </c>
      <c r="G18" s="912">
        <f>'DB Kelistrikan'!I269</f>
        <v>2.5199954198473287</v>
      </c>
      <c r="H18" s="299" t="s">
        <v>21</v>
      </c>
    </row>
    <row r="19" spans="1:11" ht="14.25" customHeight="1" x14ac:dyDescent="0.2"/>
    <row r="20" spans="1:11" ht="12.75" customHeight="1" x14ac:dyDescent="0.2">
      <c r="A20" s="449" t="str">
        <f>PENYELIA!A20</f>
        <v xml:space="preserve">II.     </v>
      </c>
      <c r="B20" s="449" t="str">
        <f>PENYELIA!B20</f>
        <v>Pemeriksaan Kondisi Fisik dan Fungsi Alat.</v>
      </c>
      <c r="C20" s="449"/>
      <c r="D20" s="449"/>
      <c r="E20" s="449"/>
      <c r="F20" s="449"/>
      <c r="G20" s="449"/>
      <c r="H20" s="449"/>
      <c r="I20" s="449"/>
      <c r="J20" s="449"/>
    </row>
    <row r="21" spans="1:11" ht="15" customHeight="1" x14ac:dyDescent="0.2">
      <c r="B21" s="447" t="str">
        <f>PENYELIA!B21</f>
        <v>1. Fisik</v>
      </c>
      <c r="C21" s="705"/>
      <c r="D21" s="706" t="str">
        <f>PENYELIA!D21</f>
        <v>:</v>
      </c>
      <c r="E21" s="892" t="str">
        <f>PENYELIA!E21</f>
        <v>Baik</v>
      </c>
      <c r="F21" s="705"/>
      <c r="G21" s="705"/>
    </row>
    <row r="22" spans="1:11" ht="15" customHeight="1" x14ac:dyDescent="0.2">
      <c r="B22" s="447" t="str">
        <f>PENYELIA!B22</f>
        <v>2. Fungsi</v>
      </c>
      <c r="C22" s="705"/>
      <c r="D22" s="706" t="str">
        <f>PENYELIA!D22</f>
        <v>:</v>
      </c>
      <c r="E22" s="892" t="str">
        <f>PENYELIA!E22</f>
        <v>Baik</v>
      </c>
      <c r="F22" s="707"/>
      <c r="G22" s="705"/>
    </row>
    <row r="23" spans="1:11" ht="14.25" customHeight="1" x14ac:dyDescent="0.2">
      <c r="B23" s="708"/>
      <c r="C23" s="705"/>
      <c r="D23" s="706"/>
      <c r="E23" s="705"/>
      <c r="F23" s="707"/>
      <c r="G23" s="705"/>
    </row>
    <row r="24" spans="1:11" ht="15" customHeight="1" x14ac:dyDescent="0.2">
      <c r="A24" s="449" t="str">
        <f>PENYELIA!A24</f>
        <v>III.</v>
      </c>
      <c r="B24" s="449" t="str">
        <f>PENYELIA!B24</f>
        <v>Pengujian Keselamatan Listrik</v>
      </c>
      <c r="C24" s="449"/>
      <c r="D24" s="706"/>
      <c r="E24" s="705"/>
      <c r="F24" s="707"/>
      <c r="G24" s="705"/>
    </row>
    <row r="25" spans="1:11" ht="25.5" customHeight="1" x14ac:dyDescent="0.2">
      <c r="B25" s="214" t="str">
        <f>PENYELIA!B25</f>
        <v>No</v>
      </c>
      <c r="C25" s="962" t="str">
        <f>PENYELIA!C25:J25</f>
        <v>Parameter</v>
      </c>
      <c r="D25" s="1035"/>
      <c r="E25" s="1035"/>
      <c r="F25" s="1035"/>
      <c r="G25" s="963"/>
      <c r="H25" s="962" t="str">
        <f>PENYELIA!I25</f>
        <v>Hasil ukur</v>
      </c>
      <c r="I25" s="963"/>
      <c r="J25" s="962" t="str">
        <f>PENYELIA!K25</f>
        <v>Ambang batas yang diijinkan</v>
      </c>
      <c r="K25" s="963"/>
    </row>
    <row r="26" spans="1:11" ht="15" customHeight="1" x14ac:dyDescent="0.2">
      <c r="B26" s="709">
        <v>1</v>
      </c>
      <c r="C26" s="710" t="str">
        <f>PENYELIA!C26</f>
        <v>Resistansi Isolasi</v>
      </c>
      <c r="D26" s="711"/>
      <c r="E26" s="711"/>
      <c r="F26" s="711"/>
      <c r="G26" s="712"/>
      <c r="H26" s="895" t="str">
        <f>PENYELIA!I26</f>
        <v>OL</v>
      </c>
      <c r="I26" s="232" t="s">
        <v>110</v>
      </c>
      <c r="J26" s="1080">
        <f>PENYELIA!K26</f>
        <v>2</v>
      </c>
      <c r="K26" s="1081"/>
    </row>
    <row r="27" spans="1:11" ht="15" customHeight="1" x14ac:dyDescent="0.2">
      <c r="B27" s="713">
        <v>2</v>
      </c>
      <c r="C27" s="893" t="str">
        <f>PENYELIA!C27</f>
        <v>Resistansi Pembumian Protektif (kabel dapat dilepas)</v>
      </c>
      <c r="D27" s="711"/>
      <c r="E27" s="711"/>
      <c r="F27" s="711"/>
      <c r="G27" s="712"/>
      <c r="H27" s="896">
        <f>PENYELIA!I27</f>
        <v>8.9164881258146349E-3</v>
      </c>
      <c r="I27" s="233" t="s">
        <v>37</v>
      </c>
      <c r="J27" s="1082">
        <f>PENYELIA!K27</f>
        <v>0.2</v>
      </c>
      <c r="K27" s="1083"/>
    </row>
    <row r="28" spans="1:11" ht="15" customHeight="1" x14ac:dyDescent="0.2">
      <c r="B28" s="714">
        <v>3</v>
      </c>
      <c r="C28" s="894" t="str">
        <f>PENYELIA!C28</f>
        <v>Arus bocor peralatan untuk peralatan elektromedik kelas I</v>
      </c>
      <c r="D28" s="715"/>
      <c r="E28" s="715"/>
      <c r="F28" s="715"/>
      <c r="G28" s="716"/>
      <c r="H28" s="897">
        <f>PENYELIA!I28</f>
        <v>24.024526195170527</v>
      </c>
      <c r="I28" s="236" t="s">
        <v>39</v>
      </c>
      <c r="J28" s="1084">
        <f>PENYELIA!K28</f>
        <v>500</v>
      </c>
      <c r="K28" s="1085"/>
    </row>
    <row r="29" spans="1:11" ht="14.25" customHeight="1" x14ac:dyDescent="0.2">
      <c r="B29" s="708"/>
      <c r="C29" s="705"/>
      <c r="D29" s="706"/>
      <c r="E29" s="705"/>
      <c r="F29" s="707"/>
      <c r="G29" s="705"/>
    </row>
    <row r="30" spans="1:11" ht="14.25" customHeight="1" x14ac:dyDescent="0.2">
      <c r="A30" s="449" t="str">
        <f>PENYELIA!A30</f>
        <v>IV.</v>
      </c>
      <c r="B30" s="449" t="str">
        <f>PENYELIA!B30</f>
        <v>Pengujian Kinerja</v>
      </c>
      <c r="C30" s="705"/>
      <c r="D30" s="706"/>
      <c r="E30" s="705"/>
      <c r="F30" s="707"/>
      <c r="G30" s="705"/>
    </row>
    <row r="31" spans="1:11" ht="15" x14ac:dyDescent="0.2">
      <c r="A31" s="449"/>
      <c r="B31" s="717" t="str">
        <f>PENYELIA!B31</f>
        <v>A. Pengujian Oxygen Flush</v>
      </c>
      <c r="C31" s="717"/>
      <c r="D31" s="718"/>
      <c r="E31" s="718"/>
      <c r="F31" s="718"/>
      <c r="G31" s="718"/>
    </row>
    <row r="32" spans="1:11" ht="18.75" customHeight="1" x14ac:dyDescent="0.2">
      <c r="A32" s="449"/>
      <c r="B32" s="996" t="str">
        <f>PENYELIA!B32</f>
        <v>No</v>
      </c>
      <c r="C32" s="996" t="str">
        <f>PENYELIA!C32</f>
        <v>Parameter</v>
      </c>
      <c r="D32" s="981" t="str">
        <f>PENYELIA!D32</f>
        <v xml:space="preserve"> Pembacaan standar</v>
      </c>
      <c r="E32" s="982"/>
      <c r="F32" s="981" t="str">
        <f>PENYELIA!G32</f>
        <v>Toleransi</v>
      </c>
      <c r="G32" s="999"/>
      <c r="H32" s="278"/>
      <c r="I32" s="925"/>
      <c r="J32" s="925"/>
    </row>
    <row r="33" spans="1:18" ht="12" customHeight="1" x14ac:dyDescent="0.2">
      <c r="A33" s="449"/>
      <c r="B33" s="996"/>
      <c r="C33" s="996"/>
      <c r="D33" s="983"/>
      <c r="E33" s="984"/>
      <c r="F33" s="983"/>
      <c r="G33" s="1000"/>
      <c r="H33" s="278"/>
      <c r="I33" s="925"/>
      <c r="J33" s="925"/>
    </row>
    <row r="34" spans="1:18" ht="32.25" customHeight="1" x14ac:dyDescent="0.2">
      <c r="A34" s="449"/>
      <c r="B34" s="555">
        <f>PENYELIA!B34</f>
        <v>1</v>
      </c>
      <c r="C34" s="719" t="str">
        <f>PENYELIA!C34</f>
        <v>Oxygen Flush Valve ( L/min )</v>
      </c>
      <c r="D34" s="1089">
        <f>PENYELIA!D34</f>
        <v>69.989999999999995</v>
      </c>
      <c r="E34" s="1090"/>
      <c r="F34" s="1091" t="str">
        <f>PENYELIA!G34</f>
        <v>35 - 75 L/min</v>
      </c>
      <c r="G34" s="1092"/>
      <c r="H34" s="720"/>
      <c r="I34" s="721"/>
      <c r="J34" s="722"/>
    </row>
    <row r="35" spans="1:18" ht="15" customHeight="1" x14ac:dyDescent="0.2">
      <c r="A35" s="449"/>
      <c r="B35" s="553"/>
      <c r="C35" s="723"/>
      <c r="D35" s="724"/>
      <c r="E35" s="724"/>
      <c r="F35" s="553"/>
      <c r="G35" s="553"/>
      <c r="I35" s="721"/>
      <c r="J35" s="722"/>
    </row>
    <row r="36" spans="1:18" ht="14.25" customHeight="1" x14ac:dyDescent="0.2">
      <c r="A36" s="449"/>
      <c r="B36" s="449" t="str">
        <f>PENYELIA!B36</f>
        <v>B. Kalibrasi Akurasi Laju Aliran</v>
      </c>
      <c r="C36" s="449"/>
    </row>
    <row r="37" spans="1:18" ht="15" customHeight="1" x14ac:dyDescent="0.2">
      <c r="B37" s="964" t="str">
        <f>PENYELIA!B37:B38</f>
        <v>No</v>
      </c>
      <c r="C37" s="964" t="str">
        <f>PENYELIA!C37:C38</f>
        <v>Parameter</v>
      </c>
      <c r="D37" s="981" t="str">
        <f>PENYELIA!D37:D38</f>
        <v>Setting alat</v>
      </c>
      <c r="E37" s="982"/>
      <c r="F37" s="964" t="str">
        <f>PENYELIA!E37:E38</f>
        <v>Pembacaan standar</v>
      </c>
      <c r="G37" s="1075" t="str">
        <f>PENYELIA!G37:G38</f>
        <v>Koreksi</v>
      </c>
      <c r="H37" s="964" t="str">
        <f>PENYELIA!I37:I38</f>
        <v>Toleransi</v>
      </c>
      <c r="I37" s="981" t="str">
        <f>PENYELIA!K37</f>
        <v>Ketidakpastian pengukuran</v>
      </c>
      <c r="J37" s="982"/>
      <c r="Q37" s="451"/>
      <c r="R37" s="450"/>
    </row>
    <row r="38" spans="1:18" ht="16.5" customHeight="1" x14ac:dyDescent="0.2">
      <c r="B38" s="965"/>
      <c r="C38" s="965"/>
      <c r="D38" s="983"/>
      <c r="E38" s="984"/>
      <c r="F38" s="965"/>
      <c r="G38" s="1076"/>
      <c r="H38" s="965"/>
      <c r="I38" s="983"/>
      <c r="J38" s="984"/>
      <c r="Q38" s="451"/>
      <c r="R38" s="450"/>
    </row>
    <row r="39" spans="1:18" ht="17.25" customHeight="1" x14ac:dyDescent="0.2">
      <c r="B39" s="1063">
        <f>PENYELIA!B39:B45</f>
        <v>2</v>
      </c>
      <c r="C39" s="1066" t="str">
        <f>PENYELIA!C39</f>
        <v>Flow (L/min)</v>
      </c>
      <c r="D39" s="1078">
        <f>PENYELIA!D39</f>
        <v>1</v>
      </c>
      <c r="E39" s="1079"/>
      <c r="F39" s="898">
        <f>PENYELIA!E39</f>
        <v>0.99500999999999984</v>
      </c>
      <c r="G39" s="899">
        <f>PENYELIA!G39</f>
        <v>-4.990000000000161E-3</v>
      </c>
      <c r="H39" s="1086" t="s">
        <v>183</v>
      </c>
      <c r="I39" s="904" t="s">
        <v>435</v>
      </c>
      <c r="J39" s="907">
        <f>PENYELIA!L39</f>
        <v>0.30425200219490861</v>
      </c>
      <c r="Q39" s="451"/>
      <c r="R39" s="450"/>
    </row>
    <row r="40" spans="1:18" ht="17.25" customHeight="1" x14ac:dyDescent="0.2">
      <c r="B40" s="1064"/>
      <c r="C40" s="1067"/>
      <c r="D40" s="1069">
        <f>PENYELIA!D40</f>
        <v>2</v>
      </c>
      <c r="E40" s="1070"/>
      <c r="F40" s="900">
        <f>PENYELIA!E40</f>
        <v>2.0968100000000001</v>
      </c>
      <c r="G40" s="901">
        <f>PENYELIA!G40</f>
        <v>9.6810000000000063E-2</v>
      </c>
      <c r="H40" s="1087"/>
      <c r="I40" s="905" t="s">
        <v>435</v>
      </c>
      <c r="J40" s="908">
        <f>PENYELIA!L40</f>
        <v>0.30991878579394666</v>
      </c>
      <c r="Q40" s="451"/>
      <c r="R40" s="450"/>
    </row>
    <row r="41" spans="1:18" ht="17.25" customHeight="1" x14ac:dyDescent="0.2">
      <c r="B41" s="1064"/>
      <c r="C41" s="1067"/>
      <c r="D41" s="1069">
        <f>PENYELIA!D41</f>
        <v>3</v>
      </c>
      <c r="E41" s="1070"/>
      <c r="F41" s="900">
        <f>PENYELIA!E41</f>
        <v>3.1532099999999996</v>
      </c>
      <c r="G41" s="901">
        <f>PENYELIA!G41</f>
        <v>0.15320999999999962</v>
      </c>
      <c r="H41" s="1087"/>
      <c r="I41" s="905" t="s">
        <v>435</v>
      </c>
      <c r="J41" s="908">
        <f>PENYELIA!L41</f>
        <v>0.3249768210213182</v>
      </c>
      <c r="Q41" s="451"/>
      <c r="R41" s="450"/>
    </row>
    <row r="42" spans="1:18" ht="17.25" customHeight="1" x14ac:dyDescent="0.2">
      <c r="B42" s="1064"/>
      <c r="C42" s="1067"/>
      <c r="D42" s="1069">
        <f>PENYELIA!D42</f>
        <v>4</v>
      </c>
      <c r="E42" s="1070"/>
      <c r="F42" s="900">
        <f>PENYELIA!E42</f>
        <v>4.3604099999999999</v>
      </c>
      <c r="G42" s="901">
        <f>PENYELIA!G42</f>
        <v>0.3604099999999999</v>
      </c>
      <c r="H42" s="1087"/>
      <c r="I42" s="905" t="s">
        <v>435</v>
      </c>
      <c r="J42" s="908">
        <f>PENYELIA!L42</f>
        <v>0.32428109446043146</v>
      </c>
      <c r="Q42" s="451"/>
      <c r="R42" s="450"/>
    </row>
    <row r="43" spans="1:18" ht="17.25" customHeight="1" x14ac:dyDescent="0.2">
      <c r="B43" s="1064"/>
      <c r="C43" s="1067"/>
      <c r="D43" s="1069">
        <f>PENYELIA!D43</f>
        <v>5</v>
      </c>
      <c r="E43" s="1070"/>
      <c r="F43" s="900">
        <f>PENYELIA!E43</f>
        <v>5.4920099999999996</v>
      </c>
      <c r="G43" s="901">
        <f>PENYELIA!G43</f>
        <v>0.49200999999999961</v>
      </c>
      <c r="H43" s="1087"/>
      <c r="I43" s="905" t="s">
        <v>435</v>
      </c>
      <c r="J43" s="908">
        <f>PENYELIA!L43</f>
        <v>0.33382945819717758</v>
      </c>
      <c r="Q43" s="451"/>
      <c r="R43" s="450"/>
    </row>
    <row r="44" spans="1:18" ht="17.25" customHeight="1" x14ac:dyDescent="0.2">
      <c r="B44" s="1064"/>
      <c r="C44" s="1067"/>
      <c r="D44" s="1069">
        <f>PENYELIA!D44</f>
        <v>6</v>
      </c>
      <c r="E44" s="1070"/>
      <c r="F44" s="900">
        <f>PENYELIA!E44</f>
        <v>6.0000099999999996</v>
      </c>
      <c r="G44" s="901">
        <f>PENYELIA!G44</f>
        <v>9.9999999996214228E-6</v>
      </c>
      <c r="H44" s="1087"/>
      <c r="I44" s="905" t="s">
        <v>435</v>
      </c>
      <c r="J44" s="908">
        <f>PENYELIA!L44</f>
        <v>0.33898318641012526</v>
      </c>
      <c r="Q44" s="451"/>
      <c r="R44" s="450"/>
    </row>
    <row r="45" spans="1:18" ht="17.25" customHeight="1" x14ac:dyDescent="0.2">
      <c r="B45" s="1065"/>
      <c r="C45" s="1068"/>
      <c r="D45" s="1071">
        <f>PENYELIA!D45</f>
        <v>7</v>
      </c>
      <c r="E45" s="1072"/>
      <c r="F45" s="902">
        <f>PENYELIA!E45</f>
        <v>7.0000099999999996</v>
      </c>
      <c r="G45" s="903">
        <f>PENYELIA!G45</f>
        <v>9.9999999996214228E-6</v>
      </c>
      <c r="H45" s="1088"/>
      <c r="I45" s="906" t="s">
        <v>435</v>
      </c>
      <c r="J45" s="909">
        <f>PENYELIA!L45</f>
        <v>0.34982454221259673</v>
      </c>
      <c r="Q45" s="451"/>
      <c r="R45" s="450"/>
    </row>
    <row r="46" spans="1:18" ht="14.25" customHeight="1" x14ac:dyDescent="0.2">
      <c r="E46" s="450"/>
      <c r="L46" s="448"/>
    </row>
    <row r="47" spans="1:18" ht="15" x14ac:dyDescent="0.2">
      <c r="A47" s="454" t="str">
        <f>PENYELIA!A47</f>
        <v>V.</v>
      </c>
      <c r="B47" s="454" t="str">
        <f>PENYELIA!B47</f>
        <v>Keterangan</v>
      </c>
      <c r="C47" s="454"/>
      <c r="D47" s="290"/>
      <c r="E47" s="453"/>
      <c r="F47" s="290"/>
      <c r="G47" s="290"/>
      <c r="H47" s="290"/>
      <c r="I47" s="290"/>
      <c r="J47" s="290"/>
      <c r="K47" s="290"/>
      <c r="L47" s="290"/>
    </row>
    <row r="48" spans="1:18" x14ac:dyDescent="0.2">
      <c r="A48" s="290"/>
      <c r="B48" s="290" t="str">
        <f>PENYELIA!B48</f>
        <v>Ketidakpastian pengukuran dilaporkan pada tingkat kepercayaan 95% dengan faktor cakupan k = 2</v>
      </c>
      <c r="C48" s="452"/>
      <c r="D48" s="290"/>
      <c r="E48" s="453"/>
      <c r="F48" s="290"/>
      <c r="G48" s="290"/>
      <c r="H48" s="290"/>
      <c r="I48" s="290"/>
      <c r="J48" s="290"/>
      <c r="K48" s="290"/>
      <c r="L48" s="290"/>
    </row>
    <row r="49" spans="1:15" x14ac:dyDescent="0.2">
      <c r="A49" s="290"/>
      <c r="B49" s="290" t="str">
        <f>PENYELIA!B49</f>
        <v>Hasil pengukuran keselamatan listrik tertelusur ke Satuan Internasional ( SI ) melalui PT. Kaliman (LK-032-IDN)</v>
      </c>
      <c r="C49" s="452"/>
      <c r="D49" s="290"/>
      <c r="E49" s="453"/>
      <c r="F49" s="290"/>
      <c r="G49" s="290"/>
      <c r="H49" s="290"/>
      <c r="I49" s="290"/>
      <c r="J49" s="290"/>
      <c r="K49" s="290"/>
      <c r="L49" s="290"/>
    </row>
    <row r="50" spans="1:15" x14ac:dyDescent="0.2">
      <c r="A50" s="290"/>
      <c r="B50" s="290" t="str">
        <f>PENYELIA!B50</f>
        <v>Hasil kalibrasi Flow tertelusur ke Satuan Internasional (SI) melalui PT. CALTEK PTE LTD</v>
      </c>
      <c r="C50" s="452"/>
      <c r="D50" s="290"/>
      <c r="E50" s="453"/>
      <c r="F50" s="290"/>
      <c r="G50" s="290"/>
      <c r="H50" s="290"/>
      <c r="I50" s="290"/>
      <c r="J50" s="290"/>
      <c r="K50" s="290"/>
      <c r="L50" s="290"/>
    </row>
    <row r="51" spans="1:15" x14ac:dyDescent="0.2">
      <c r="A51" s="290"/>
      <c r="B51" s="290" t="str">
        <f>PENYELIA!B51</f>
        <v/>
      </c>
      <c r="C51" s="452"/>
      <c r="D51" s="290"/>
      <c r="E51" s="453"/>
      <c r="F51" s="290"/>
      <c r="G51" s="290"/>
      <c r="H51" s="290"/>
      <c r="I51" s="290"/>
      <c r="J51" s="290"/>
      <c r="K51" s="290"/>
      <c r="L51" s="290"/>
    </row>
    <row r="52" spans="1:15" ht="15" customHeight="1" x14ac:dyDescent="0.2">
      <c r="A52" s="290"/>
      <c r="B52" s="290"/>
      <c r="C52" s="452"/>
      <c r="D52" s="290"/>
      <c r="E52" s="453"/>
      <c r="F52" s="290"/>
      <c r="G52" s="290"/>
      <c r="H52" s="290"/>
      <c r="I52" s="290"/>
      <c r="J52" s="290"/>
      <c r="K52" s="290"/>
      <c r="L52" s="290"/>
    </row>
    <row r="53" spans="1:15" ht="15" x14ac:dyDescent="0.2">
      <c r="A53" s="454" t="str">
        <f>PENYELIA!A53</f>
        <v>VI.</v>
      </c>
      <c r="B53" s="454" t="str">
        <f>PENYELIA!B53</f>
        <v>Alat Ukur Yang Digunakan</v>
      </c>
      <c r="C53" s="455"/>
      <c r="D53" s="456"/>
      <c r="E53" s="453"/>
      <c r="F53" s="453"/>
      <c r="G53" s="453"/>
      <c r="H53" s="453"/>
      <c r="I53" s="453"/>
      <c r="J53" s="457"/>
      <c r="K53" s="454"/>
      <c r="L53" s="454"/>
      <c r="M53" s="450"/>
      <c r="N53" s="450"/>
      <c r="O53" s="450"/>
    </row>
    <row r="54" spans="1:15" ht="15" x14ac:dyDescent="0.2">
      <c r="A54" s="290"/>
      <c r="B54" s="910" t="str">
        <f>PENYELIA!B54</f>
        <v>Gas Flow Analyzer, Merek : Fluke, Model : VT900A, SN : 5101035-5102036</v>
      </c>
      <c r="C54" s="452"/>
      <c r="D54" s="456"/>
      <c r="E54" s="453"/>
      <c r="F54" s="453"/>
      <c r="G54" s="453"/>
      <c r="H54" s="453"/>
      <c r="I54" s="453"/>
      <c r="J54" s="457"/>
      <c r="K54" s="454"/>
      <c r="L54" s="454"/>
      <c r="M54" s="450"/>
      <c r="N54" s="450"/>
      <c r="O54" s="450"/>
    </row>
    <row r="55" spans="1:15" ht="15" x14ac:dyDescent="0.2">
      <c r="A55" s="290"/>
      <c r="B55" s="910" t="str">
        <f>PENYELIA!B55</f>
        <v>Electrical Safety Analyzer, Merek : Fluke, Model : ESA 620, SN : 1837056</v>
      </c>
      <c r="C55" s="452"/>
      <c r="D55" s="456"/>
      <c r="E55" s="453"/>
      <c r="F55" s="453"/>
      <c r="G55" s="453"/>
      <c r="H55" s="453"/>
      <c r="I55" s="453"/>
      <c r="J55" s="457"/>
      <c r="K55" s="454"/>
      <c r="L55" s="454"/>
      <c r="M55" s="450"/>
      <c r="N55" s="450"/>
      <c r="O55" s="450"/>
    </row>
    <row r="56" spans="1:15" ht="15" hidden="1" x14ac:dyDescent="0.2">
      <c r="A56" s="290"/>
      <c r="B56" s="452" t="str">
        <f>PENYELIA!B56</f>
        <v>Thermohygrolight, Merek : Greisinger, Model : GFTB 200, SN : 34903051</v>
      </c>
      <c r="C56" s="452"/>
      <c r="D56" s="456"/>
      <c r="E56" s="453"/>
      <c r="F56" s="453"/>
      <c r="G56" s="453"/>
      <c r="H56" s="453"/>
      <c r="I56" s="453"/>
      <c r="J56" s="457"/>
      <c r="K56" s="454"/>
      <c r="L56" s="454"/>
      <c r="M56" s="450"/>
      <c r="N56" s="450"/>
      <c r="O56" s="450"/>
    </row>
    <row r="57" spans="1:15" ht="9" customHeight="1" x14ac:dyDescent="0.2">
      <c r="A57" s="290"/>
      <c r="B57" s="455"/>
      <c r="C57" s="452"/>
      <c r="D57" s="456"/>
      <c r="E57" s="453"/>
      <c r="F57" s="453"/>
      <c r="G57" s="453"/>
      <c r="H57" s="453"/>
      <c r="I57" s="453"/>
      <c r="J57" s="457"/>
      <c r="K57" s="454"/>
      <c r="L57" s="454"/>
      <c r="M57" s="450"/>
      <c r="N57" s="450"/>
      <c r="O57" s="450"/>
    </row>
    <row r="58" spans="1:15" ht="15" x14ac:dyDescent="0.2">
      <c r="A58" s="454" t="str">
        <f>PENYELIA!A58</f>
        <v>VII.</v>
      </c>
      <c r="B58" s="454" t="str">
        <f>PENYELIA!B58</f>
        <v>Kesimpulan</v>
      </c>
      <c r="C58" s="454"/>
      <c r="D58" s="290"/>
      <c r="E58" s="290"/>
      <c r="F58" s="290"/>
      <c r="G58" s="290"/>
      <c r="H58" s="290"/>
      <c r="I58" s="290"/>
      <c r="J58" s="290"/>
      <c r="K58" s="290"/>
      <c r="L58" s="290"/>
    </row>
    <row r="59" spans="1:15" ht="14.25" customHeight="1" x14ac:dyDescent="0.2">
      <c r="A59" s="290"/>
      <c r="B59" s="1062" t="str">
        <f>PENYELIA!B59</f>
        <v>Alat yang dikalibrasi dalam batas toleransi dan dinyatakan LAIK PAKAI, dimana hasil atau skor akhir sama dengan atau melampaui 70% berdasarkan Keputusan Direktur Jenderal Pelayanan Kesehatan No : HK.02.02/V/0412/2020.</v>
      </c>
      <c r="C59" s="1062"/>
      <c r="D59" s="1062"/>
      <c r="E59" s="1062"/>
      <c r="F59" s="1062"/>
      <c r="G59" s="1062"/>
      <c r="H59" s="1062"/>
      <c r="I59" s="1062"/>
      <c r="J59" s="1062"/>
      <c r="K59" s="1062"/>
      <c r="L59" s="1062"/>
    </row>
    <row r="60" spans="1:15" x14ac:dyDescent="0.2">
      <c r="A60" s="290"/>
      <c r="B60" s="1062"/>
      <c r="C60" s="1062"/>
      <c r="D60" s="1062"/>
      <c r="E60" s="1062"/>
      <c r="F60" s="1062"/>
      <c r="G60" s="1062"/>
      <c r="H60" s="1062"/>
      <c r="I60" s="1062"/>
      <c r="J60" s="1062"/>
      <c r="K60" s="1062"/>
      <c r="L60" s="1062"/>
    </row>
    <row r="61" spans="1:15" x14ac:dyDescent="0.2">
      <c r="A61" s="290"/>
      <c r="B61" s="725"/>
      <c r="C61" s="725"/>
      <c r="D61" s="725"/>
      <c r="E61" s="725"/>
      <c r="F61" s="725"/>
      <c r="G61" s="725"/>
      <c r="H61" s="725"/>
      <c r="I61" s="725"/>
      <c r="J61" s="725"/>
      <c r="K61" s="725"/>
      <c r="L61" s="290"/>
    </row>
    <row r="62" spans="1:15" ht="15" x14ac:dyDescent="0.2">
      <c r="A62" s="454" t="str">
        <f>PENYELIA!A62</f>
        <v>VIII.</v>
      </c>
      <c r="B62" s="454" t="str">
        <f>PENYELIA!B62</f>
        <v>Petugas Kalibrasi</v>
      </c>
      <c r="C62" s="454"/>
      <c r="D62" s="290"/>
      <c r="E62" s="290"/>
      <c r="F62" s="290"/>
      <c r="G62" s="290"/>
      <c r="H62" s="290"/>
      <c r="I62" s="290"/>
      <c r="J62" s="290"/>
      <c r="K62" s="290"/>
      <c r="L62" s="290"/>
    </row>
    <row r="63" spans="1:15" x14ac:dyDescent="0.2">
      <c r="A63" s="290"/>
      <c r="B63" s="911" t="str">
        <f>PENYELIA!B63</f>
        <v>Gusti Arya Dinata</v>
      </c>
      <c r="C63" s="290"/>
      <c r="D63" s="290"/>
      <c r="E63" s="290"/>
      <c r="F63" s="290"/>
      <c r="G63" s="290"/>
      <c r="H63" s="290"/>
      <c r="I63" s="290"/>
      <c r="J63" s="290"/>
      <c r="K63" s="290"/>
      <c r="L63" s="290"/>
    </row>
    <row r="64" spans="1:15" x14ac:dyDescent="0.2">
      <c r="A64" s="290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</row>
    <row r="65" spans="1:12" x14ac:dyDescent="0.2">
      <c r="A65" s="290"/>
      <c r="B65" s="290"/>
      <c r="C65" s="290"/>
      <c r="D65" s="290"/>
      <c r="E65" s="290"/>
      <c r="F65" s="290"/>
      <c r="G65" s="290"/>
      <c r="H65" s="290"/>
      <c r="I65" s="418" t="s">
        <v>184</v>
      </c>
      <c r="J65" s="458"/>
      <c r="K65" s="290"/>
      <c r="L65" s="290"/>
    </row>
    <row r="66" spans="1:12" x14ac:dyDescent="0.2">
      <c r="A66" s="290"/>
      <c r="B66" s="290"/>
      <c r="C66" s="290"/>
      <c r="D66" s="290"/>
      <c r="E66" s="290"/>
      <c r="F66" s="290"/>
      <c r="G66" s="290"/>
      <c r="H66" s="448" t="str">
        <f>IF(I72=A85,"a.n","")</f>
        <v/>
      </c>
      <c r="I66" s="290" t="s">
        <v>189</v>
      </c>
      <c r="J66" s="290"/>
      <c r="K66" s="290"/>
      <c r="L66" s="290"/>
    </row>
    <row r="67" spans="1:12" x14ac:dyDescent="0.2">
      <c r="A67" s="290"/>
      <c r="B67" s="290"/>
      <c r="C67" s="290"/>
      <c r="D67" s="290"/>
      <c r="E67" s="290"/>
      <c r="F67" s="290"/>
      <c r="G67" s="290"/>
      <c r="H67" s="290"/>
      <c r="I67" s="290" t="s">
        <v>190</v>
      </c>
      <c r="J67" s="290"/>
      <c r="K67" s="290"/>
      <c r="L67" s="290"/>
    </row>
    <row r="68" spans="1:12" x14ac:dyDescent="0.2">
      <c r="A68" s="290"/>
      <c r="B68" s="445"/>
      <c r="C68" s="445"/>
      <c r="D68" s="445"/>
      <c r="E68" s="445"/>
      <c r="F68" s="446"/>
      <c r="G68" s="446"/>
      <c r="H68" s="290"/>
      <c r="I68" s="418"/>
      <c r="J68" s="290"/>
      <c r="K68" s="290"/>
      <c r="L68" s="290"/>
    </row>
    <row r="69" spans="1:12" x14ac:dyDescent="0.2">
      <c r="A69" s="290"/>
      <c r="B69" s="445"/>
      <c r="C69" s="445"/>
      <c r="D69" s="445"/>
      <c r="E69" s="445"/>
      <c r="F69" s="446"/>
      <c r="G69" s="446"/>
      <c r="H69" s="290"/>
      <c r="I69" s="418"/>
      <c r="J69" s="290"/>
      <c r="K69" s="290"/>
      <c r="L69" s="290"/>
    </row>
    <row r="70" spans="1:12" ht="15" x14ac:dyDescent="0.2">
      <c r="A70" s="290"/>
      <c r="B70" s="290"/>
      <c r="C70" s="290"/>
      <c r="D70" s="290"/>
      <c r="E70" s="290"/>
      <c r="F70" s="290"/>
      <c r="G70" s="290"/>
      <c r="H70" s="290"/>
      <c r="I70" s="418"/>
      <c r="J70" s="290"/>
      <c r="K70" s="462"/>
      <c r="L70" s="290"/>
    </row>
    <row r="71" spans="1:12" ht="15" x14ac:dyDescent="0.2">
      <c r="A71" s="290"/>
      <c r="B71" s="290"/>
      <c r="C71" s="290"/>
      <c r="D71" s="290"/>
      <c r="E71" s="290"/>
      <c r="F71" s="290"/>
      <c r="G71" s="290"/>
      <c r="H71" s="290"/>
      <c r="I71" s="463"/>
      <c r="J71" s="290"/>
      <c r="K71" s="454"/>
      <c r="L71" s="290"/>
    </row>
    <row r="72" spans="1:12" ht="15" x14ac:dyDescent="0.2">
      <c r="A72" s="290"/>
      <c r="B72" s="290"/>
      <c r="C72" s="290"/>
      <c r="D72" s="290"/>
      <c r="E72" s="290"/>
      <c r="F72" s="290"/>
      <c r="G72" s="290"/>
      <c r="H72" s="290"/>
      <c r="I72" s="464" t="s">
        <v>185</v>
      </c>
      <c r="J72" s="290"/>
      <c r="K72" s="290"/>
      <c r="L72" s="290"/>
    </row>
    <row r="73" spans="1:12" x14ac:dyDescent="0.2">
      <c r="A73" s="290"/>
      <c r="B73" s="290"/>
      <c r="C73" s="290"/>
      <c r="D73" s="290"/>
      <c r="E73" s="290"/>
      <c r="F73" s="290"/>
      <c r="G73" s="290"/>
      <c r="H73" s="290"/>
      <c r="I73" s="461" t="str">
        <f>VLOOKUP(I72,A85:B86,2,0)</f>
        <v>NIP 198008062010121001</v>
      </c>
      <c r="J73" s="290"/>
      <c r="K73" s="290"/>
      <c r="L73" s="290"/>
    </row>
    <row r="74" spans="1:12" x14ac:dyDescent="0.2">
      <c r="A74" s="290"/>
      <c r="B74" s="290"/>
      <c r="C74" s="290"/>
      <c r="D74" s="290"/>
      <c r="E74" s="290"/>
      <c r="F74" s="290"/>
      <c r="G74" s="290"/>
      <c r="H74" s="290"/>
      <c r="I74" s="290"/>
      <c r="J74" s="290"/>
      <c r="K74" s="290"/>
      <c r="L74" s="290"/>
    </row>
    <row r="75" spans="1:12" x14ac:dyDescent="0.2">
      <c r="A75" s="290"/>
      <c r="B75" s="290"/>
      <c r="C75" s="290"/>
      <c r="D75" s="290"/>
      <c r="E75" s="290"/>
      <c r="F75" s="290"/>
      <c r="G75" s="290"/>
      <c r="H75" s="290"/>
      <c r="I75" s="290"/>
      <c r="J75" s="290"/>
      <c r="K75" s="290"/>
      <c r="L75" s="290"/>
    </row>
    <row r="76" spans="1:12" x14ac:dyDescent="0.2">
      <c r="A76" s="290"/>
      <c r="B76" s="290"/>
      <c r="C76" s="290"/>
      <c r="D76" s="290"/>
      <c r="E76" s="290"/>
      <c r="F76" s="290"/>
      <c r="G76" s="290"/>
      <c r="H76" s="290"/>
      <c r="I76" s="290"/>
      <c r="J76" s="290"/>
      <c r="K76" s="290"/>
      <c r="L76" s="290"/>
    </row>
    <row r="77" spans="1:12" x14ac:dyDescent="0.2">
      <c r="A77" s="290"/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290"/>
    </row>
    <row r="78" spans="1:12" x14ac:dyDescent="0.2">
      <c r="A78" s="290"/>
      <c r="B78" s="290"/>
      <c r="C78" s="290"/>
      <c r="D78" s="290"/>
      <c r="E78" s="290"/>
      <c r="F78" s="290"/>
      <c r="G78" s="290"/>
      <c r="H78" s="290"/>
      <c r="I78" s="290"/>
      <c r="J78" s="290"/>
      <c r="K78" s="290"/>
      <c r="L78" s="459" t="s">
        <v>186</v>
      </c>
    </row>
    <row r="85" spans="1:2" ht="15" x14ac:dyDescent="0.25">
      <c r="A85" s="889" t="s">
        <v>403</v>
      </c>
      <c r="B85" s="843" t="s">
        <v>404</v>
      </c>
    </row>
    <row r="86" spans="1:2" ht="15" x14ac:dyDescent="0.2">
      <c r="A86" s="464" t="s">
        <v>185</v>
      </c>
      <c r="B86" s="461" t="s">
        <v>188</v>
      </c>
    </row>
    <row r="87" spans="1:2" x14ac:dyDescent="0.2">
      <c r="A87" s="290"/>
    </row>
    <row r="88" spans="1:2" x14ac:dyDescent="0.2">
      <c r="A88" s="418" t="s">
        <v>189</v>
      </c>
    </row>
    <row r="89" spans="1:2" x14ac:dyDescent="0.2">
      <c r="A89" s="418" t="s">
        <v>190</v>
      </c>
    </row>
    <row r="90" spans="1:2" x14ac:dyDescent="0.2">
      <c r="A90" s="418" t="s">
        <v>191</v>
      </c>
    </row>
    <row r="91" spans="1:2" x14ac:dyDescent="0.2">
      <c r="A91" s="418" t="s">
        <v>192</v>
      </c>
    </row>
    <row r="102" spans="12:12" x14ac:dyDescent="0.2">
      <c r="L102" s="448"/>
    </row>
    <row r="103" spans="12:12" x14ac:dyDescent="0.2">
      <c r="L103" s="448"/>
    </row>
    <row r="104" spans="12:12" x14ac:dyDescent="0.2">
      <c r="L104" s="448"/>
    </row>
    <row r="105" spans="12:12" x14ac:dyDescent="0.2">
      <c r="L105" s="448"/>
    </row>
    <row r="106" spans="12:12" x14ac:dyDescent="0.2">
      <c r="L106" s="448"/>
    </row>
    <row r="107" spans="12:12" x14ac:dyDescent="0.2">
      <c r="L107" s="448"/>
    </row>
    <row r="108" spans="12:12" x14ac:dyDescent="0.2">
      <c r="L108" s="448"/>
    </row>
    <row r="109" spans="12:12" x14ac:dyDescent="0.2">
      <c r="L109" s="448"/>
    </row>
    <row r="110" spans="12:12" x14ac:dyDescent="0.2">
      <c r="L110" s="448"/>
    </row>
    <row r="111" spans="12:12" x14ac:dyDescent="0.2">
      <c r="L111" s="448"/>
    </row>
    <row r="112" spans="12:12" x14ac:dyDescent="0.2">
      <c r="L112" s="448"/>
    </row>
    <row r="113" spans="12:12" x14ac:dyDescent="0.2">
      <c r="L113" s="448"/>
    </row>
    <row r="114" spans="12:12" x14ac:dyDescent="0.2">
      <c r="L114" s="448"/>
    </row>
  </sheetData>
  <sheetProtection formatCells="0" formatColumns="0" formatRows="0" insertColumns="0" insertRows="0" insertHyperlinks="0" deleteColumns="0" deleteRows="0"/>
  <mergeCells count="34">
    <mergeCell ref="J28:K28"/>
    <mergeCell ref="D37:E38"/>
    <mergeCell ref="H37:H38"/>
    <mergeCell ref="H39:H45"/>
    <mergeCell ref="D32:E33"/>
    <mergeCell ref="D34:E34"/>
    <mergeCell ref="F32:G33"/>
    <mergeCell ref="F34:G34"/>
    <mergeCell ref="A1:L1"/>
    <mergeCell ref="A2:L2"/>
    <mergeCell ref="C25:G25"/>
    <mergeCell ref="H25:I25"/>
    <mergeCell ref="I37:J38"/>
    <mergeCell ref="F37:F38"/>
    <mergeCell ref="G37:G38"/>
    <mergeCell ref="J25:K25"/>
    <mergeCell ref="B32:B33"/>
    <mergeCell ref="C32:C33"/>
    <mergeCell ref="I32:J33"/>
    <mergeCell ref="B37:B38"/>
    <mergeCell ref="C37:C38"/>
    <mergeCell ref="E10:F10"/>
    <mergeCell ref="J26:K26"/>
    <mergeCell ref="J27:K27"/>
    <mergeCell ref="B59:L60"/>
    <mergeCell ref="B39:B45"/>
    <mergeCell ref="C39:C45"/>
    <mergeCell ref="D41:E41"/>
    <mergeCell ref="D42:E42"/>
    <mergeCell ref="D43:E43"/>
    <mergeCell ref="D44:E44"/>
    <mergeCell ref="D45:E45"/>
    <mergeCell ref="D39:E39"/>
    <mergeCell ref="D40:E40"/>
  </mergeCells>
  <phoneticPr fontId="0" type="noConversion"/>
  <dataValidations count="1">
    <dataValidation type="list" allowBlank="1" showInputMessage="1" showErrorMessage="1" sqref="I72" xr:uid="{BB4A75C3-FD16-4458-B91E-601E96AF04EA}">
      <formula1>$A$85:$A$86</formula1>
    </dataValidation>
  </dataValidations>
  <printOptions horizontalCentered="1"/>
  <pageMargins left="0.19685039370078741" right="0.19685039370078741" top="0.19685039370078741" bottom="0.23622047244094491" header="0.23622047244094491" footer="0.19685039370078741"/>
  <pageSetup paperSize="9" scale="72" orientation="portrait" horizontalDpi="4294967292" verticalDpi="4294967292" r:id="rId1"/>
  <headerFooter>
    <oddHeader>&amp;R&amp;"+,Regular"&amp;8FV.LHK 006-18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'E:\SOFTWARE 2019\SOFTWARE TEKANAN\[TENSIMETER 8-1-2019 KAN.xlsx]KESIMPULAN'!#REF!</xm:f>
          </x14:formula1>
          <xm:sqref>G68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EE44-4F18-40DB-8E64-041B92BAC639}">
  <dimension ref="A1:H60"/>
  <sheetViews>
    <sheetView topLeftCell="A12" zoomScaleNormal="100" zoomScaleSheetLayoutView="100" workbookViewId="0">
      <selection activeCell="A25" sqref="A25"/>
    </sheetView>
  </sheetViews>
  <sheetFormatPr defaultRowHeight="12.75" x14ac:dyDescent="0.2"/>
  <cols>
    <col min="1" max="1" width="18.140625" customWidth="1"/>
    <col min="2" max="2" width="26.140625" customWidth="1"/>
    <col min="3" max="3" width="3.140625" customWidth="1"/>
    <col min="4" max="4" width="11.5703125" customWidth="1"/>
    <col min="5" max="5" width="9.42578125" customWidth="1"/>
    <col min="6" max="6" width="22.5703125" customWidth="1"/>
  </cols>
  <sheetData>
    <row r="1" spans="1:8" x14ac:dyDescent="0.2">
      <c r="A1" s="844"/>
      <c r="B1" s="844"/>
      <c r="C1" s="844"/>
      <c r="D1" s="844"/>
      <c r="E1" s="844"/>
      <c r="F1" s="844"/>
      <c r="H1" s="845" t="str">
        <f>IF(PENYELIA!L67&lt;70,"TIDAK LAIK","LAIK")</f>
        <v>LAIK</v>
      </c>
    </row>
    <row r="2" spans="1:8" ht="30" x14ac:dyDescent="0.2">
      <c r="A2" s="1103" t="str">
        <f>B44</f>
        <v>SERTIFIKAT KALIBRASI</v>
      </c>
      <c r="B2" s="1103"/>
      <c r="C2" s="1103"/>
      <c r="D2" s="1103"/>
      <c r="E2" s="1103"/>
      <c r="F2" s="1103"/>
    </row>
    <row r="3" spans="1:8" ht="14.25" x14ac:dyDescent="0.2">
      <c r="A3" s="1104" t="str">
        <f>"Nomor : 60 /"&amp;" "&amp;[2]ID!I2</f>
        <v>Nomor : 60 / 1 / V - 22 / E - 001.46 DL</v>
      </c>
      <c r="B3" s="1104"/>
      <c r="C3" s="1104"/>
      <c r="D3" s="1104"/>
      <c r="E3" s="1104"/>
      <c r="F3" s="1104"/>
    </row>
    <row r="4" spans="1:8" x14ac:dyDescent="0.2">
      <c r="A4" s="844"/>
      <c r="B4" s="844"/>
      <c r="C4" s="844" t="s">
        <v>405</v>
      </c>
      <c r="D4" s="1105" t="s">
        <v>406</v>
      </c>
      <c r="E4" s="1105"/>
      <c r="F4" s="1105"/>
    </row>
    <row r="5" spans="1:8" x14ac:dyDescent="0.2">
      <c r="A5" s="844"/>
      <c r="B5" s="844"/>
      <c r="C5" s="844"/>
      <c r="D5" s="844"/>
      <c r="E5" s="844"/>
      <c r="F5" s="844"/>
    </row>
    <row r="6" spans="1:8" ht="28.5" x14ac:dyDescent="0.2">
      <c r="A6" s="846" t="s">
        <v>407</v>
      </c>
      <c r="B6" s="847" t="s">
        <v>408</v>
      </c>
      <c r="C6" s="848"/>
      <c r="D6" s="1099" t="s">
        <v>409</v>
      </c>
      <c r="E6" s="1100"/>
      <c r="F6" s="849" t="str">
        <f>MID(A3,SEARCH("E - ",A3),LEN(A3))</f>
        <v>E - 001.46 DL</v>
      </c>
    </row>
    <row r="7" spans="1:8" ht="14.25" x14ac:dyDescent="0.2">
      <c r="A7" s="850"/>
      <c r="B7" s="850"/>
      <c r="C7" s="850"/>
      <c r="D7" s="844"/>
      <c r="E7" s="844"/>
      <c r="F7" s="844"/>
    </row>
    <row r="8" spans="1:8" ht="14.25" x14ac:dyDescent="0.2">
      <c r="A8" s="1094" t="s">
        <v>2</v>
      </c>
      <c r="B8" s="1094"/>
      <c r="C8" s="851" t="s">
        <v>9</v>
      </c>
      <c r="D8" s="1094" t="str">
        <f>[2]LH!E5</f>
        <v>Penlon</v>
      </c>
      <c r="E8" s="1094"/>
      <c r="F8" s="1094"/>
    </row>
    <row r="9" spans="1:8" ht="14.25" x14ac:dyDescent="0.2">
      <c r="A9" s="1094" t="s">
        <v>410</v>
      </c>
      <c r="B9" s="1094"/>
      <c r="C9" s="851" t="s">
        <v>9</v>
      </c>
      <c r="D9" s="1094" t="str">
        <f>[2]LH!E6</f>
        <v>Sigma Delta</v>
      </c>
      <c r="E9" s="1094"/>
      <c r="F9" s="1094"/>
    </row>
    <row r="10" spans="1:8" ht="14.25" x14ac:dyDescent="0.2">
      <c r="A10" s="1094" t="s">
        <v>411</v>
      </c>
      <c r="B10" s="1094"/>
      <c r="C10" s="851" t="s">
        <v>9</v>
      </c>
      <c r="D10" s="1094" t="str">
        <f>[2]LH!E7</f>
        <v>D10100103</v>
      </c>
      <c r="E10" s="1094"/>
      <c r="F10" s="1094"/>
    </row>
    <row r="11" spans="1:8" ht="14.25" x14ac:dyDescent="0.2">
      <c r="A11" s="852"/>
      <c r="B11" s="852"/>
      <c r="C11" s="850"/>
      <c r="D11" s="844"/>
      <c r="E11" s="844"/>
      <c r="F11" s="844"/>
    </row>
    <row r="12" spans="1:8" ht="36.75" customHeight="1" x14ac:dyDescent="0.2">
      <c r="A12" s="853" t="s">
        <v>412</v>
      </c>
      <c r="B12" s="854"/>
      <c r="C12" s="850"/>
      <c r="D12" s="1099" t="s">
        <v>413</v>
      </c>
      <c r="E12" s="1100"/>
      <c r="F12" s="855"/>
    </row>
    <row r="13" spans="1:8" ht="15" x14ac:dyDescent="0.2">
      <c r="A13" s="856"/>
      <c r="B13" s="850"/>
      <c r="C13" s="850"/>
      <c r="D13" s="850"/>
      <c r="E13" s="850"/>
      <c r="F13" s="844"/>
    </row>
    <row r="14" spans="1:8" ht="14.25" x14ac:dyDescent="0.2">
      <c r="A14" s="1101" t="s">
        <v>414</v>
      </c>
      <c r="B14" s="1101"/>
      <c r="C14" s="857" t="s">
        <v>9</v>
      </c>
      <c r="D14" s="1102"/>
      <c r="E14" s="1102"/>
      <c r="F14" s="1102"/>
    </row>
    <row r="15" spans="1:8" ht="14.25" x14ac:dyDescent="0.2">
      <c r="A15" s="1094" t="str">
        <f>"Nama Ruang "&amp;B48</f>
        <v>Nama Ruang Kalibrasi</v>
      </c>
      <c r="B15" s="1094"/>
      <c r="C15" s="851" t="s">
        <v>9</v>
      </c>
      <c r="D15" s="1096" t="str">
        <f>[2]LH!E12</f>
        <v xml:space="preserve">OK </v>
      </c>
      <c r="E15" s="1096"/>
      <c r="F15" s="1096"/>
    </row>
    <row r="16" spans="1:8" ht="14.25" x14ac:dyDescent="0.2">
      <c r="A16" s="1094" t="s">
        <v>99</v>
      </c>
      <c r="B16" s="1094"/>
      <c r="C16" s="851" t="s">
        <v>9</v>
      </c>
      <c r="D16" s="1098" t="str">
        <f>[2]LH!E9</f>
        <v>9 Mei 2023</v>
      </c>
      <c r="E16" s="1098"/>
      <c r="F16" s="1098"/>
    </row>
    <row r="17" spans="1:6" ht="14.25" x14ac:dyDescent="0.2">
      <c r="A17" s="1094" t="str">
        <f>"Tanggal "&amp;B48</f>
        <v>Tanggal Kalibrasi</v>
      </c>
      <c r="B17" s="1094"/>
      <c r="C17" s="851" t="s">
        <v>9</v>
      </c>
      <c r="D17" s="1098" t="str">
        <f>[2]LH!E10</f>
        <v>9 Mei 2023</v>
      </c>
      <c r="E17" s="1098"/>
      <c r="F17" s="1098"/>
    </row>
    <row r="18" spans="1:6" ht="14.25" x14ac:dyDescent="0.2">
      <c r="A18" s="1094" t="str">
        <f>"Penanggungjawab "&amp;B48</f>
        <v>Penanggungjawab Kalibrasi</v>
      </c>
      <c r="B18" s="1094"/>
      <c r="C18" s="851" t="s">
        <v>9</v>
      </c>
      <c r="D18" s="1094" t="str">
        <f>[2]LH!B46</f>
        <v>Muhammad Irfan Husnuzhzhan</v>
      </c>
      <c r="E18" s="1094"/>
      <c r="F18" s="1094"/>
    </row>
    <row r="19" spans="1:6" ht="14.25" x14ac:dyDescent="0.2">
      <c r="A19" s="1094" t="str">
        <f>"Lokasi "&amp;B48</f>
        <v>Lokasi Kalibrasi</v>
      </c>
      <c r="B19" s="1094"/>
      <c r="C19" s="851" t="s">
        <v>9</v>
      </c>
      <c r="D19" s="1096" t="str">
        <f>[2]LH!E11</f>
        <v xml:space="preserve">OK </v>
      </c>
      <c r="E19" s="1096"/>
      <c r="F19" s="1096"/>
    </row>
    <row r="20" spans="1:6" ht="31.5" customHeight="1" x14ac:dyDescent="0.2">
      <c r="A20" s="1096" t="str">
        <f>"Hasil "&amp;B48</f>
        <v>Hasil Kalibrasi</v>
      </c>
      <c r="B20" s="1096"/>
      <c r="C20" s="858" t="s">
        <v>9</v>
      </c>
      <c r="D20" s="1097">
        <f>B55</f>
        <v>0</v>
      </c>
      <c r="E20" s="1097"/>
      <c r="F20" s="1097"/>
    </row>
    <row r="21" spans="1:6" ht="14.25" x14ac:dyDescent="0.2">
      <c r="A21" s="1094" t="s">
        <v>103</v>
      </c>
      <c r="B21" s="1094"/>
      <c r="C21" s="851" t="s">
        <v>9</v>
      </c>
      <c r="D21" s="1094" t="str">
        <f>[2]LH!E13</f>
        <v>MK 068-18</v>
      </c>
      <c r="E21" s="1094"/>
      <c r="F21" s="1094"/>
    </row>
    <row r="22" spans="1:6" x14ac:dyDescent="0.2">
      <c r="A22" s="844"/>
      <c r="B22" s="844"/>
      <c r="C22" s="844"/>
      <c r="D22" s="844"/>
      <c r="E22" s="844"/>
      <c r="F22" s="844"/>
    </row>
    <row r="23" spans="1:6" x14ac:dyDescent="0.2">
      <c r="A23" s="844"/>
      <c r="B23" s="844"/>
      <c r="C23" s="844"/>
      <c r="D23" s="844"/>
      <c r="E23" s="844"/>
      <c r="F23" s="844"/>
    </row>
    <row r="24" spans="1:6" ht="28.5" x14ac:dyDescent="0.2">
      <c r="A24" s="844"/>
      <c r="B24" s="844"/>
      <c r="C24" s="844"/>
      <c r="D24" s="859" t="s">
        <v>415</v>
      </c>
      <c r="E24" s="1095">
        <f ca="1">TODAY()</f>
        <v>45190</v>
      </c>
      <c r="F24" s="1095"/>
    </row>
    <row r="25" spans="1:6" ht="14.25" x14ac:dyDescent="0.2">
      <c r="A25" s="844"/>
      <c r="B25" s="844"/>
      <c r="C25" s="844"/>
      <c r="D25" s="1094" t="s">
        <v>416</v>
      </c>
      <c r="E25" s="1094"/>
      <c r="F25" s="1094"/>
    </row>
    <row r="26" spans="1:6" ht="14.25" x14ac:dyDescent="0.2">
      <c r="A26" s="844"/>
      <c r="B26" s="844"/>
      <c r="C26" s="844"/>
      <c r="D26" s="1094" t="s">
        <v>417</v>
      </c>
      <c r="E26" s="1094"/>
      <c r="F26" s="1094"/>
    </row>
    <row r="27" spans="1:6" ht="14.25" x14ac:dyDescent="0.2">
      <c r="A27" s="844"/>
      <c r="B27" s="844"/>
      <c r="C27" s="844"/>
      <c r="D27" s="860"/>
      <c r="E27" s="860"/>
      <c r="F27" s="844"/>
    </row>
    <row r="28" spans="1:6" ht="14.25" x14ac:dyDescent="0.2">
      <c r="A28" s="844"/>
      <c r="B28" s="844"/>
      <c r="C28" s="844"/>
      <c r="D28" s="860"/>
      <c r="E28" s="860"/>
      <c r="F28" s="844"/>
    </row>
    <row r="29" spans="1:6" ht="14.25" x14ac:dyDescent="0.2">
      <c r="A29" s="844"/>
      <c r="B29" s="844"/>
      <c r="C29" s="844"/>
      <c r="D29" s="860"/>
      <c r="E29" s="860"/>
      <c r="F29" s="844"/>
    </row>
    <row r="30" spans="1:6" ht="14.25" x14ac:dyDescent="0.2">
      <c r="A30" s="844"/>
      <c r="B30" s="844"/>
      <c r="C30" s="844"/>
      <c r="D30" s="1094" t="s">
        <v>418</v>
      </c>
      <c r="E30" s="1094"/>
      <c r="F30" s="1094"/>
    </row>
    <row r="31" spans="1:6" ht="15" x14ac:dyDescent="0.2">
      <c r="A31" s="844"/>
      <c r="B31" s="844"/>
      <c r="C31" s="844"/>
      <c r="D31" s="1093" t="s">
        <v>419</v>
      </c>
      <c r="E31" s="1093"/>
      <c r="F31" s="1093"/>
    </row>
    <row r="32" spans="1:6" x14ac:dyDescent="0.2">
      <c r="A32" s="844"/>
      <c r="B32" s="844"/>
      <c r="C32" s="844"/>
      <c r="D32" s="844"/>
      <c r="E32" s="844"/>
      <c r="F32" s="844"/>
    </row>
    <row r="33" spans="1:6" x14ac:dyDescent="0.2">
      <c r="A33" s="844"/>
      <c r="B33" s="844"/>
      <c r="C33" s="844"/>
      <c r="D33" s="844"/>
      <c r="E33" s="844"/>
      <c r="F33" s="844"/>
    </row>
    <row r="34" spans="1:6" x14ac:dyDescent="0.2">
      <c r="A34" s="861"/>
      <c r="B34" s="861"/>
      <c r="C34" s="861"/>
      <c r="D34" s="861"/>
      <c r="E34" s="861"/>
      <c r="F34" s="861"/>
    </row>
    <row r="35" spans="1:6" x14ac:dyDescent="0.2">
      <c r="A35" s="844"/>
      <c r="B35" s="844"/>
      <c r="C35" s="844"/>
      <c r="D35" s="844"/>
      <c r="E35" s="844"/>
      <c r="F35" s="844"/>
    </row>
    <row r="36" spans="1:6" x14ac:dyDescent="0.2">
      <c r="A36" s="844"/>
      <c r="B36" s="844"/>
      <c r="C36" s="844"/>
      <c r="D36" s="844"/>
      <c r="E36" s="844"/>
      <c r="F36" s="844"/>
    </row>
    <row r="37" spans="1:6" x14ac:dyDescent="0.2">
      <c r="A37" s="844"/>
      <c r="B37" s="844"/>
      <c r="C37" s="844"/>
      <c r="D37" s="844"/>
      <c r="E37" s="844"/>
      <c r="F37" s="844"/>
    </row>
    <row r="38" spans="1:6" x14ac:dyDescent="0.2">
      <c r="A38" s="844"/>
      <c r="B38" s="844"/>
      <c r="C38" s="844"/>
      <c r="D38" s="844"/>
      <c r="E38" s="844"/>
      <c r="F38" s="844"/>
    </row>
    <row r="39" spans="1:6" x14ac:dyDescent="0.2">
      <c r="A39" s="844"/>
      <c r="B39" s="844"/>
      <c r="C39" s="844"/>
      <c r="D39" s="844"/>
      <c r="E39" s="844"/>
      <c r="F39" s="844"/>
    </row>
    <row r="40" spans="1:6" ht="13.5" thickBot="1" x14ac:dyDescent="0.25">
      <c r="A40" s="844"/>
      <c r="B40" s="844"/>
      <c r="C40" s="844"/>
      <c r="D40" s="844"/>
      <c r="E40" s="844"/>
      <c r="F40" s="844"/>
    </row>
    <row r="41" spans="1:6" x14ac:dyDescent="0.2">
      <c r="A41" s="862" t="s">
        <v>420</v>
      </c>
      <c r="B41" s="863" t="str">
        <f>MID([2]ID!I2,SEARCH("E - ",[2]ID!I2),LEN([2]ID!I2))</f>
        <v>E - 001.46 DL</v>
      </c>
      <c r="C41" s="844"/>
      <c r="D41" s="844"/>
      <c r="E41" s="844"/>
      <c r="F41" s="844"/>
    </row>
    <row r="42" spans="1:6" x14ac:dyDescent="0.2">
      <c r="A42" s="864"/>
      <c r="B42" s="865"/>
      <c r="C42" s="844"/>
      <c r="D42" s="844"/>
      <c r="E42" s="844"/>
      <c r="F42" s="844"/>
    </row>
    <row r="43" spans="1:6" ht="25.5" x14ac:dyDescent="0.2">
      <c r="A43" s="866" t="s">
        <v>421</v>
      </c>
      <c r="B43" s="867" t="str">
        <f>[2]ID!A1</f>
        <v>Input Data Kalibrasi Vaporizer</v>
      </c>
      <c r="C43" s="844"/>
      <c r="D43" s="844"/>
      <c r="E43" s="844"/>
      <c r="F43" s="844"/>
    </row>
    <row r="44" spans="1:6" ht="25.5" x14ac:dyDescent="0.2">
      <c r="A44" s="866" t="s">
        <v>422</v>
      </c>
      <c r="B44" s="868" t="str">
        <f>IF(B43="INPUT DATA KALIBRASI VAPORIZER",B45,B46)</f>
        <v>SERTIFIKAT KALIBRASI</v>
      </c>
      <c r="C44" s="844"/>
      <c r="D44" s="844"/>
      <c r="E44" s="844"/>
      <c r="F44" s="844"/>
    </row>
    <row r="45" spans="1:6" x14ac:dyDescent="0.2">
      <c r="A45" s="869" t="s">
        <v>423</v>
      </c>
      <c r="B45" s="870" t="s">
        <v>424</v>
      </c>
      <c r="C45" s="844"/>
      <c r="D45" s="844"/>
      <c r="E45" s="844"/>
      <c r="F45" s="844"/>
    </row>
    <row r="46" spans="1:6" x14ac:dyDescent="0.2">
      <c r="A46" s="871"/>
      <c r="B46" s="870" t="s">
        <v>425</v>
      </c>
      <c r="C46" s="844"/>
      <c r="D46" s="844"/>
      <c r="E46" s="844"/>
      <c r="F46" s="844"/>
    </row>
    <row r="47" spans="1:6" x14ac:dyDescent="0.2">
      <c r="A47" s="864"/>
      <c r="B47" s="865"/>
      <c r="C47" s="844"/>
      <c r="D47" s="844"/>
      <c r="E47" s="844"/>
      <c r="F47" s="844"/>
    </row>
    <row r="48" spans="1:6" ht="38.25" x14ac:dyDescent="0.2">
      <c r="A48" s="866" t="s">
        <v>426</v>
      </c>
      <c r="B48" s="870" t="str">
        <f>IF(RIGHT(A2,10)=" KALIBRASI","Kalibrasi","Pengujian")</f>
        <v>Kalibrasi</v>
      </c>
      <c r="C48" s="844"/>
      <c r="D48" s="844"/>
      <c r="E48" s="844"/>
      <c r="F48" s="844"/>
    </row>
    <row r="49" spans="1:6" x14ac:dyDescent="0.2">
      <c r="A49" s="864"/>
      <c r="B49" s="865"/>
      <c r="C49" s="844"/>
      <c r="D49" s="844"/>
      <c r="E49" s="844"/>
      <c r="F49" s="844"/>
    </row>
    <row r="50" spans="1:6" ht="30" x14ac:dyDescent="0.25">
      <c r="A50" s="866" t="s">
        <v>427</v>
      </c>
      <c r="B50" s="872" t="s">
        <v>428</v>
      </c>
      <c r="C50" s="873"/>
      <c r="D50" s="873"/>
      <c r="E50" s="873"/>
      <c r="F50" s="873"/>
    </row>
    <row r="51" spans="1:6" x14ac:dyDescent="0.2">
      <c r="A51" s="864"/>
      <c r="B51" s="874"/>
      <c r="C51" s="844"/>
      <c r="D51" s="844"/>
      <c r="E51" s="844"/>
      <c r="F51" s="844"/>
    </row>
    <row r="52" spans="1:6" ht="45" x14ac:dyDescent="0.25">
      <c r="A52" s="875" t="s">
        <v>429</v>
      </c>
      <c r="B52" s="615"/>
      <c r="C52" s="844"/>
      <c r="D52" s="844"/>
      <c r="E52" s="844"/>
      <c r="F52" s="844"/>
    </row>
    <row r="53" spans="1:6" ht="25.5" x14ac:dyDescent="0.2">
      <c r="A53" s="866" t="s">
        <v>430</v>
      </c>
      <c r="B53" s="615"/>
      <c r="C53" s="844"/>
      <c r="D53" s="844"/>
      <c r="E53" s="844"/>
      <c r="F53" s="844"/>
    </row>
    <row r="54" spans="1:6" x14ac:dyDescent="0.2">
      <c r="A54" s="864"/>
      <c r="B54" s="615"/>
      <c r="C54" s="844"/>
      <c r="D54" s="844"/>
      <c r="E54" s="844"/>
      <c r="F54" s="844"/>
    </row>
    <row r="55" spans="1:6" ht="30" x14ac:dyDescent="0.25">
      <c r="A55" s="875" t="s">
        <v>431</v>
      </c>
      <c r="B55" s="615"/>
      <c r="C55" s="844"/>
      <c r="D55" s="844"/>
      <c r="E55" s="844"/>
      <c r="F55" s="844"/>
    </row>
    <row r="56" spans="1:6" x14ac:dyDescent="0.2">
      <c r="A56" s="876" t="s">
        <v>432</v>
      </c>
      <c r="B56" s="615"/>
      <c r="C56" s="844"/>
      <c r="D56" s="844"/>
      <c r="E56" s="844"/>
      <c r="F56" s="844"/>
    </row>
    <row r="57" spans="1:6" x14ac:dyDescent="0.2">
      <c r="A57" s="877"/>
      <c r="B57" s="878"/>
      <c r="C57" s="844"/>
      <c r="D57" s="844"/>
      <c r="E57" s="844"/>
      <c r="F57" s="844"/>
    </row>
    <row r="58" spans="1:6" ht="30" x14ac:dyDescent="0.25">
      <c r="A58" s="879" t="s">
        <v>423</v>
      </c>
      <c r="B58" s="880" t="s">
        <v>433</v>
      </c>
      <c r="C58" s="844"/>
      <c r="D58" s="844"/>
      <c r="E58" s="844"/>
      <c r="F58" s="844"/>
    </row>
    <row r="59" spans="1:6" ht="30.75" thickBot="1" x14ac:dyDescent="0.3">
      <c r="A59" s="881"/>
      <c r="B59" s="882" t="s">
        <v>434</v>
      </c>
      <c r="C59" s="844"/>
      <c r="D59" s="844"/>
      <c r="E59" s="844"/>
      <c r="F59" s="844"/>
    </row>
    <row r="60" spans="1:6" x14ac:dyDescent="0.2">
      <c r="A60" s="844"/>
      <c r="B60" s="844"/>
      <c r="C60" s="844"/>
      <c r="D60" s="844"/>
      <c r="E60" s="844"/>
      <c r="F60" s="844"/>
    </row>
  </sheetData>
  <mergeCells count="32">
    <mergeCell ref="A14:B14"/>
    <mergeCell ref="D14:F14"/>
    <mergeCell ref="A2:F2"/>
    <mergeCell ref="A3:F3"/>
    <mergeCell ref="D4:F4"/>
    <mergeCell ref="D6:E6"/>
    <mergeCell ref="A8:B8"/>
    <mergeCell ref="D8:F8"/>
    <mergeCell ref="A9:B9"/>
    <mergeCell ref="D9:F9"/>
    <mergeCell ref="A10:B10"/>
    <mergeCell ref="D10:F10"/>
    <mergeCell ref="D12:E12"/>
    <mergeCell ref="A15:B15"/>
    <mergeCell ref="D15:F15"/>
    <mergeCell ref="A16:B16"/>
    <mergeCell ref="D16:F16"/>
    <mergeCell ref="A17:B17"/>
    <mergeCell ref="D17:F17"/>
    <mergeCell ref="A18:B18"/>
    <mergeCell ref="D18:F18"/>
    <mergeCell ref="A19:B19"/>
    <mergeCell ref="D19:F19"/>
    <mergeCell ref="A20:B20"/>
    <mergeCell ref="D20:F20"/>
    <mergeCell ref="D31:F31"/>
    <mergeCell ref="A21:B21"/>
    <mergeCell ref="D21:F21"/>
    <mergeCell ref="E24:F24"/>
    <mergeCell ref="D25:F25"/>
    <mergeCell ref="D26:F26"/>
    <mergeCell ref="D30:F30"/>
  </mergeCells>
  <dataValidations count="1">
    <dataValidation type="list" allowBlank="1" showInputMessage="1" showErrorMessage="1" sqref="A2:F2" xr:uid="{2766C2AB-8F33-45E0-B830-404EABDA0058}">
      <formula1>"SERTIFIKAT KALIBRASI,SERTIFIKAT PENGUJIAN"</formula1>
    </dataValidation>
  </dataValidations>
  <pageMargins left="0.7" right="0.7" top="0.75" bottom="0.75" header="0.3" footer="0.3"/>
  <pageSetup paperSize="9" scale="60" orientation="portrait" horizontalDpi="4294967293" r:id="rId1"/>
  <rowBreaks count="1" manualBreakCount="1">
    <brk id="32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Y311"/>
  <sheetViews>
    <sheetView topLeftCell="A290" zoomScale="81" workbookViewId="0">
      <selection activeCell="G314" sqref="G314"/>
    </sheetView>
  </sheetViews>
  <sheetFormatPr defaultColWidth="8.7109375" defaultRowHeight="12.75" x14ac:dyDescent="0.2"/>
  <cols>
    <col min="1" max="1" width="10.28515625" style="757" bestFit="1" customWidth="1"/>
    <col min="2" max="2" width="9.5703125" style="757" bestFit="1" customWidth="1"/>
    <col min="3" max="9" width="8.7109375" style="757"/>
    <col min="10" max="10" width="9.140625" style="757" bestFit="1" customWidth="1"/>
    <col min="11" max="11" width="8.7109375" style="757"/>
    <col min="12" max="12" width="8.5703125" style="757" customWidth="1"/>
    <col min="13" max="13" width="12.28515625" style="757" customWidth="1"/>
    <col min="14" max="16384" width="8.7109375" style="757"/>
  </cols>
  <sheetData>
    <row r="1" spans="1:24" ht="18" x14ac:dyDescent="0.2">
      <c r="A1" s="1133" t="s">
        <v>255</v>
      </c>
      <c r="B1" s="1134"/>
      <c r="C1" s="1134"/>
      <c r="D1" s="1134"/>
      <c r="E1" s="1134"/>
      <c r="F1" s="1134"/>
      <c r="G1" s="1134"/>
      <c r="H1" s="1134"/>
      <c r="I1" s="1134"/>
      <c r="J1" s="1134"/>
      <c r="K1" s="1134"/>
      <c r="L1" s="1134"/>
      <c r="M1" s="1134"/>
      <c r="N1" s="1134"/>
      <c r="O1" s="1134"/>
      <c r="P1" s="1134"/>
      <c r="Q1" s="1134"/>
      <c r="R1" s="1134"/>
      <c r="S1" s="1134"/>
      <c r="T1" s="1134"/>
      <c r="U1" s="1134"/>
      <c r="V1" s="757" t="s">
        <v>94</v>
      </c>
    </row>
    <row r="2" spans="1:24" ht="15" x14ac:dyDescent="0.2">
      <c r="A2" s="1136" t="s">
        <v>256</v>
      </c>
      <c r="B2" s="1135" t="s">
        <v>257</v>
      </c>
      <c r="C2" s="1135"/>
      <c r="D2" s="1135"/>
      <c r="E2" s="1135"/>
      <c r="F2" s="1135"/>
      <c r="G2" s="1135"/>
      <c r="H2" s="1138" t="s">
        <v>258</v>
      </c>
      <c r="I2" s="1135" t="s">
        <v>259</v>
      </c>
      <c r="J2" s="1135"/>
      <c r="K2" s="1135"/>
      <c r="L2" s="1135"/>
      <c r="M2" s="1135"/>
      <c r="N2" s="1135"/>
      <c r="O2" s="1138" t="s">
        <v>260</v>
      </c>
      <c r="P2" s="1135" t="s">
        <v>261</v>
      </c>
      <c r="Q2" s="1135"/>
      <c r="R2" s="1135"/>
      <c r="S2" s="1135"/>
      <c r="T2" s="1135"/>
      <c r="U2" s="1135"/>
    </row>
    <row r="3" spans="1:24" ht="15" x14ac:dyDescent="0.25">
      <c r="A3" s="1136"/>
      <c r="B3" s="1130" t="s">
        <v>262</v>
      </c>
      <c r="C3" s="1130"/>
      <c r="D3" s="1130"/>
      <c r="E3" s="1130"/>
      <c r="F3" s="1130"/>
      <c r="G3" s="1130"/>
      <c r="H3" s="1138"/>
      <c r="I3" s="1130" t="s">
        <v>262</v>
      </c>
      <c r="J3" s="1130"/>
      <c r="K3" s="1130"/>
      <c r="L3" s="1130"/>
      <c r="M3" s="1130"/>
      <c r="N3" s="1130"/>
      <c r="O3" s="1138"/>
      <c r="P3" s="1131" t="s">
        <v>262</v>
      </c>
      <c r="Q3" s="1131"/>
      <c r="R3" s="1131"/>
      <c r="S3" s="1131"/>
      <c r="T3" s="1131"/>
      <c r="U3" s="1131"/>
    </row>
    <row r="4" spans="1:24" x14ac:dyDescent="0.2">
      <c r="A4" s="1136"/>
      <c r="B4" s="1126" t="s">
        <v>263</v>
      </c>
      <c r="C4" s="1126"/>
      <c r="D4" s="1126"/>
      <c r="E4" s="1126"/>
      <c r="F4" s="1126" t="s">
        <v>264</v>
      </c>
      <c r="G4" s="1126" t="s">
        <v>195</v>
      </c>
      <c r="H4" s="1138"/>
      <c r="I4" s="1126" t="str">
        <f>B4</f>
        <v>Setting VAC</v>
      </c>
      <c r="J4" s="1126"/>
      <c r="K4" s="1126"/>
      <c r="L4" s="1126"/>
      <c r="M4" s="1126" t="s">
        <v>264</v>
      </c>
      <c r="N4" s="1126" t="s">
        <v>195</v>
      </c>
      <c r="O4" s="1138"/>
      <c r="P4" s="1126" t="str">
        <f>B4</f>
        <v>Setting VAC</v>
      </c>
      <c r="Q4" s="1126"/>
      <c r="R4" s="1126"/>
      <c r="S4" s="1126"/>
      <c r="T4" s="1126" t="s">
        <v>264</v>
      </c>
      <c r="U4" s="1126" t="s">
        <v>195</v>
      </c>
    </row>
    <row r="5" spans="1:24" ht="15" x14ac:dyDescent="0.2">
      <c r="A5" s="1136"/>
      <c r="B5" s="758" t="s">
        <v>265</v>
      </c>
      <c r="C5" s="759">
        <v>2022</v>
      </c>
      <c r="D5" s="759">
        <v>2020</v>
      </c>
      <c r="E5" s="759">
        <v>2019</v>
      </c>
      <c r="F5" s="1126"/>
      <c r="G5" s="1126"/>
      <c r="H5" s="1138"/>
      <c r="I5" s="758" t="s">
        <v>265</v>
      </c>
      <c r="J5" s="759">
        <v>2022</v>
      </c>
      <c r="K5" s="759">
        <v>2019</v>
      </c>
      <c r="L5" s="760">
        <v>2017</v>
      </c>
      <c r="M5" s="1126"/>
      <c r="N5" s="1126"/>
      <c r="O5" s="1138"/>
      <c r="P5" s="758" t="s">
        <v>265</v>
      </c>
      <c r="Q5" s="759">
        <v>2022</v>
      </c>
      <c r="R5" s="759">
        <v>2021</v>
      </c>
      <c r="S5" s="759">
        <v>2018</v>
      </c>
      <c r="T5" s="1126"/>
      <c r="U5" s="1126"/>
      <c r="V5" s="761"/>
      <c r="W5" s="761"/>
      <c r="X5" s="762"/>
    </row>
    <row r="6" spans="1:24" x14ac:dyDescent="0.2">
      <c r="A6" s="1136"/>
      <c r="B6" s="763">
        <v>150</v>
      </c>
      <c r="C6" s="764">
        <v>0.35</v>
      </c>
      <c r="D6" s="764">
        <v>0.31</v>
      </c>
      <c r="E6" s="764">
        <v>0.76</v>
      </c>
      <c r="F6" s="765">
        <f>0.5*(MAX(C6:E6)-MIN(C6:E6))</f>
        <v>0.22500000000000001</v>
      </c>
      <c r="G6" s="765">
        <f t="shared" ref="G6:G11" si="0">(1.2/100)*B6</f>
        <v>1.8</v>
      </c>
      <c r="H6" s="1138"/>
      <c r="I6" s="763">
        <v>150</v>
      </c>
      <c r="J6" s="766">
        <v>0.22</v>
      </c>
      <c r="K6" s="766">
        <v>0.15</v>
      </c>
      <c r="L6" s="766">
        <v>0.23</v>
      </c>
      <c r="M6" s="765">
        <f>0.5*(MAX(J6:L6)-MIN(J6:L6))</f>
        <v>4.0000000000000008E-2</v>
      </c>
      <c r="N6" s="765">
        <f t="shared" ref="N6:N11" si="1">(1.2/100)*I6</f>
        <v>1.8</v>
      </c>
      <c r="O6" s="1138"/>
      <c r="P6" s="763">
        <v>150</v>
      </c>
      <c r="Q6" s="766">
        <v>-1.43</v>
      </c>
      <c r="R6" s="766">
        <v>-1.6</v>
      </c>
      <c r="S6" s="766">
        <v>-7.0000000000000007E-2</v>
      </c>
      <c r="T6" s="765">
        <f>0.5*(MAX(Q6:S6)-MIN(Q6:S6))</f>
        <v>0.76500000000000001</v>
      </c>
      <c r="U6" s="765">
        <f>(1.2/100)*P6</f>
        <v>1.8</v>
      </c>
      <c r="V6" s="412"/>
      <c r="W6" s="767"/>
      <c r="X6" s="762"/>
    </row>
    <row r="7" spans="1:24" x14ac:dyDescent="0.2">
      <c r="A7" s="1136"/>
      <c r="B7" s="763">
        <v>180</v>
      </c>
      <c r="C7" s="764">
        <v>-0.1</v>
      </c>
      <c r="D7" s="764">
        <v>0.1</v>
      </c>
      <c r="E7" s="764">
        <v>-0.03</v>
      </c>
      <c r="F7" s="765">
        <f t="shared" ref="F7:F11" si="2">0.5*(MAX(C7:E7)-MIN(C7:E7))</f>
        <v>0.1</v>
      </c>
      <c r="G7" s="765">
        <f t="shared" si="0"/>
        <v>2.16</v>
      </c>
      <c r="H7" s="1138"/>
      <c r="I7" s="763">
        <v>180</v>
      </c>
      <c r="J7" s="766">
        <v>0.1</v>
      </c>
      <c r="K7" s="766">
        <v>0.12</v>
      </c>
      <c r="L7" s="766">
        <v>-0.06</v>
      </c>
      <c r="M7" s="765">
        <f t="shared" ref="M7:M11" si="3">0.5*(MAX(J7:L7)-MIN(J7:L7))</f>
        <v>0.09</v>
      </c>
      <c r="N7" s="765">
        <f t="shared" si="1"/>
        <v>2.16</v>
      </c>
      <c r="O7" s="1138"/>
      <c r="P7" s="763">
        <v>180</v>
      </c>
      <c r="Q7" s="766">
        <v>-1.81</v>
      </c>
      <c r="R7" s="766">
        <v>-1.9</v>
      </c>
      <c r="S7" s="766">
        <v>-0.13</v>
      </c>
      <c r="T7" s="765">
        <f t="shared" ref="T7:T11" si="4">0.5*(MAX(Q7:S7)-MIN(Q7:S7))</f>
        <v>0.88500000000000001</v>
      </c>
      <c r="U7" s="765">
        <f t="shared" ref="U7:U11" si="5">(1.2/100)*P7</f>
        <v>2.16</v>
      </c>
      <c r="V7" s="412"/>
      <c r="W7" s="767"/>
      <c r="X7" s="762"/>
    </row>
    <row r="8" spans="1:24" x14ac:dyDescent="0.2">
      <c r="A8" s="1136"/>
      <c r="B8" s="764">
        <v>200</v>
      </c>
      <c r="C8" s="764">
        <v>-0.17</v>
      </c>
      <c r="D8" s="764">
        <v>-0.04</v>
      </c>
      <c r="E8" s="764">
        <v>-0.16</v>
      </c>
      <c r="F8" s="765">
        <f t="shared" si="2"/>
        <v>6.5000000000000002E-2</v>
      </c>
      <c r="G8" s="765">
        <f t="shared" si="0"/>
        <v>2.4</v>
      </c>
      <c r="H8" s="1138"/>
      <c r="I8" s="764">
        <v>200</v>
      </c>
      <c r="J8" s="766">
        <v>0.09</v>
      </c>
      <c r="K8" s="766">
        <v>0.06</v>
      </c>
      <c r="L8" s="766">
        <v>-0.18</v>
      </c>
      <c r="M8" s="765">
        <f t="shared" si="3"/>
        <v>0.13500000000000001</v>
      </c>
      <c r="N8" s="765">
        <f t="shared" si="1"/>
        <v>2.4</v>
      </c>
      <c r="O8" s="1138"/>
      <c r="P8" s="763">
        <v>200</v>
      </c>
      <c r="Q8" s="766">
        <v>-2.0499999999999998</v>
      </c>
      <c r="R8" s="766">
        <v>-2.14</v>
      </c>
      <c r="S8" s="766">
        <v>-0.26</v>
      </c>
      <c r="T8" s="765">
        <f t="shared" si="4"/>
        <v>0.94000000000000006</v>
      </c>
      <c r="U8" s="765">
        <f t="shared" si="5"/>
        <v>2.4</v>
      </c>
      <c r="V8" s="412"/>
      <c r="W8" s="767"/>
      <c r="X8" s="762"/>
    </row>
    <row r="9" spans="1:24" x14ac:dyDescent="0.2">
      <c r="A9" s="1136"/>
      <c r="B9" s="764">
        <v>220</v>
      </c>
      <c r="C9" s="764">
        <v>-0.27</v>
      </c>
      <c r="D9" s="764">
        <v>-0.28000000000000003</v>
      </c>
      <c r="E9" s="764">
        <v>-0.18</v>
      </c>
      <c r="F9" s="765">
        <f t="shared" si="2"/>
        <v>5.0000000000000017E-2</v>
      </c>
      <c r="G9" s="765">
        <f t="shared" si="0"/>
        <v>2.64</v>
      </c>
      <c r="H9" s="1138"/>
      <c r="I9" s="764">
        <v>220</v>
      </c>
      <c r="J9" s="766">
        <v>0.53</v>
      </c>
      <c r="K9" s="766">
        <v>0.05</v>
      </c>
      <c r="L9" s="766">
        <v>-0.03</v>
      </c>
      <c r="M9" s="765">
        <f t="shared" si="3"/>
        <v>0.28000000000000003</v>
      </c>
      <c r="N9" s="765">
        <f t="shared" si="1"/>
        <v>2.64</v>
      </c>
      <c r="O9" s="1138"/>
      <c r="P9" s="764">
        <v>220</v>
      </c>
      <c r="Q9" s="766">
        <v>-2.29</v>
      </c>
      <c r="R9" s="766">
        <v>-3.44</v>
      </c>
      <c r="S9" s="766">
        <v>-0.28999999999999998</v>
      </c>
      <c r="T9" s="765">
        <f t="shared" si="4"/>
        <v>1.575</v>
      </c>
      <c r="U9" s="765">
        <f t="shared" si="5"/>
        <v>2.64</v>
      </c>
      <c r="V9" s="412"/>
      <c r="W9" s="767"/>
      <c r="X9" s="762"/>
    </row>
    <row r="10" spans="1:24" x14ac:dyDescent="0.2">
      <c r="A10" s="1136"/>
      <c r="B10" s="764">
        <v>230</v>
      </c>
      <c r="C10" s="764">
        <v>0.64</v>
      </c>
      <c r="D10" s="764">
        <v>-0.2</v>
      </c>
      <c r="E10" s="764">
        <v>-0.26</v>
      </c>
      <c r="F10" s="765">
        <f t="shared" si="2"/>
        <v>0.45</v>
      </c>
      <c r="G10" s="765">
        <f t="shared" si="0"/>
        <v>2.7600000000000002</v>
      </c>
      <c r="H10" s="1138"/>
      <c r="I10" s="764">
        <v>230</v>
      </c>
      <c r="J10" s="764">
        <v>1.08</v>
      </c>
      <c r="K10" s="764">
        <v>9.9999999999999995E-7</v>
      </c>
      <c r="L10" s="764">
        <v>0.05</v>
      </c>
      <c r="M10" s="765">
        <f t="shared" si="3"/>
        <v>0.53999950000000008</v>
      </c>
      <c r="N10" s="765">
        <f t="shared" si="1"/>
        <v>2.7600000000000002</v>
      </c>
      <c r="O10" s="1138"/>
      <c r="P10" s="764">
        <v>230</v>
      </c>
      <c r="Q10" s="766">
        <v>-11.79</v>
      </c>
      <c r="R10" s="766">
        <v>-2.52</v>
      </c>
      <c r="S10" s="766">
        <v>-0.23</v>
      </c>
      <c r="T10" s="765">
        <f t="shared" si="4"/>
        <v>5.7799999999999994</v>
      </c>
      <c r="U10" s="765">
        <f t="shared" si="5"/>
        <v>2.7600000000000002</v>
      </c>
      <c r="V10" s="412"/>
      <c r="W10" s="767"/>
      <c r="X10" s="762"/>
    </row>
    <row r="11" spans="1:24" x14ac:dyDescent="0.2">
      <c r="A11" s="1136"/>
      <c r="B11" s="764">
        <v>250</v>
      </c>
      <c r="C11" s="764">
        <v>-0.36</v>
      </c>
      <c r="D11" s="764">
        <v>-0.32</v>
      </c>
      <c r="E11" s="764">
        <v>9.9999999999999995E-7</v>
      </c>
      <c r="F11" s="765">
        <f t="shared" si="2"/>
        <v>0.18000049999999998</v>
      </c>
      <c r="G11" s="765">
        <f t="shared" si="0"/>
        <v>3</v>
      </c>
      <c r="H11" s="1138"/>
      <c r="I11" s="764">
        <v>250</v>
      </c>
      <c r="J11" s="764">
        <v>9.9999999999999995E-7</v>
      </c>
      <c r="K11" s="764">
        <v>9.9999999999999995E-7</v>
      </c>
      <c r="L11" s="764">
        <v>9.9999999999999995E-7</v>
      </c>
      <c r="M11" s="765">
        <f t="shared" si="3"/>
        <v>0</v>
      </c>
      <c r="N11" s="765">
        <f t="shared" si="1"/>
        <v>3</v>
      </c>
      <c r="O11" s="1138"/>
      <c r="P11" s="764">
        <v>250</v>
      </c>
      <c r="Q11" s="766">
        <v>9.9999999999999995E-7</v>
      </c>
      <c r="R11" s="766">
        <v>9.9999999999999995E-7</v>
      </c>
      <c r="S11" s="766">
        <v>9.9999999999999995E-7</v>
      </c>
      <c r="T11" s="765">
        <f t="shared" si="4"/>
        <v>0</v>
      </c>
      <c r="U11" s="765">
        <f t="shared" si="5"/>
        <v>3</v>
      </c>
      <c r="V11" s="412"/>
      <c r="W11" s="767"/>
      <c r="X11" s="762"/>
    </row>
    <row r="12" spans="1:24" ht="12.95" customHeight="1" x14ac:dyDescent="0.2">
      <c r="A12" s="1136"/>
      <c r="B12" s="1127" t="s">
        <v>266</v>
      </c>
      <c r="C12" s="1127"/>
      <c r="D12" s="1127"/>
      <c r="E12" s="1127"/>
      <c r="F12" s="1126" t="s">
        <v>264</v>
      </c>
      <c r="G12" s="1126" t="s">
        <v>195</v>
      </c>
      <c r="H12" s="1138"/>
      <c r="I12" s="1127" t="str">
        <f>B12</f>
        <v>Current Leakage</v>
      </c>
      <c r="J12" s="1127"/>
      <c r="K12" s="1127"/>
      <c r="L12" s="1127"/>
      <c r="M12" s="1126" t="s">
        <v>264</v>
      </c>
      <c r="N12" s="1126" t="s">
        <v>195</v>
      </c>
      <c r="O12" s="1138"/>
      <c r="P12" s="1127" t="str">
        <f>B12</f>
        <v>Current Leakage</v>
      </c>
      <c r="Q12" s="1127"/>
      <c r="R12" s="1127"/>
      <c r="S12" s="1127"/>
      <c r="T12" s="1126" t="s">
        <v>264</v>
      </c>
      <c r="U12" s="1126" t="s">
        <v>195</v>
      </c>
      <c r="V12" s="762"/>
      <c r="W12" s="762"/>
      <c r="X12" s="762"/>
    </row>
    <row r="13" spans="1:24" ht="15" x14ac:dyDescent="0.2">
      <c r="A13" s="1136"/>
      <c r="B13" s="758" t="s">
        <v>267</v>
      </c>
      <c r="C13" s="759">
        <f>C5</f>
        <v>2022</v>
      </c>
      <c r="D13" s="759">
        <f>D5</f>
        <v>2020</v>
      </c>
      <c r="E13" s="759">
        <f>E5</f>
        <v>2019</v>
      </c>
      <c r="F13" s="1126"/>
      <c r="G13" s="1126"/>
      <c r="H13" s="1138"/>
      <c r="I13" s="758" t="s">
        <v>267</v>
      </c>
      <c r="J13" s="759">
        <f>J5</f>
        <v>2022</v>
      </c>
      <c r="K13" s="759">
        <f>K5</f>
        <v>2019</v>
      </c>
      <c r="L13" s="759">
        <f>L5</f>
        <v>2017</v>
      </c>
      <c r="M13" s="1126"/>
      <c r="N13" s="1126"/>
      <c r="O13" s="1138"/>
      <c r="P13" s="758" t="s">
        <v>267</v>
      </c>
      <c r="Q13" s="759">
        <f>Q5</f>
        <v>2022</v>
      </c>
      <c r="R13" s="759">
        <f>R5</f>
        <v>2021</v>
      </c>
      <c r="S13" s="759">
        <f>S5</f>
        <v>2018</v>
      </c>
      <c r="T13" s="1126"/>
      <c r="U13" s="1126"/>
      <c r="V13" s="762"/>
      <c r="W13" s="762"/>
      <c r="X13" s="762"/>
    </row>
    <row r="14" spans="1:24" x14ac:dyDescent="0.2">
      <c r="A14" s="1136"/>
      <c r="B14" s="764">
        <v>9.9999999999999995E-7</v>
      </c>
      <c r="C14" s="764">
        <v>9.9999999999999995E-7</v>
      </c>
      <c r="D14" s="764">
        <v>9.9999999999999995E-7</v>
      </c>
      <c r="E14" s="764">
        <v>9.9999999999999995E-7</v>
      </c>
      <c r="F14" s="765">
        <f>0.5*(MAX(C14:E14)-MIN(C14:E14))</f>
        <v>0</v>
      </c>
      <c r="G14" s="765">
        <f t="shared" ref="G14:G19" si="6">(0.59/100)*B14</f>
        <v>5.8999999999999999E-9</v>
      </c>
      <c r="H14" s="1138"/>
      <c r="I14" s="764">
        <v>9.9999999999999995E-7</v>
      </c>
      <c r="J14" s="764">
        <v>9.9999999999999995E-7</v>
      </c>
      <c r="K14" s="764">
        <v>9.9999999999999995E-7</v>
      </c>
      <c r="L14" s="764">
        <v>9.9999999999999995E-7</v>
      </c>
      <c r="M14" s="765">
        <f>0.5*(MAX(J14:L14)-MIN(J14:L14))</f>
        <v>0</v>
      </c>
      <c r="N14" s="765">
        <f t="shared" ref="N14:N19" si="7">(0.59/100)*I14</f>
        <v>5.8999999999999999E-9</v>
      </c>
      <c r="O14" s="1138"/>
      <c r="P14" s="764">
        <v>9.9999999999999995E-7</v>
      </c>
      <c r="Q14" s="764">
        <v>9.9999999999999995E-7</v>
      </c>
      <c r="R14" s="764">
        <v>9.9999999999999995E-7</v>
      </c>
      <c r="S14" s="764">
        <v>9.9999999999999995E-7</v>
      </c>
      <c r="T14" s="765">
        <f>0.5*(MAX(Q14:S14)-MIN(Q14:S14))</f>
        <v>0</v>
      </c>
      <c r="U14" s="765">
        <f t="shared" ref="U14:U19" si="8">(0.59/100)*P14</f>
        <v>5.8999999999999999E-9</v>
      </c>
      <c r="V14" s="762"/>
      <c r="W14" s="762"/>
      <c r="X14" s="762"/>
    </row>
    <row r="15" spans="1:24" x14ac:dyDescent="0.2">
      <c r="A15" s="1136"/>
      <c r="B15" s="764">
        <v>50</v>
      </c>
      <c r="C15" s="764">
        <v>4</v>
      </c>
      <c r="D15" s="764">
        <v>0.1</v>
      </c>
      <c r="E15" s="764">
        <v>-0.06</v>
      </c>
      <c r="F15" s="765">
        <f t="shared" ref="F15:F19" si="9">0.5*(MAX(C15:E15)-MIN(C15:E15))</f>
        <v>2.0299999999999998</v>
      </c>
      <c r="G15" s="765">
        <f t="shared" si="6"/>
        <v>0.29499999999999998</v>
      </c>
      <c r="H15" s="1138"/>
      <c r="I15" s="764">
        <v>50</v>
      </c>
      <c r="J15" s="766">
        <v>1</v>
      </c>
      <c r="K15" s="766">
        <v>-0.08</v>
      </c>
      <c r="L15" s="766">
        <v>0.1</v>
      </c>
      <c r="M15" s="765">
        <f t="shared" ref="M15:M19" si="10">0.5*(MAX(J15:L15)-MIN(J15:L15))</f>
        <v>0.54</v>
      </c>
      <c r="N15" s="765">
        <f t="shared" si="7"/>
        <v>0.29499999999999998</v>
      </c>
      <c r="O15" s="1138"/>
      <c r="P15" s="764">
        <v>50</v>
      </c>
      <c r="Q15" s="766">
        <v>9.1</v>
      </c>
      <c r="R15" s="766">
        <v>-0.62</v>
      </c>
      <c r="S15" s="766">
        <v>2</v>
      </c>
      <c r="T15" s="765">
        <f t="shared" ref="T15:T19" si="11">0.5*(MAX(Q15:S15)-MIN(Q15:S15))</f>
        <v>4.8599999999999994</v>
      </c>
      <c r="U15" s="765">
        <f t="shared" si="8"/>
        <v>0.29499999999999998</v>
      </c>
      <c r="V15" s="762"/>
      <c r="W15" s="762"/>
      <c r="X15" s="762"/>
    </row>
    <row r="16" spans="1:24" x14ac:dyDescent="0.2">
      <c r="A16" s="1136"/>
      <c r="B16" s="764">
        <v>100</v>
      </c>
      <c r="C16" s="764">
        <v>3.6</v>
      </c>
      <c r="D16" s="764">
        <v>0.2</v>
      </c>
      <c r="E16" s="764">
        <v>-0.06</v>
      </c>
      <c r="F16" s="765">
        <f t="shared" si="9"/>
        <v>1.83</v>
      </c>
      <c r="G16" s="765">
        <f t="shared" si="6"/>
        <v>0.59</v>
      </c>
      <c r="H16" s="1138"/>
      <c r="I16" s="764">
        <v>100</v>
      </c>
      <c r="J16" s="764">
        <v>-0.9</v>
      </c>
      <c r="K16" s="764">
        <v>-7.0000000000000007E-2</v>
      </c>
      <c r="L16" s="764">
        <v>2.2000000000000002</v>
      </c>
      <c r="M16" s="765">
        <f t="shared" si="10"/>
        <v>1.55</v>
      </c>
      <c r="N16" s="765">
        <f t="shared" si="7"/>
        <v>0.59</v>
      </c>
      <c r="O16" s="1138"/>
      <c r="P16" s="764">
        <v>100</v>
      </c>
      <c r="Q16" s="766">
        <v>6</v>
      </c>
      <c r="R16" s="766">
        <v>-0.22</v>
      </c>
      <c r="S16" s="766">
        <v>2</v>
      </c>
      <c r="T16" s="765">
        <f t="shared" si="11"/>
        <v>3.11</v>
      </c>
      <c r="U16" s="765">
        <f t="shared" si="8"/>
        <v>0.59</v>
      </c>
      <c r="V16" s="762"/>
      <c r="W16" s="762"/>
      <c r="X16" s="762"/>
    </row>
    <row r="17" spans="1:24" x14ac:dyDescent="0.2">
      <c r="A17" s="1136"/>
      <c r="B17" s="764">
        <v>200</v>
      </c>
      <c r="C17" s="764">
        <v>2.2000000000000002</v>
      </c>
      <c r="D17" s="764">
        <v>0.4</v>
      </c>
      <c r="E17" s="764">
        <v>9.9999999999999995E-7</v>
      </c>
      <c r="F17" s="765">
        <f t="shared" si="9"/>
        <v>1.0999995</v>
      </c>
      <c r="G17" s="765">
        <f t="shared" si="6"/>
        <v>1.18</v>
      </c>
      <c r="H17" s="1138"/>
      <c r="I17" s="764">
        <v>200</v>
      </c>
      <c r="J17" s="766">
        <v>-6.4</v>
      </c>
      <c r="K17" s="766">
        <v>-0.1</v>
      </c>
      <c r="L17" s="766">
        <v>3.3</v>
      </c>
      <c r="M17" s="765">
        <f t="shared" si="10"/>
        <v>4.8499999999999996</v>
      </c>
      <c r="N17" s="765">
        <f t="shared" si="7"/>
        <v>1.18</v>
      </c>
      <c r="O17" s="1138"/>
      <c r="P17" s="764">
        <v>200</v>
      </c>
      <c r="Q17" s="766">
        <v>-3.6</v>
      </c>
      <c r="R17" s="766">
        <v>-0.1</v>
      </c>
      <c r="S17" s="766">
        <v>3.6</v>
      </c>
      <c r="T17" s="765">
        <f t="shared" si="11"/>
        <v>3.6</v>
      </c>
      <c r="U17" s="765">
        <f t="shared" si="8"/>
        <v>1.18</v>
      </c>
      <c r="V17" s="762"/>
      <c r="W17" s="762"/>
      <c r="X17" s="762"/>
    </row>
    <row r="18" spans="1:24" x14ac:dyDescent="0.2">
      <c r="A18" s="1136"/>
      <c r="B18" s="764">
        <v>500</v>
      </c>
      <c r="C18" s="764">
        <v>-2</v>
      </c>
      <c r="D18" s="764">
        <v>3.8</v>
      </c>
      <c r="E18" s="764">
        <v>-0.9</v>
      </c>
      <c r="F18" s="765">
        <f t="shared" si="9"/>
        <v>2.9</v>
      </c>
      <c r="G18" s="765">
        <f t="shared" si="6"/>
        <v>2.9499999999999997</v>
      </c>
      <c r="H18" s="1138"/>
      <c r="I18" s="764">
        <v>500</v>
      </c>
      <c r="J18" s="766">
        <v>-21.7</v>
      </c>
      <c r="K18" s="766">
        <v>0.8</v>
      </c>
      <c r="L18" s="766">
        <v>2</v>
      </c>
      <c r="M18" s="765">
        <f t="shared" si="10"/>
        <v>11.85</v>
      </c>
      <c r="N18" s="765">
        <f t="shared" si="7"/>
        <v>2.9499999999999997</v>
      </c>
      <c r="O18" s="1138"/>
      <c r="P18" s="764">
        <v>500</v>
      </c>
      <c r="Q18" s="766">
        <v>-18.8</v>
      </c>
      <c r="R18" s="766">
        <v>-1.1000000000000001</v>
      </c>
      <c r="S18" s="766">
        <v>2.9</v>
      </c>
      <c r="T18" s="765">
        <f t="shared" si="11"/>
        <v>10.85</v>
      </c>
      <c r="U18" s="765">
        <f t="shared" si="8"/>
        <v>2.9499999999999997</v>
      </c>
      <c r="V18" s="762"/>
      <c r="W18" s="762"/>
      <c r="X18" s="762"/>
    </row>
    <row r="19" spans="1:24" x14ac:dyDescent="0.2">
      <c r="A19" s="1136"/>
      <c r="B19" s="764">
        <v>1000</v>
      </c>
      <c r="C19" s="764">
        <v>-26</v>
      </c>
      <c r="D19" s="764">
        <v>9.9999999999999995E-7</v>
      </c>
      <c r="E19" s="764">
        <v>9.9999999999999995E-7</v>
      </c>
      <c r="F19" s="765">
        <f t="shared" si="9"/>
        <v>13.000000500000001</v>
      </c>
      <c r="G19" s="765">
        <f t="shared" si="6"/>
        <v>5.8999999999999995</v>
      </c>
      <c r="H19" s="1138"/>
      <c r="I19" s="764">
        <v>1000</v>
      </c>
      <c r="J19" s="764">
        <v>-67</v>
      </c>
      <c r="K19" s="764">
        <v>9.9999999999999995E-7</v>
      </c>
      <c r="L19" s="764">
        <v>9.9999999999999995E-7</v>
      </c>
      <c r="M19" s="765">
        <f t="shared" si="10"/>
        <v>33.500000499999999</v>
      </c>
      <c r="N19" s="765">
        <f t="shared" si="7"/>
        <v>5.8999999999999995</v>
      </c>
      <c r="O19" s="1138"/>
      <c r="P19" s="764">
        <v>1000</v>
      </c>
      <c r="Q19" s="766">
        <v>-47</v>
      </c>
      <c r="R19" s="766">
        <v>3</v>
      </c>
      <c r="S19" s="766">
        <v>3</v>
      </c>
      <c r="T19" s="765">
        <f t="shared" si="11"/>
        <v>25</v>
      </c>
      <c r="U19" s="765">
        <f t="shared" si="8"/>
        <v>5.8999999999999995</v>
      </c>
      <c r="V19" s="762"/>
      <c r="W19" s="762"/>
      <c r="X19" s="762"/>
    </row>
    <row r="20" spans="1:24" x14ac:dyDescent="0.2">
      <c r="A20" s="1136"/>
      <c r="B20" s="1127" t="s">
        <v>268</v>
      </c>
      <c r="C20" s="1127"/>
      <c r="D20" s="1127"/>
      <c r="E20" s="1127"/>
      <c r="F20" s="1126" t="s">
        <v>264</v>
      </c>
      <c r="G20" s="1126" t="s">
        <v>195</v>
      </c>
      <c r="H20" s="1138"/>
      <c r="I20" s="1127" t="str">
        <f>B20</f>
        <v>Main-PE</v>
      </c>
      <c r="J20" s="1127"/>
      <c r="K20" s="1127"/>
      <c r="L20" s="1127"/>
      <c r="M20" s="1126" t="s">
        <v>264</v>
      </c>
      <c r="N20" s="1126" t="s">
        <v>195</v>
      </c>
      <c r="O20" s="1138"/>
      <c r="P20" s="1127" t="str">
        <f>B20</f>
        <v>Main-PE</v>
      </c>
      <c r="Q20" s="1127"/>
      <c r="R20" s="1127"/>
      <c r="S20" s="1127"/>
      <c r="T20" s="1126" t="s">
        <v>264</v>
      </c>
      <c r="U20" s="1126" t="s">
        <v>195</v>
      </c>
      <c r="V20" s="762"/>
      <c r="W20" s="762"/>
      <c r="X20" s="762"/>
    </row>
    <row r="21" spans="1:24" ht="15" x14ac:dyDescent="0.2">
      <c r="A21" s="1136"/>
      <c r="B21" s="758" t="s">
        <v>383</v>
      </c>
      <c r="C21" s="759">
        <f>C5</f>
        <v>2022</v>
      </c>
      <c r="D21" s="759">
        <f>D5</f>
        <v>2020</v>
      </c>
      <c r="E21" s="759">
        <f>E5</f>
        <v>2019</v>
      </c>
      <c r="F21" s="1126"/>
      <c r="G21" s="1126"/>
      <c r="H21" s="1138"/>
      <c r="I21" s="758" t="s">
        <v>383</v>
      </c>
      <c r="J21" s="759">
        <f>J5</f>
        <v>2022</v>
      </c>
      <c r="K21" s="759">
        <f>K5</f>
        <v>2019</v>
      </c>
      <c r="L21" s="759">
        <f>L5</f>
        <v>2017</v>
      </c>
      <c r="M21" s="1126"/>
      <c r="N21" s="1126"/>
      <c r="O21" s="1138"/>
      <c r="P21" s="758" t="s">
        <v>383</v>
      </c>
      <c r="Q21" s="759">
        <f>Q5</f>
        <v>2022</v>
      </c>
      <c r="R21" s="759">
        <f>R5</f>
        <v>2021</v>
      </c>
      <c r="S21" s="759">
        <f>S5</f>
        <v>2018</v>
      </c>
      <c r="T21" s="1126"/>
      <c r="U21" s="1126"/>
      <c r="V21" s="762"/>
      <c r="W21" s="762"/>
      <c r="X21" s="762"/>
    </row>
    <row r="22" spans="1:24" x14ac:dyDescent="0.2">
      <c r="A22" s="1136"/>
      <c r="B22" s="764">
        <v>10</v>
      </c>
      <c r="C22" s="764">
        <v>9.9999999999999995E-7</v>
      </c>
      <c r="D22" s="764">
        <v>-1E-3</v>
      </c>
      <c r="E22" s="764">
        <v>9.9999999999999995E-7</v>
      </c>
      <c r="F22" s="765">
        <f>0.5*(MAX(C22:E22)-MIN(C22:E22))</f>
        <v>5.0049999999999997E-4</v>
      </c>
      <c r="G22" s="765">
        <f>(1.7/100)*B22</f>
        <v>0.17</v>
      </c>
      <c r="H22" s="1138"/>
      <c r="I22" s="764">
        <v>10</v>
      </c>
      <c r="J22" s="764">
        <v>9.9999999999999995E-7</v>
      </c>
      <c r="K22" s="764">
        <v>0.1</v>
      </c>
      <c r="L22" s="764">
        <v>9.9999999999999995E-7</v>
      </c>
      <c r="M22" s="765">
        <f>0.5*(MAX(J22:L22)-MIN(J22:L22))</f>
        <v>4.9999500000000002E-2</v>
      </c>
      <c r="N22" s="765">
        <f>(1.7/100)*I22</f>
        <v>0.17</v>
      </c>
      <c r="O22" s="1138"/>
      <c r="P22" s="764">
        <v>5</v>
      </c>
      <c r="Q22" s="766">
        <v>9.9999999999999995E-7</v>
      </c>
      <c r="R22" s="766">
        <v>9.9999999999999995E-7</v>
      </c>
      <c r="S22" s="766">
        <v>9.9999999999999995E-7</v>
      </c>
      <c r="T22" s="765">
        <f>0.5*(MAX(Q22:S22)-MIN(Q22:S22))</f>
        <v>0</v>
      </c>
      <c r="U22" s="765">
        <f>(1.7/100)*P22</f>
        <v>8.5000000000000006E-2</v>
      </c>
      <c r="V22" s="762"/>
      <c r="W22" s="762"/>
      <c r="X22" s="762"/>
    </row>
    <row r="23" spans="1:24" x14ac:dyDescent="0.2">
      <c r="A23" s="1136"/>
      <c r="B23" s="764">
        <v>20</v>
      </c>
      <c r="C23" s="764">
        <v>0.1</v>
      </c>
      <c r="D23" s="764">
        <v>9.9999999999999995E-7</v>
      </c>
      <c r="E23" s="764">
        <v>9.9999999999999995E-7</v>
      </c>
      <c r="F23" s="765">
        <f t="shared" ref="F23:F25" si="12">0.5*(MAX(C23:E23)-MIN(C23:E23))</f>
        <v>4.9999500000000002E-2</v>
      </c>
      <c r="G23" s="765">
        <f t="shared" ref="G23:G25" si="13">(1.7/100)*B23</f>
        <v>0.34</v>
      </c>
      <c r="H23" s="1138"/>
      <c r="I23" s="764">
        <v>20</v>
      </c>
      <c r="J23" s="764">
        <v>0.1</v>
      </c>
      <c r="K23" s="764">
        <v>0.2</v>
      </c>
      <c r="L23" s="764">
        <v>0.1</v>
      </c>
      <c r="M23" s="765">
        <f t="shared" ref="M23:M25" si="14">0.5*(MAX(J23:L23)-MIN(J23:L23))</f>
        <v>0.05</v>
      </c>
      <c r="N23" s="765">
        <f t="shared" ref="N23:N25" si="15">(1.7/100)*I23</f>
        <v>0.34</v>
      </c>
      <c r="O23" s="1138"/>
      <c r="P23" s="764">
        <v>10</v>
      </c>
      <c r="Q23" s="766">
        <v>9.9999999999999995E-7</v>
      </c>
      <c r="R23" s="766">
        <v>9.9999999999999995E-7</v>
      </c>
      <c r="S23" s="766">
        <v>9.9999999999999995E-7</v>
      </c>
      <c r="T23" s="765">
        <f t="shared" ref="T23:T25" si="16">0.5*(MAX(Q23:S23)-MIN(Q23:S23))</f>
        <v>0</v>
      </c>
      <c r="U23" s="765">
        <f>(1.7/100)*P23</f>
        <v>0.17</v>
      </c>
      <c r="V23" s="762"/>
      <c r="W23" s="762"/>
      <c r="X23" s="762"/>
    </row>
    <row r="24" spans="1:24" x14ac:dyDescent="0.2">
      <c r="A24" s="1136"/>
      <c r="B24" s="764">
        <v>50</v>
      </c>
      <c r="C24" s="764">
        <v>0.3</v>
      </c>
      <c r="D24" s="764">
        <v>9.9999999999999995E-7</v>
      </c>
      <c r="E24" s="764">
        <v>9.9999999999999995E-7</v>
      </c>
      <c r="F24" s="765">
        <f t="shared" si="12"/>
        <v>0.14999950000000001</v>
      </c>
      <c r="G24" s="765">
        <f t="shared" si="13"/>
        <v>0.85000000000000009</v>
      </c>
      <c r="H24" s="1138"/>
      <c r="I24" s="764">
        <v>50</v>
      </c>
      <c r="J24" s="764">
        <v>0.2</v>
      </c>
      <c r="K24" s="764">
        <v>0.3</v>
      </c>
      <c r="L24" s="764">
        <v>0.1</v>
      </c>
      <c r="M24" s="765">
        <f t="shared" si="14"/>
        <v>9.9999999999999992E-2</v>
      </c>
      <c r="N24" s="765">
        <f t="shared" si="15"/>
        <v>0.85000000000000009</v>
      </c>
      <c r="O24" s="1138"/>
      <c r="P24" s="764">
        <v>20</v>
      </c>
      <c r="Q24" s="766">
        <v>9.9999999999999995E-7</v>
      </c>
      <c r="R24" s="766">
        <v>0.4</v>
      </c>
      <c r="S24" s="766">
        <v>0.3</v>
      </c>
      <c r="T24" s="765">
        <f t="shared" si="16"/>
        <v>0.19999950000000002</v>
      </c>
      <c r="U24" s="765">
        <f>(1.7/100)*P24</f>
        <v>0.34</v>
      </c>
      <c r="V24" s="762"/>
      <c r="W24" s="762"/>
      <c r="X24" s="762"/>
    </row>
    <row r="25" spans="1:24" x14ac:dyDescent="0.2">
      <c r="A25" s="1136"/>
      <c r="B25" s="764">
        <v>100</v>
      </c>
      <c r="C25" s="764">
        <v>0.4</v>
      </c>
      <c r="D25" s="764">
        <v>9.9999999999999995E-7</v>
      </c>
      <c r="E25" s="764">
        <v>9.9999999999999995E-7</v>
      </c>
      <c r="F25" s="765">
        <f t="shared" si="12"/>
        <v>0.19999950000000002</v>
      </c>
      <c r="G25" s="765">
        <f t="shared" si="13"/>
        <v>1.7000000000000002</v>
      </c>
      <c r="H25" s="1138"/>
      <c r="I25" s="764">
        <v>100</v>
      </c>
      <c r="J25" s="764">
        <v>0.2</v>
      </c>
      <c r="K25" s="764">
        <v>0.3</v>
      </c>
      <c r="L25" s="764">
        <v>9.9999999999999995E-7</v>
      </c>
      <c r="M25" s="765">
        <f t="shared" si="14"/>
        <v>0.14999950000000001</v>
      </c>
      <c r="N25" s="765">
        <f t="shared" si="15"/>
        <v>1.7000000000000002</v>
      </c>
      <c r="O25" s="1138"/>
      <c r="P25" s="764">
        <v>50</v>
      </c>
      <c r="Q25" s="766">
        <v>0.1</v>
      </c>
      <c r="R25" s="766">
        <v>1.1000000000000001</v>
      </c>
      <c r="S25" s="766">
        <v>0.6</v>
      </c>
      <c r="T25" s="765">
        <f t="shared" si="16"/>
        <v>0.5</v>
      </c>
      <c r="U25" s="765">
        <f>(1.7/100)*P25</f>
        <v>0.85000000000000009</v>
      </c>
      <c r="V25" s="762"/>
      <c r="W25" s="762"/>
      <c r="X25" s="762"/>
    </row>
    <row r="26" spans="1:24" ht="12.95" customHeight="1" x14ac:dyDescent="0.2">
      <c r="A26" s="1136"/>
      <c r="B26" s="1127" t="s">
        <v>269</v>
      </c>
      <c r="C26" s="1127"/>
      <c r="D26" s="1127"/>
      <c r="E26" s="1127"/>
      <c r="F26" s="1126" t="s">
        <v>264</v>
      </c>
      <c r="G26" s="1126" t="s">
        <v>195</v>
      </c>
      <c r="H26" s="1138"/>
      <c r="I26" s="1127" t="str">
        <f>B26</f>
        <v>Resistance</v>
      </c>
      <c r="J26" s="1127"/>
      <c r="K26" s="1127"/>
      <c r="L26" s="1127"/>
      <c r="M26" s="1126" t="s">
        <v>264</v>
      </c>
      <c r="N26" s="1126" t="s">
        <v>195</v>
      </c>
      <c r="O26" s="1138"/>
      <c r="P26" s="1127" t="str">
        <f>B26</f>
        <v>Resistance</v>
      </c>
      <c r="Q26" s="1127"/>
      <c r="R26" s="1127"/>
      <c r="S26" s="1127"/>
      <c r="T26" s="1126" t="s">
        <v>264</v>
      </c>
      <c r="U26" s="1126" t="s">
        <v>195</v>
      </c>
      <c r="V26" s="762"/>
      <c r="W26" s="762"/>
      <c r="X26" s="762"/>
    </row>
    <row r="27" spans="1:24" ht="15" x14ac:dyDescent="0.2">
      <c r="A27" s="1136"/>
      <c r="B27" s="758" t="s">
        <v>384</v>
      </c>
      <c r="C27" s="759">
        <f>C5</f>
        <v>2022</v>
      </c>
      <c r="D27" s="759">
        <f>D5</f>
        <v>2020</v>
      </c>
      <c r="E27" s="759">
        <f>E5</f>
        <v>2019</v>
      </c>
      <c r="F27" s="1126"/>
      <c r="G27" s="1126"/>
      <c r="H27" s="1138"/>
      <c r="I27" s="758" t="s">
        <v>384</v>
      </c>
      <c r="J27" s="759">
        <f>J5</f>
        <v>2022</v>
      </c>
      <c r="K27" s="759">
        <f>K5</f>
        <v>2019</v>
      </c>
      <c r="L27" s="759">
        <f>L5</f>
        <v>2017</v>
      </c>
      <c r="M27" s="1126"/>
      <c r="N27" s="1126"/>
      <c r="O27" s="1138"/>
      <c r="P27" s="758" t="s">
        <v>384</v>
      </c>
      <c r="Q27" s="759">
        <f>Q5</f>
        <v>2022</v>
      </c>
      <c r="R27" s="759">
        <f>R5</f>
        <v>2021</v>
      </c>
      <c r="S27" s="759">
        <f>S5</f>
        <v>2018</v>
      </c>
      <c r="T27" s="1126"/>
      <c r="U27" s="1126"/>
      <c r="V27" s="762"/>
      <c r="W27" s="762"/>
      <c r="X27" s="762"/>
    </row>
    <row r="28" spans="1:24" x14ac:dyDescent="0.2">
      <c r="A28" s="1136"/>
      <c r="B28" s="764">
        <v>9.9999999999999995E-7</v>
      </c>
      <c r="C28" s="764">
        <v>-2E-3</v>
      </c>
      <c r="D28" s="764">
        <v>9.9999999999999995E-7</v>
      </c>
      <c r="E28" s="764">
        <v>9.9999999999999995E-7</v>
      </c>
      <c r="F28" s="765">
        <f>0.5*(MAX(C28:E28)-MIN(C28:E28))</f>
        <v>1.0005000000000001E-3</v>
      </c>
      <c r="G28" s="765">
        <f>(1.2/100)*B28</f>
        <v>1.2E-8</v>
      </c>
      <c r="H28" s="1138"/>
      <c r="I28" s="764">
        <v>0.01</v>
      </c>
      <c r="J28" s="764">
        <v>9.9999999999999995E-7</v>
      </c>
      <c r="K28" s="764">
        <v>9.9999999999999995E-7</v>
      </c>
      <c r="L28" s="764">
        <v>9.9999999999999995E-7</v>
      </c>
      <c r="M28" s="765">
        <f>0.5*(MAX(J28:L28)-MIN(J28:L28))</f>
        <v>0</v>
      </c>
      <c r="N28" s="765">
        <f>(1.2/100)*I28</f>
        <v>1.2E-4</v>
      </c>
      <c r="O28" s="1138"/>
      <c r="P28" s="764">
        <v>9.9999999999999995E-7</v>
      </c>
      <c r="Q28" s="768">
        <v>-1E-3</v>
      </c>
      <c r="R28" s="768">
        <v>9.9999999999999995E-7</v>
      </c>
      <c r="S28" s="768">
        <v>9.9999999999999995E-7</v>
      </c>
      <c r="T28" s="765">
        <f>0.5*(MAX(Q28:S28)-MIN(Q28:S28))</f>
        <v>5.0049999999999997E-4</v>
      </c>
      <c r="U28" s="765">
        <f>(1.2/100)*P28</f>
        <v>1.2E-8</v>
      </c>
      <c r="V28" s="762"/>
      <c r="W28" s="762"/>
      <c r="X28" s="762"/>
    </row>
    <row r="29" spans="1:24" x14ac:dyDescent="0.2">
      <c r="A29" s="1136"/>
      <c r="B29" s="764">
        <v>0.1</v>
      </c>
      <c r="C29" s="764">
        <v>1E-3</v>
      </c>
      <c r="D29" s="764">
        <v>-1E-3</v>
      </c>
      <c r="E29" s="764">
        <v>2E-3</v>
      </c>
      <c r="F29" s="765">
        <f t="shared" ref="F29:F31" si="17">0.5*(MAX(C29:E29)-MIN(C29:E29))</f>
        <v>1.5E-3</v>
      </c>
      <c r="G29" s="765">
        <f>(1.2/100)*B29</f>
        <v>1.2000000000000001E-3</v>
      </c>
      <c r="H29" s="1138"/>
      <c r="I29" s="764">
        <v>0.1</v>
      </c>
      <c r="J29" s="764">
        <v>5.0000000000000001E-3</v>
      </c>
      <c r="K29" s="764">
        <v>6.0000000000000001E-3</v>
      </c>
      <c r="L29" s="764">
        <v>5.0000000000000001E-3</v>
      </c>
      <c r="M29" s="765">
        <f t="shared" ref="M29:M31" si="18">0.5*(MAX(J29:L29)-MIN(J29:L29))</f>
        <v>5.0000000000000001E-4</v>
      </c>
      <c r="N29" s="765">
        <f>(1.2/100)*I29</f>
        <v>1.2000000000000001E-3</v>
      </c>
      <c r="O29" s="1138"/>
      <c r="P29" s="764">
        <v>0.5</v>
      </c>
      <c r="Q29" s="768">
        <v>-2E-3</v>
      </c>
      <c r="R29" s="768">
        <v>-1E-3</v>
      </c>
      <c r="S29" s="768">
        <v>9.9999999999999995E-7</v>
      </c>
      <c r="T29" s="765">
        <f t="shared" ref="T29:T31" si="19">0.5*(MAX(Q29:S29)-MIN(Q29:S29))</f>
        <v>1.0005000000000001E-3</v>
      </c>
      <c r="U29" s="765">
        <f>(1.2/100)*P29</f>
        <v>6.0000000000000001E-3</v>
      </c>
      <c r="V29" s="762"/>
      <c r="W29" s="762"/>
      <c r="X29" s="762"/>
    </row>
    <row r="30" spans="1:24" x14ac:dyDescent="0.2">
      <c r="A30" s="1136"/>
      <c r="B30" s="764">
        <v>1</v>
      </c>
      <c r="C30" s="764">
        <v>4.0000000000000001E-3</v>
      </c>
      <c r="D30" s="764">
        <v>4.0000000000000001E-3</v>
      </c>
      <c r="E30" s="764">
        <v>1.2E-2</v>
      </c>
      <c r="F30" s="765">
        <f t="shared" si="17"/>
        <v>4.0000000000000001E-3</v>
      </c>
      <c r="G30" s="765">
        <f>(1.2/100)*B30</f>
        <v>1.2E-2</v>
      </c>
      <c r="H30" s="1138"/>
      <c r="I30" s="764">
        <v>1</v>
      </c>
      <c r="J30" s="764">
        <v>5.8000000000000003E-2</v>
      </c>
      <c r="K30" s="764">
        <v>4.4999999999999998E-2</v>
      </c>
      <c r="L30" s="764">
        <v>5.5E-2</v>
      </c>
      <c r="M30" s="765">
        <f t="shared" si="18"/>
        <v>6.5000000000000023E-3</v>
      </c>
      <c r="N30" s="765">
        <f>(1.2/100)*I30</f>
        <v>1.2E-2</v>
      </c>
      <c r="O30" s="1138"/>
      <c r="P30" s="764">
        <v>1</v>
      </c>
      <c r="Q30" s="768">
        <v>-1.2E-2</v>
      </c>
      <c r="R30" s="768">
        <v>5.0000000000000001E-3</v>
      </c>
      <c r="S30" s="768">
        <v>9.9999999999999995E-7</v>
      </c>
      <c r="T30" s="765">
        <f t="shared" si="19"/>
        <v>8.5000000000000006E-3</v>
      </c>
      <c r="U30" s="765">
        <f>(1.2/100)*P30</f>
        <v>1.2E-2</v>
      </c>
      <c r="V30" s="762"/>
      <c r="W30" s="762"/>
      <c r="X30" s="762"/>
    </row>
    <row r="31" spans="1:24" x14ac:dyDescent="0.2">
      <c r="A31" s="1136"/>
      <c r="B31" s="764">
        <v>2</v>
      </c>
      <c r="C31" s="764">
        <v>1.2E-2</v>
      </c>
      <c r="D31" s="764">
        <v>7.0000000000000001E-3</v>
      </c>
      <c r="E31" s="764">
        <v>9.9999999999999995E-7</v>
      </c>
      <c r="F31" s="765">
        <f t="shared" si="17"/>
        <v>5.9995000000000005E-3</v>
      </c>
      <c r="G31" s="765">
        <f>(1.2/100)*B31</f>
        <v>2.4E-2</v>
      </c>
      <c r="H31" s="1138"/>
      <c r="I31" s="764">
        <v>2</v>
      </c>
      <c r="J31" s="764">
        <v>0.113</v>
      </c>
      <c r="K31" s="764">
        <v>9.9999999999999995E-7</v>
      </c>
      <c r="L31" s="764">
        <v>9.9999999999999995E-7</v>
      </c>
      <c r="M31" s="765">
        <f t="shared" si="18"/>
        <v>5.6499500000000001E-2</v>
      </c>
      <c r="N31" s="765">
        <f>(1.2/100)*I31</f>
        <v>2.4E-2</v>
      </c>
      <c r="O31" s="1138"/>
      <c r="P31" s="764">
        <v>2</v>
      </c>
      <c r="Q31" s="768">
        <v>-8.0000000000000002E-3</v>
      </c>
      <c r="R31" s="768">
        <v>1.4E-2</v>
      </c>
      <c r="S31" s="768">
        <v>9.9999999999999995E-7</v>
      </c>
      <c r="T31" s="765">
        <f t="shared" si="19"/>
        <v>1.0999999999999999E-2</v>
      </c>
      <c r="U31" s="765">
        <f>(1.2/100)*P31</f>
        <v>2.4E-2</v>
      </c>
      <c r="V31" s="762"/>
      <c r="W31" s="762"/>
      <c r="X31" s="762"/>
    </row>
    <row r="32" spans="1:24" x14ac:dyDescent="0.2">
      <c r="A32" s="769"/>
      <c r="T32" s="770"/>
      <c r="V32" s="762"/>
      <c r="W32" s="762"/>
      <c r="X32" s="762"/>
    </row>
    <row r="33" spans="1:24" ht="15" x14ac:dyDescent="0.2">
      <c r="A33" s="1136" t="s">
        <v>270</v>
      </c>
      <c r="B33" s="1132" t="s">
        <v>271</v>
      </c>
      <c r="C33" s="1132"/>
      <c r="D33" s="1132"/>
      <c r="E33" s="1132"/>
      <c r="F33" s="1132"/>
      <c r="G33" s="1132"/>
      <c r="H33" s="1138" t="s">
        <v>272</v>
      </c>
      <c r="I33" s="1135" t="s">
        <v>273</v>
      </c>
      <c r="J33" s="1135"/>
      <c r="K33" s="1135"/>
      <c r="L33" s="1135"/>
      <c r="M33" s="1135"/>
      <c r="N33" s="1135"/>
      <c r="O33" s="1138" t="s">
        <v>274</v>
      </c>
      <c r="P33" s="1132" t="s">
        <v>275</v>
      </c>
      <c r="Q33" s="1132"/>
      <c r="R33" s="1132"/>
      <c r="S33" s="1132"/>
      <c r="T33" s="1132"/>
      <c r="U33" s="1132"/>
      <c r="V33" s="762"/>
      <c r="W33" s="762"/>
      <c r="X33" s="762"/>
    </row>
    <row r="34" spans="1:24" ht="15" x14ac:dyDescent="0.25">
      <c r="A34" s="1136"/>
      <c r="B34" s="1130" t="s">
        <v>262</v>
      </c>
      <c r="C34" s="1130"/>
      <c r="D34" s="1130"/>
      <c r="E34" s="1130"/>
      <c r="F34" s="1130"/>
      <c r="G34" s="1130"/>
      <c r="H34" s="1138"/>
      <c r="I34" s="1130" t="s">
        <v>262</v>
      </c>
      <c r="J34" s="1130"/>
      <c r="K34" s="1130"/>
      <c r="L34" s="1130"/>
      <c r="M34" s="1130"/>
      <c r="N34" s="1130"/>
      <c r="O34" s="1138"/>
      <c r="P34" s="1130" t="s">
        <v>262</v>
      </c>
      <c r="Q34" s="1130"/>
      <c r="R34" s="1130"/>
      <c r="S34" s="1130"/>
      <c r="T34" s="1130"/>
      <c r="U34" s="1130"/>
      <c r="V34" s="762"/>
      <c r="W34" s="762"/>
      <c r="X34" s="762"/>
    </row>
    <row r="35" spans="1:24" x14ac:dyDescent="0.2">
      <c r="A35" s="1136"/>
      <c r="B35" s="1126" t="str">
        <f>B4</f>
        <v>Setting VAC</v>
      </c>
      <c r="C35" s="1126"/>
      <c r="D35" s="1126"/>
      <c r="E35" s="1126"/>
      <c r="F35" s="1126" t="s">
        <v>264</v>
      </c>
      <c r="G35" s="1126" t="s">
        <v>195</v>
      </c>
      <c r="H35" s="1138"/>
      <c r="I35" s="1126" t="str">
        <f>B35</f>
        <v>Setting VAC</v>
      </c>
      <c r="J35" s="1126"/>
      <c r="K35" s="1126"/>
      <c r="L35" s="1126"/>
      <c r="M35" s="1126" t="s">
        <v>264</v>
      </c>
      <c r="N35" s="1126" t="s">
        <v>195</v>
      </c>
      <c r="O35" s="1138"/>
      <c r="P35" s="1126" t="str">
        <f>I35</f>
        <v>Setting VAC</v>
      </c>
      <c r="Q35" s="1126"/>
      <c r="R35" s="1126"/>
      <c r="S35" s="1126"/>
      <c r="T35" s="1126" t="s">
        <v>264</v>
      </c>
      <c r="U35" s="1126" t="s">
        <v>195</v>
      </c>
      <c r="V35" s="762"/>
      <c r="W35" s="762"/>
      <c r="X35" s="762"/>
    </row>
    <row r="36" spans="1:24" ht="15" x14ac:dyDescent="0.2">
      <c r="A36" s="1136"/>
      <c r="B36" s="758" t="s">
        <v>265</v>
      </c>
      <c r="C36" s="759">
        <v>2022</v>
      </c>
      <c r="D36" s="759">
        <v>2021</v>
      </c>
      <c r="E36" s="759">
        <v>2019</v>
      </c>
      <c r="F36" s="1126"/>
      <c r="G36" s="1126"/>
      <c r="H36" s="1138"/>
      <c r="I36" s="758" t="s">
        <v>265</v>
      </c>
      <c r="J36" s="759">
        <v>2022</v>
      </c>
      <c r="K36" s="759">
        <v>2021</v>
      </c>
      <c r="L36" s="759">
        <v>2019</v>
      </c>
      <c r="M36" s="1126"/>
      <c r="N36" s="1126"/>
      <c r="O36" s="1138"/>
      <c r="P36" s="758" t="s">
        <v>265</v>
      </c>
      <c r="Q36" s="759">
        <v>2022</v>
      </c>
      <c r="R36" s="759">
        <v>2019</v>
      </c>
      <c r="S36" s="759">
        <v>2018</v>
      </c>
      <c r="T36" s="1126"/>
      <c r="U36" s="1126"/>
      <c r="V36" s="761"/>
      <c r="W36" s="761"/>
      <c r="X36" s="762"/>
    </row>
    <row r="37" spans="1:24" x14ac:dyDescent="0.2">
      <c r="A37" s="1136"/>
      <c r="B37" s="763">
        <v>150</v>
      </c>
      <c r="C37" s="766">
        <v>0.08</v>
      </c>
      <c r="D37" s="766">
        <v>-0.05</v>
      </c>
      <c r="E37" s="766">
        <v>0.11</v>
      </c>
      <c r="F37" s="765">
        <f>0.5*(MAX(C37:E37)-MIN(C37:E37))</f>
        <v>0.08</v>
      </c>
      <c r="G37" s="765">
        <f t="shared" ref="G37:G42" si="20">(1.2/100)*B37</f>
        <v>1.8</v>
      </c>
      <c r="H37" s="1138"/>
      <c r="I37" s="763">
        <v>150</v>
      </c>
      <c r="J37" s="766">
        <v>0.02</v>
      </c>
      <c r="K37" s="766">
        <v>0.25</v>
      </c>
      <c r="L37" s="766">
        <v>0.02</v>
      </c>
      <c r="M37" s="765">
        <f>0.5*(MAX(J37:L37)-MIN(J37:L37))</f>
        <v>0.115</v>
      </c>
      <c r="N37" s="765">
        <f t="shared" ref="N37:N42" si="21">(1.2/100)*I37</f>
        <v>1.8</v>
      </c>
      <c r="O37" s="1138"/>
      <c r="P37" s="763">
        <v>150</v>
      </c>
      <c r="Q37" s="766">
        <v>0.15</v>
      </c>
      <c r="R37" s="766">
        <v>-0.15</v>
      </c>
      <c r="S37" s="766">
        <v>0.03</v>
      </c>
      <c r="T37" s="765">
        <f>0.5*(MAX(Q37:S37)-MIN(Q37:S37))</f>
        <v>0.15</v>
      </c>
      <c r="U37" s="765">
        <f t="shared" ref="U37:U42" si="22">(1.2/100)*P37</f>
        <v>1.8</v>
      </c>
      <c r="V37" s="412"/>
      <c r="W37" s="767"/>
      <c r="X37" s="762"/>
    </row>
    <row r="38" spans="1:24" x14ac:dyDescent="0.2">
      <c r="A38" s="1136"/>
      <c r="B38" s="763">
        <v>180</v>
      </c>
      <c r="C38" s="766">
        <v>0.11</v>
      </c>
      <c r="D38" s="766">
        <v>-0.04</v>
      </c>
      <c r="E38" s="766">
        <v>0.03</v>
      </c>
      <c r="F38" s="765">
        <f t="shared" ref="F38:F42" si="23">0.5*(MAX(C38:E38)-MIN(C38:E38))</f>
        <v>7.4999999999999997E-2</v>
      </c>
      <c r="G38" s="765">
        <f t="shared" si="20"/>
        <v>2.16</v>
      </c>
      <c r="H38" s="1138"/>
      <c r="I38" s="763">
        <v>180</v>
      </c>
      <c r="J38" s="766">
        <v>-0.08</v>
      </c>
      <c r="K38" s="766">
        <v>0.09</v>
      </c>
      <c r="L38" s="766">
        <v>0.1</v>
      </c>
      <c r="M38" s="765">
        <f t="shared" ref="M38:M42" si="24">0.5*(MAX(J38:L38)-MIN(J38:L38))</f>
        <v>0.09</v>
      </c>
      <c r="N38" s="765">
        <f t="shared" si="21"/>
        <v>2.16</v>
      </c>
      <c r="O38" s="1138"/>
      <c r="P38" s="763">
        <v>180</v>
      </c>
      <c r="Q38" s="766">
        <v>0.17</v>
      </c>
      <c r="R38" s="766">
        <v>-0.11</v>
      </c>
      <c r="S38" s="766">
        <v>9.9999999999999995E-7</v>
      </c>
      <c r="T38" s="765">
        <f t="shared" ref="T38:T42" si="25">0.5*(MAX(Q38:S38)-MIN(Q38:S38))</f>
        <v>0.14000000000000001</v>
      </c>
      <c r="U38" s="765">
        <f t="shared" si="22"/>
        <v>2.16</v>
      </c>
      <c r="V38" s="412"/>
      <c r="W38" s="767"/>
      <c r="X38" s="762"/>
    </row>
    <row r="39" spans="1:24" x14ac:dyDescent="0.2">
      <c r="A39" s="1136"/>
      <c r="B39" s="763">
        <v>200</v>
      </c>
      <c r="C39" s="766">
        <v>0.11</v>
      </c>
      <c r="D39" s="766">
        <v>-0.67</v>
      </c>
      <c r="E39" s="766">
        <v>0.05</v>
      </c>
      <c r="F39" s="765">
        <f t="shared" si="23"/>
        <v>0.39</v>
      </c>
      <c r="G39" s="765">
        <f t="shared" si="20"/>
        <v>2.4</v>
      </c>
      <c r="H39" s="1138"/>
      <c r="I39" s="763">
        <v>200</v>
      </c>
      <c r="J39" s="766">
        <v>-0.12</v>
      </c>
      <c r="K39" s="766">
        <v>0.18</v>
      </c>
      <c r="L39" s="766">
        <v>-0.03</v>
      </c>
      <c r="M39" s="765">
        <f t="shared" si="24"/>
        <v>0.15</v>
      </c>
      <c r="N39" s="765">
        <f t="shared" si="21"/>
        <v>2.4</v>
      </c>
      <c r="O39" s="1138"/>
      <c r="P39" s="764">
        <v>200</v>
      </c>
      <c r="Q39" s="766">
        <v>0.1</v>
      </c>
      <c r="R39" s="766">
        <v>-0.1</v>
      </c>
      <c r="S39" s="766">
        <v>0.05</v>
      </c>
      <c r="T39" s="765">
        <f t="shared" si="25"/>
        <v>0.1</v>
      </c>
      <c r="U39" s="765">
        <f t="shared" si="22"/>
        <v>2.4</v>
      </c>
      <c r="V39" s="412"/>
      <c r="W39" s="767"/>
      <c r="X39" s="762"/>
    </row>
    <row r="40" spans="1:24" x14ac:dyDescent="0.2">
      <c r="A40" s="1136"/>
      <c r="B40" s="764">
        <v>220</v>
      </c>
      <c r="C40" s="766">
        <v>0.13</v>
      </c>
      <c r="D40" s="766">
        <v>9.9999999999999995E-7</v>
      </c>
      <c r="E40" s="766">
        <v>0.1</v>
      </c>
      <c r="F40" s="765">
        <f t="shared" si="23"/>
        <v>6.4999500000000002E-2</v>
      </c>
      <c r="G40" s="765">
        <f t="shared" si="20"/>
        <v>2.64</v>
      </c>
      <c r="H40" s="1138"/>
      <c r="I40" s="764">
        <v>220</v>
      </c>
      <c r="J40" s="766">
        <v>-0.17</v>
      </c>
      <c r="K40" s="766">
        <v>0.56000000000000005</v>
      </c>
      <c r="L40" s="766">
        <v>0.38</v>
      </c>
      <c r="M40" s="765">
        <f t="shared" si="24"/>
        <v>0.36500000000000005</v>
      </c>
      <c r="N40" s="765">
        <f t="shared" si="21"/>
        <v>2.64</v>
      </c>
      <c r="O40" s="1138"/>
      <c r="P40" s="764">
        <v>220</v>
      </c>
      <c r="Q40" s="766">
        <v>7.0000000000000007E-2</v>
      </c>
      <c r="R40" s="766">
        <v>-0.13</v>
      </c>
      <c r="S40" s="766">
        <v>0.05</v>
      </c>
      <c r="T40" s="765">
        <f t="shared" si="25"/>
        <v>0.1</v>
      </c>
      <c r="U40" s="765">
        <f t="shared" si="22"/>
        <v>2.64</v>
      </c>
      <c r="V40" s="412"/>
      <c r="W40" s="767"/>
      <c r="X40" s="762"/>
    </row>
    <row r="41" spans="1:24" x14ac:dyDescent="0.2">
      <c r="A41" s="1136"/>
      <c r="B41" s="764">
        <v>230</v>
      </c>
      <c r="C41" s="766">
        <v>0.11</v>
      </c>
      <c r="D41" s="766">
        <v>-0.11</v>
      </c>
      <c r="E41" s="766">
        <v>1.1100000000000001</v>
      </c>
      <c r="F41" s="765">
        <f t="shared" si="23"/>
        <v>0.6100000000000001</v>
      </c>
      <c r="G41" s="765">
        <f t="shared" si="20"/>
        <v>2.7600000000000002</v>
      </c>
      <c r="H41" s="1138"/>
      <c r="I41" s="764">
        <v>230</v>
      </c>
      <c r="J41" s="766">
        <v>-0.14000000000000001</v>
      </c>
      <c r="K41" s="766">
        <v>0.73</v>
      </c>
      <c r="L41" s="766">
        <v>-0.16</v>
      </c>
      <c r="M41" s="765">
        <f t="shared" si="24"/>
        <v>0.44500000000000001</v>
      </c>
      <c r="N41" s="765">
        <f t="shared" si="21"/>
        <v>2.7600000000000002</v>
      </c>
      <c r="O41" s="1138"/>
      <c r="P41" s="764">
        <v>230</v>
      </c>
      <c r="Q41" s="766">
        <v>0.08</v>
      </c>
      <c r="R41" s="766">
        <v>-0.15</v>
      </c>
      <c r="S41" s="766">
        <v>-0.05</v>
      </c>
      <c r="T41" s="765">
        <f t="shared" si="25"/>
        <v>0.11499999999999999</v>
      </c>
      <c r="U41" s="765">
        <f t="shared" si="22"/>
        <v>2.7600000000000002</v>
      </c>
      <c r="V41" s="412"/>
      <c r="W41" s="767"/>
      <c r="X41" s="762"/>
    </row>
    <row r="42" spans="1:24" x14ac:dyDescent="0.2">
      <c r="A42" s="1136"/>
      <c r="B42" s="764">
        <v>250</v>
      </c>
      <c r="C42" s="766">
        <v>9.9999999999999995E-7</v>
      </c>
      <c r="D42" s="766">
        <v>9.9999999999999995E-7</v>
      </c>
      <c r="E42" s="766">
        <v>9.9999999999999995E-7</v>
      </c>
      <c r="F42" s="765">
        <f t="shared" si="23"/>
        <v>0</v>
      </c>
      <c r="G42" s="765">
        <f t="shared" si="20"/>
        <v>3</v>
      </c>
      <c r="H42" s="1138"/>
      <c r="I42" s="764">
        <v>250</v>
      </c>
      <c r="J42" s="766">
        <v>9.9999999999999995E-7</v>
      </c>
      <c r="K42" s="766">
        <v>9.9999999999999995E-7</v>
      </c>
      <c r="L42" s="766">
        <v>9.9999999999999995E-7</v>
      </c>
      <c r="M42" s="765">
        <f t="shared" si="24"/>
        <v>0</v>
      </c>
      <c r="N42" s="765">
        <f t="shared" si="21"/>
        <v>3</v>
      </c>
      <c r="O42" s="1138"/>
      <c r="P42" s="764">
        <v>250</v>
      </c>
      <c r="Q42" s="766">
        <v>9.9999999999999995E-7</v>
      </c>
      <c r="R42" s="766">
        <v>9.9999999999999995E-7</v>
      </c>
      <c r="S42" s="766">
        <v>9.9999999999999995E-7</v>
      </c>
      <c r="T42" s="765">
        <f t="shared" si="25"/>
        <v>0</v>
      </c>
      <c r="U42" s="765">
        <f t="shared" si="22"/>
        <v>3</v>
      </c>
      <c r="V42" s="412"/>
      <c r="W42" s="767"/>
      <c r="X42" s="762"/>
    </row>
    <row r="43" spans="1:24" ht="12.75" customHeight="1" x14ac:dyDescent="0.2">
      <c r="A43" s="1136"/>
      <c r="B43" s="1127" t="str">
        <f>B12</f>
        <v>Current Leakage</v>
      </c>
      <c r="C43" s="1127"/>
      <c r="D43" s="1127"/>
      <c r="E43" s="1127"/>
      <c r="F43" s="1126" t="s">
        <v>264</v>
      </c>
      <c r="G43" s="1126" t="s">
        <v>195</v>
      </c>
      <c r="H43" s="1138"/>
      <c r="I43" s="1127" t="str">
        <f>B43</f>
        <v>Current Leakage</v>
      </c>
      <c r="J43" s="1127"/>
      <c r="K43" s="1127"/>
      <c r="L43" s="1127"/>
      <c r="M43" s="1126" t="s">
        <v>264</v>
      </c>
      <c r="N43" s="1126" t="s">
        <v>195</v>
      </c>
      <c r="O43" s="1138"/>
      <c r="P43" s="1127" t="str">
        <f>I43</f>
        <v>Current Leakage</v>
      </c>
      <c r="Q43" s="1127"/>
      <c r="R43" s="1127"/>
      <c r="S43" s="1127"/>
      <c r="T43" s="1126" t="s">
        <v>264</v>
      </c>
      <c r="U43" s="1126" t="s">
        <v>195</v>
      </c>
      <c r="V43" s="762"/>
      <c r="W43" s="762"/>
      <c r="X43" s="762"/>
    </row>
    <row r="44" spans="1:24" ht="15" x14ac:dyDescent="0.2">
      <c r="A44" s="1136"/>
      <c r="B44" s="758" t="s">
        <v>267</v>
      </c>
      <c r="C44" s="759">
        <f>C36</f>
        <v>2022</v>
      </c>
      <c r="D44" s="759">
        <f>D36</f>
        <v>2021</v>
      </c>
      <c r="E44" s="759">
        <f>E36</f>
        <v>2019</v>
      </c>
      <c r="F44" s="1126"/>
      <c r="G44" s="1126"/>
      <c r="H44" s="1138"/>
      <c r="I44" s="758" t="s">
        <v>267</v>
      </c>
      <c r="J44" s="759">
        <f>J36</f>
        <v>2022</v>
      </c>
      <c r="K44" s="759">
        <f>K36</f>
        <v>2021</v>
      </c>
      <c r="L44" s="759">
        <f>L36</f>
        <v>2019</v>
      </c>
      <c r="M44" s="1126"/>
      <c r="N44" s="1126"/>
      <c r="O44" s="1138"/>
      <c r="P44" s="758" t="s">
        <v>267</v>
      </c>
      <c r="Q44" s="759">
        <f>Q36</f>
        <v>2022</v>
      </c>
      <c r="R44" s="759">
        <f>R36</f>
        <v>2019</v>
      </c>
      <c r="S44" s="759">
        <f>S36</f>
        <v>2018</v>
      </c>
      <c r="T44" s="1126"/>
      <c r="U44" s="1126"/>
      <c r="V44" s="762"/>
      <c r="W44" s="762"/>
      <c r="X44" s="762"/>
    </row>
    <row r="45" spans="1:24" x14ac:dyDescent="0.2">
      <c r="A45" s="1136"/>
      <c r="B45" s="764">
        <v>9.9999999999999995E-7</v>
      </c>
      <c r="C45" s="766">
        <v>9.9999999999999995E-7</v>
      </c>
      <c r="D45" s="766">
        <v>9.9999999999999995E-7</v>
      </c>
      <c r="E45" s="764">
        <v>9.9999999999999995E-7</v>
      </c>
      <c r="F45" s="765">
        <f>0.5*(MAX(C45:E45)-MIN(C45:E45))</f>
        <v>0</v>
      </c>
      <c r="G45" s="765">
        <f t="shared" ref="G45:G50" si="26">(0.59/100)*B45</f>
        <v>5.8999999999999999E-9</v>
      </c>
      <c r="H45" s="1138"/>
      <c r="I45" s="764">
        <v>9.9999999999999995E-7</v>
      </c>
      <c r="J45" s="766">
        <v>9.9999999999999995E-7</v>
      </c>
      <c r="K45" s="766">
        <v>9.9999999999999995E-7</v>
      </c>
      <c r="L45" s="766">
        <v>9.9999999999999995E-7</v>
      </c>
      <c r="M45" s="765">
        <f>0.5*(MAX(J45:L45)-MIN(J45:L45))</f>
        <v>0</v>
      </c>
      <c r="N45" s="765">
        <f>(0.59/100)*I45</f>
        <v>5.8999999999999999E-9</v>
      </c>
      <c r="O45" s="1138"/>
      <c r="P45" s="764">
        <v>9.9999999999999995E-7</v>
      </c>
      <c r="Q45" s="766">
        <v>9.9999999999999995E-7</v>
      </c>
      <c r="R45" s="766">
        <v>9.9999999999999995E-7</v>
      </c>
      <c r="S45" s="764">
        <v>9.9999999999999995E-7</v>
      </c>
      <c r="T45" s="765">
        <f>0.5*(MAX(Q45:S45)-MIN(Q45:S45))</f>
        <v>0</v>
      </c>
      <c r="U45" s="765">
        <f>(0.59/100)*P45</f>
        <v>5.8999999999999999E-9</v>
      </c>
    </row>
    <row r="46" spans="1:24" x14ac:dyDescent="0.2">
      <c r="A46" s="1136"/>
      <c r="B46" s="764">
        <v>50</v>
      </c>
      <c r="C46" s="766">
        <v>9.9999999999999995E-7</v>
      </c>
      <c r="D46" s="766">
        <v>-0.3</v>
      </c>
      <c r="E46" s="766">
        <v>-0.28999999999999998</v>
      </c>
      <c r="F46" s="765">
        <f t="shared" ref="F46:F50" si="27">0.5*(MAX(C46:E46)-MIN(C46:E46))</f>
        <v>0.15000049999999998</v>
      </c>
      <c r="G46" s="765">
        <f t="shared" si="26"/>
        <v>0.29499999999999998</v>
      </c>
      <c r="H46" s="1138"/>
      <c r="I46" s="764">
        <v>50</v>
      </c>
      <c r="J46" s="766">
        <v>4.0999999999999996</v>
      </c>
      <c r="K46" s="766">
        <v>0.3</v>
      </c>
      <c r="L46" s="766">
        <v>-0.33</v>
      </c>
      <c r="M46" s="765">
        <f t="shared" ref="M46:M50" si="28">0.5*(MAX(J46:L46)-MIN(J46:L46))</f>
        <v>2.2149999999999999</v>
      </c>
      <c r="N46" s="765">
        <f t="shared" ref="N46:N50" si="29">(0.59/100)*I46</f>
        <v>0.29499999999999998</v>
      </c>
      <c r="O46" s="1138"/>
      <c r="P46" s="764">
        <v>50</v>
      </c>
      <c r="Q46" s="766">
        <v>19.100000000000001</v>
      </c>
      <c r="R46" s="766">
        <v>0.02</v>
      </c>
      <c r="S46" s="766">
        <v>-0.1</v>
      </c>
      <c r="T46" s="765">
        <f t="shared" ref="T46:T50" si="30">0.5*(MAX(Q46:S46)-MIN(Q46:S46))</f>
        <v>9.6000000000000014</v>
      </c>
      <c r="U46" s="765">
        <f t="shared" ref="U46:U50" si="31">(0.59/100)*P46</f>
        <v>0.29499999999999998</v>
      </c>
    </row>
    <row r="47" spans="1:24" x14ac:dyDescent="0.2">
      <c r="A47" s="1136"/>
      <c r="B47" s="764">
        <v>100</v>
      </c>
      <c r="C47" s="766">
        <v>4.0999999999999996</v>
      </c>
      <c r="D47" s="766">
        <v>-0.4</v>
      </c>
      <c r="E47" s="766">
        <v>-0.35</v>
      </c>
      <c r="F47" s="765">
        <f t="shared" si="27"/>
        <v>2.25</v>
      </c>
      <c r="G47" s="765">
        <f t="shared" si="26"/>
        <v>0.59</v>
      </c>
      <c r="H47" s="1138"/>
      <c r="I47" s="764">
        <v>100</v>
      </c>
      <c r="J47" s="766">
        <v>5</v>
      </c>
      <c r="K47" s="766">
        <v>-0.1</v>
      </c>
      <c r="L47" s="766">
        <v>-0.42</v>
      </c>
      <c r="M47" s="765">
        <f t="shared" si="28"/>
        <v>2.71</v>
      </c>
      <c r="N47" s="765">
        <f t="shared" si="29"/>
        <v>0.59</v>
      </c>
      <c r="O47" s="1138"/>
      <c r="P47" s="764">
        <v>100</v>
      </c>
      <c r="Q47" s="766">
        <v>18.399999999999999</v>
      </c>
      <c r="R47" s="766">
        <v>0.22</v>
      </c>
      <c r="S47" s="764">
        <v>-0.2</v>
      </c>
      <c r="T47" s="765">
        <f t="shared" si="30"/>
        <v>9.2999999999999989</v>
      </c>
      <c r="U47" s="765">
        <f t="shared" si="31"/>
        <v>0.59</v>
      </c>
    </row>
    <row r="48" spans="1:24" x14ac:dyDescent="0.2">
      <c r="A48" s="1136"/>
      <c r="B48" s="764">
        <v>200</v>
      </c>
      <c r="C48" s="766">
        <v>5</v>
      </c>
      <c r="D48" s="766">
        <v>0.3</v>
      </c>
      <c r="E48" s="766">
        <v>0.8</v>
      </c>
      <c r="F48" s="765">
        <f t="shared" si="27"/>
        <v>2.35</v>
      </c>
      <c r="G48" s="765">
        <f t="shared" si="26"/>
        <v>1.18</v>
      </c>
      <c r="H48" s="1138"/>
      <c r="I48" s="764">
        <v>200</v>
      </c>
      <c r="J48" s="766">
        <v>7.7</v>
      </c>
      <c r="K48" s="766">
        <v>1.3</v>
      </c>
      <c r="L48" s="766">
        <v>1.3</v>
      </c>
      <c r="M48" s="765">
        <f t="shared" si="28"/>
        <v>3.2</v>
      </c>
      <c r="N48" s="765">
        <f t="shared" si="29"/>
        <v>1.18</v>
      </c>
      <c r="O48" s="1138"/>
      <c r="P48" s="764">
        <v>200</v>
      </c>
      <c r="Q48" s="766">
        <v>14.4</v>
      </c>
      <c r="R48" s="766">
        <v>0.8</v>
      </c>
      <c r="S48" s="766">
        <v>0.8</v>
      </c>
      <c r="T48" s="765">
        <f t="shared" si="30"/>
        <v>6.8</v>
      </c>
      <c r="U48" s="765">
        <f t="shared" si="31"/>
        <v>1.18</v>
      </c>
    </row>
    <row r="49" spans="1:21" x14ac:dyDescent="0.2">
      <c r="A49" s="1136"/>
      <c r="B49" s="764">
        <v>500</v>
      </c>
      <c r="C49" s="766">
        <v>3.5</v>
      </c>
      <c r="D49" s="766">
        <v>0.2</v>
      </c>
      <c r="E49" s="766">
        <v>1.2</v>
      </c>
      <c r="F49" s="765">
        <f t="shared" si="27"/>
        <v>1.65</v>
      </c>
      <c r="G49" s="765">
        <f t="shared" si="26"/>
        <v>2.9499999999999997</v>
      </c>
      <c r="H49" s="1138"/>
      <c r="I49" s="764">
        <v>500</v>
      </c>
      <c r="J49" s="766">
        <v>5.7</v>
      </c>
      <c r="K49" s="766">
        <v>0.7</v>
      </c>
      <c r="L49" s="766">
        <v>0.7</v>
      </c>
      <c r="M49" s="765">
        <f t="shared" si="28"/>
        <v>2.5</v>
      </c>
      <c r="N49" s="765">
        <f t="shared" si="29"/>
        <v>2.9499999999999997</v>
      </c>
      <c r="O49" s="1138"/>
      <c r="P49" s="764">
        <v>500</v>
      </c>
      <c r="Q49" s="766">
        <v>6.2</v>
      </c>
      <c r="R49" s="766">
        <v>1.1000000000000001</v>
      </c>
      <c r="S49" s="766">
        <v>0.6</v>
      </c>
      <c r="T49" s="765">
        <f t="shared" si="30"/>
        <v>2.8000000000000003</v>
      </c>
      <c r="U49" s="765">
        <f t="shared" si="31"/>
        <v>2.9499999999999997</v>
      </c>
    </row>
    <row r="50" spans="1:21" x14ac:dyDescent="0.2">
      <c r="A50" s="1136"/>
      <c r="B50" s="764">
        <v>1000</v>
      </c>
      <c r="C50" s="766">
        <v>-100</v>
      </c>
      <c r="D50" s="766">
        <v>2</v>
      </c>
      <c r="E50" s="766">
        <v>2</v>
      </c>
      <c r="F50" s="765">
        <f t="shared" si="27"/>
        <v>51</v>
      </c>
      <c r="G50" s="765">
        <f t="shared" si="26"/>
        <v>5.8999999999999995</v>
      </c>
      <c r="H50" s="1138"/>
      <c r="I50" s="764">
        <v>850</v>
      </c>
      <c r="J50" s="766">
        <v>-88</v>
      </c>
      <c r="K50" s="766">
        <v>9.9999999999999995E-7</v>
      </c>
      <c r="L50" s="766">
        <v>9.9999999999999995E-7</v>
      </c>
      <c r="M50" s="765">
        <f t="shared" si="28"/>
        <v>44.000000499999999</v>
      </c>
      <c r="N50" s="765">
        <f t="shared" si="29"/>
        <v>5.0149999999999997</v>
      </c>
      <c r="O50" s="1138"/>
      <c r="P50" s="764">
        <v>1000</v>
      </c>
      <c r="Q50" s="766">
        <v>-11</v>
      </c>
      <c r="R50" s="766">
        <v>9.9999999999999995E-7</v>
      </c>
      <c r="S50" s="764">
        <v>9.9999999999999995E-7</v>
      </c>
      <c r="T50" s="765">
        <f t="shared" si="30"/>
        <v>5.5000004999999996</v>
      </c>
      <c r="U50" s="765">
        <f t="shared" si="31"/>
        <v>5.8999999999999995</v>
      </c>
    </row>
    <row r="51" spans="1:21" x14ac:dyDescent="0.2">
      <c r="A51" s="1136"/>
      <c r="B51" s="1127" t="str">
        <f>B20</f>
        <v>Main-PE</v>
      </c>
      <c r="C51" s="1127"/>
      <c r="D51" s="1127"/>
      <c r="E51" s="1127"/>
      <c r="F51" s="1126" t="s">
        <v>264</v>
      </c>
      <c r="G51" s="1126" t="s">
        <v>195</v>
      </c>
      <c r="H51" s="1138"/>
      <c r="I51" s="1127" t="str">
        <f>B51</f>
        <v>Main-PE</v>
      </c>
      <c r="J51" s="1127"/>
      <c r="K51" s="1127"/>
      <c r="L51" s="1127"/>
      <c r="M51" s="1126" t="s">
        <v>264</v>
      </c>
      <c r="N51" s="1126" t="s">
        <v>195</v>
      </c>
      <c r="O51" s="1138"/>
      <c r="P51" s="1127" t="str">
        <f>I51</f>
        <v>Main-PE</v>
      </c>
      <c r="Q51" s="1127"/>
      <c r="R51" s="1127"/>
      <c r="S51" s="1127"/>
      <c r="T51" s="1126" t="s">
        <v>264</v>
      </c>
      <c r="U51" s="1126" t="s">
        <v>195</v>
      </c>
    </row>
    <row r="52" spans="1:21" ht="15" x14ac:dyDescent="0.2">
      <c r="A52" s="1136"/>
      <c r="B52" s="758" t="s">
        <v>383</v>
      </c>
      <c r="C52" s="759">
        <f>C36</f>
        <v>2022</v>
      </c>
      <c r="D52" s="759">
        <f>D36</f>
        <v>2021</v>
      </c>
      <c r="E52" s="759">
        <f>E36</f>
        <v>2019</v>
      </c>
      <c r="F52" s="1126"/>
      <c r="G52" s="1126"/>
      <c r="H52" s="1138"/>
      <c r="I52" s="758" t="s">
        <v>383</v>
      </c>
      <c r="J52" s="759">
        <f>J36</f>
        <v>2022</v>
      </c>
      <c r="K52" s="759">
        <f>K36</f>
        <v>2021</v>
      </c>
      <c r="L52" s="759">
        <f>L36</f>
        <v>2019</v>
      </c>
      <c r="M52" s="1126"/>
      <c r="N52" s="1126"/>
      <c r="O52" s="1138"/>
      <c r="P52" s="758" t="s">
        <v>383</v>
      </c>
      <c r="Q52" s="759">
        <f>Q36</f>
        <v>2022</v>
      </c>
      <c r="R52" s="759">
        <f>R36</f>
        <v>2019</v>
      </c>
      <c r="S52" s="759">
        <f>S36</f>
        <v>2018</v>
      </c>
      <c r="T52" s="1126"/>
      <c r="U52" s="1126"/>
    </row>
    <row r="53" spans="1:21" x14ac:dyDescent="0.2">
      <c r="A53" s="1136"/>
      <c r="B53" s="764">
        <v>10</v>
      </c>
      <c r="C53" s="766">
        <v>9.9999999999999995E-7</v>
      </c>
      <c r="D53" s="766">
        <v>9.9999999999999995E-7</v>
      </c>
      <c r="E53" s="766">
        <v>0.1</v>
      </c>
      <c r="F53" s="765">
        <f>0.5*(MAX(C53:E53)-MIN(C53:E53))</f>
        <v>4.9999500000000002E-2</v>
      </c>
      <c r="G53" s="765">
        <f>(1.7/100)*B53</f>
        <v>0.17</v>
      </c>
      <c r="H53" s="1138"/>
      <c r="I53" s="764">
        <v>10</v>
      </c>
      <c r="J53" s="766">
        <v>9.9999999999999995E-7</v>
      </c>
      <c r="K53" s="766">
        <v>9.9999999999999995E-7</v>
      </c>
      <c r="L53" s="766">
        <v>0.1</v>
      </c>
      <c r="M53" s="765">
        <f>0.5*(MAX(J53:L53)-MIN(J53:L53))</f>
        <v>4.9999500000000002E-2</v>
      </c>
      <c r="N53" s="765">
        <f>(1.7/100)*I53</f>
        <v>0.17</v>
      </c>
      <c r="O53" s="1138"/>
      <c r="P53" s="764">
        <v>10</v>
      </c>
      <c r="Q53" s="766">
        <v>0.1</v>
      </c>
      <c r="R53" s="766">
        <v>0.1</v>
      </c>
      <c r="S53" s="764">
        <v>9.9999999999999995E-7</v>
      </c>
      <c r="T53" s="765">
        <f>0.5*(MAX(Q53:S53)-MIN(Q53:S53))</f>
        <v>4.9999500000000002E-2</v>
      </c>
      <c r="U53" s="765">
        <f>(1.7/100)*P53</f>
        <v>0.17</v>
      </c>
    </row>
    <row r="54" spans="1:21" x14ac:dyDescent="0.2">
      <c r="A54" s="1136"/>
      <c r="B54" s="764">
        <v>20</v>
      </c>
      <c r="C54" s="766">
        <v>0.1</v>
      </c>
      <c r="D54" s="766">
        <v>0.1</v>
      </c>
      <c r="E54" s="766">
        <v>0.2</v>
      </c>
      <c r="F54" s="765">
        <f t="shared" ref="F54:F56" si="32">0.5*(MAX(C54:E54)-MIN(C54:E54))</f>
        <v>0.05</v>
      </c>
      <c r="G54" s="765">
        <f>(1.7/100)*B54</f>
        <v>0.34</v>
      </c>
      <c r="H54" s="1138"/>
      <c r="I54" s="764">
        <v>20</v>
      </c>
      <c r="J54" s="766">
        <v>0.1</v>
      </c>
      <c r="K54" s="766">
        <v>0.1</v>
      </c>
      <c r="L54" s="766">
        <v>0.1</v>
      </c>
      <c r="M54" s="765">
        <f t="shared" ref="M54:M56" si="33">0.5*(MAX(J54:L54)-MIN(J54:L54))</f>
        <v>0</v>
      </c>
      <c r="N54" s="765">
        <f>(1.7/100)*I54</f>
        <v>0.34</v>
      </c>
      <c r="O54" s="1138"/>
      <c r="P54" s="764">
        <v>20</v>
      </c>
      <c r="Q54" s="766">
        <v>0.1</v>
      </c>
      <c r="R54" s="766">
        <v>0.1</v>
      </c>
      <c r="S54" s="764">
        <v>9.9999999999999995E-7</v>
      </c>
      <c r="T54" s="765">
        <f t="shared" ref="T54:T56" si="34">0.5*(MAX(Q54:S54)-MIN(Q54:S54))</f>
        <v>4.9999500000000002E-2</v>
      </c>
      <c r="U54" s="765">
        <f>(1.7/100)*P54</f>
        <v>0.34</v>
      </c>
    </row>
    <row r="55" spans="1:21" x14ac:dyDescent="0.2">
      <c r="A55" s="1136"/>
      <c r="B55" s="764">
        <v>50</v>
      </c>
      <c r="C55" s="766">
        <v>0.4</v>
      </c>
      <c r="D55" s="766">
        <v>0.4</v>
      </c>
      <c r="E55" s="766">
        <v>0.5</v>
      </c>
      <c r="F55" s="765">
        <f t="shared" si="32"/>
        <v>4.9999999999999989E-2</v>
      </c>
      <c r="G55" s="765">
        <f>(1.7/100)*B55</f>
        <v>0.85000000000000009</v>
      </c>
      <c r="H55" s="1138"/>
      <c r="I55" s="764">
        <v>50</v>
      </c>
      <c r="J55" s="766">
        <v>0.3</v>
      </c>
      <c r="K55" s="766">
        <v>0.6</v>
      </c>
      <c r="L55" s="766">
        <v>0.4</v>
      </c>
      <c r="M55" s="765">
        <f t="shared" si="33"/>
        <v>0.15</v>
      </c>
      <c r="N55" s="765">
        <f>(1.7/100)*I55</f>
        <v>0.85000000000000009</v>
      </c>
      <c r="O55" s="1138"/>
      <c r="P55" s="764">
        <v>50</v>
      </c>
      <c r="Q55" s="766">
        <v>0.3</v>
      </c>
      <c r="R55" s="766">
        <v>0.3</v>
      </c>
      <c r="S55" s="764">
        <v>0.2</v>
      </c>
      <c r="T55" s="765">
        <f t="shared" si="34"/>
        <v>4.9999999999999989E-2</v>
      </c>
      <c r="U55" s="765">
        <f>(1.7/100)*P55</f>
        <v>0.85000000000000009</v>
      </c>
    </row>
    <row r="56" spans="1:21" x14ac:dyDescent="0.2">
      <c r="A56" s="1136"/>
      <c r="B56" s="764">
        <v>100</v>
      </c>
      <c r="C56" s="766">
        <v>0.8</v>
      </c>
      <c r="D56" s="766">
        <v>1.4</v>
      </c>
      <c r="E56" s="766">
        <v>1</v>
      </c>
      <c r="F56" s="765">
        <f t="shared" si="32"/>
        <v>0.29999999999999993</v>
      </c>
      <c r="G56" s="765">
        <f>(1.7/100)*B56</f>
        <v>1.7000000000000002</v>
      </c>
      <c r="H56" s="1138"/>
      <c r="I56" s="764">
        <v>100</v>
      </c>
      <c r="J56" s="766">
        <v>0.4</v>
      </c>
      <c r="K56" s="766">
        <v>1.5</v>
      </c>
      <c r="L56" s="766">
        <v>0.8</v>
      </c>
      <c r="M56" s="765">
        <f t="shared" si="33"/>
        <v>0.55000000000000004</v>
      </c>
      <c r="N56" s="765">
        <f>(1.7/100)*I56</f>
        <v>1.7000000000000002</v>
      </c>
      <c r="O56" s="1138"/>
      <c r="P56" s="764">
        <v>100</v>
      </c>
      <c r="Q56" s="766">
        <v>0.6</v>
      </c>
      <c r="R56" s="766">
        <v>0.6</v>
      </c>
      <c r="S56" s="764">
        <v>0.7</v>
      </c>
      <c r="T56" s="765">
        <f t="shared" si="34"/>
        <v>4.9999999999999989E-2</v>
      </c>
      <c r="U56" s="765">
        <f>(1.7/100)*P56</f>
        <v>1.7000000000000002</v>
      </c>
    </row>
    <row r="57" spans="1:21" ht="12.75" customHeight="1" x14ac:dyDescent="0.2">
      <c r="A57" s="1136"/>
      <c r="B57" s="1127" t="str">
        <f>B26</f>
        <v>Resistance</v>
      </c>
      <c r="C57" s="1127"/>
      <c r="D57" s="1127"/>
      <c r="E57" s="1127"/>
      <c r="F57" s="1126" t="s">
        <v>264</v>
      </c>
      <c r="G57" s="1126" t="s">
        <v>195</v>
      </c>
      <c r="H57" s="1138"/>
      <c r="I57" s="1127" t="str">
        <f>B57</f>
        <v>Resistance</v>
      </c>
      <c r="J57" s="1127"/>
      <c r="K57" s="1127"/>
      <c r="L57" s="1127"/>
      <c r="M57" s="1126" t="s">
        <v>264</v>
      </c>
      <c r="N57" s="1126" t="s">
        <v>195</v>
      </c>
      <c r="O57" s="1138"/>
      <c r="P57" s="1127" t="str">
        <f>I57</f>
        <v>Resistance</v>
      </c>
      <c r="Q57" s="1127"/>
      <c r="R57" s="1127"/>
      <c r="S57" s="1127"/>
      <c r="T57" s="1126" t="s">
        <v>264</v>
      </c>
      <c r="U57" s="1126" t="s">
        <v>195</v>
      </c>
    </row>
    <row r="58" spans="1:21" ht="15" x14ac:dyDescent="0.2">
      <c r="A58" s="1136"/>
      <c r="B58" s="758" t="s">
        <v>384</v>
      </c>
      <c r="C58" s="759">
        <f>C36</f>
        <v>2022</v>
      </c>
      <c r="D58" s="759">
        <f>D36</f>
        <v>2021</v>
      </c>
      <c r="E58" s="759">
        <f>E36</f>
        <v>2019</v>
      </c>
      <c r="F58" s="1126"/>
      <c r="G58" s="1126"/>
      <c r="H58" s="1138"/>
      <c r="I58" s="758" t="s">
        <v>384</v>
      </c>
      <c r="J58" s="759">
        <f>J36</f>
        <v>2022</v>
      </c>
      <c r="K58" s="759">
        <f>K36</f>
        <v>2021</v>
      </c>
      <c r="L58" s="759">
        <f>L36</f>
        <v>2019</v>
      </c>
      <c r="M58" s="1126"/>
      <c r="N58" s="1126"/>
      <c r="O58" s="1138"/>
      <c r="P58" s="758" t="s">
        <v>384</v>
      </c>
      <c r="Q58" s="759">
        <f>Q36</f>
        <v>2022</v>
      </c>
      <c r="R58" s="759">
        <f>R36</f>
        <v>2019</v>
      </c>
      <c r="S58" s="759">
        <f>S36</f>
        <v>2018</v>
      </c>
      <c r="T58" s="1126"/>
      <c r="U58" s="1126"/>
    </row>
    <row r="59" spans="1:21" x14ac:dyDescent="0.2">
      <c r="A59" s="1136"/>
      <c r="B59" s="764">
        <v>0.01</v>
      </c>
      <c r="C59" s="766">
        <v>9.9999999999999995E-7</v>
      </c>
      <c r="D59" s="766">
        <v>9.9999999999999995E-7</v>
      </c>
      <c r="E59" s="766">
        <v>9.9999999999999995E-7</v>
      </c>
      <c r="F59" s="765">
        <f>0.5*(MAX(C59:E59)-MIN(C59:E59))</f>
        <v>0</v>
      </c>
      <c r="G59" s="765">
        <f>(1.2/100)*B59</f>
        <v>1.2E-4</v>
      </c>
      <c r="H59" s="1138"/>
      <c r="I59" s="764">
        <v>0.01</v>
      </c>
      <c r="J59" s="766">
        <v>9.9999999999999995E-7</v>
      </c>
      <c r="K59" s="766">
        <v>9.9999999999999995E-7</v>
      </c>
      <c r="L59" s="766">
        <v>9.9999999999999995E-7</v>
      </c>
      <c r="M59" s="765">
        <f>0.5*(MAX(J59:L59)-MIN(J59:L59))</f>
        <v>0</v>
      </c>
      <c r="N59" s="765">
        <f>(1.2/100)*I59</f>
        <v>1.2E-4</v>
      </c>
      <c r="O59" s="1138"/>
      <c r="P59" s="764">
        <v>0.01</v>
      </c>
      <c r="Q59" s="766">
        <v>9.9999999999999995E-7</v>
      </c>
      <c r="R59" s="766">
        <v>9.9999999999999995E-7</v>
      </c>
      <c r="S59" s="764">
        <v>9.9999999999999995E-7</v>
      </c>
      <c r="T59" s="765">
        <f>0.5*(MAX(Q59:S59)-MIN(Q59:S59))</f>
        <v>0</v>
      </c>
      <c r="U59" s="765">
        <f>(1.2/100)*P59</f>
        <v>1.2E-4</v>
      </c>
    </row>
    <row r="60" spans="1:21" x14ac:dyDescent="0.2">
      <c r="A60" s="1136"/>
      <c r="B60" s="764">
        <v>0.1</v>
      </c>
      <c r="C60" s="766">
        <v>9.9999999999999995E-7</v>
      </c>
      <c r="D60" s="766">
        <v>-2E-3</v>
      </c>
      <c r="E60" s="766">
        <v>9.9999999999999995E-7</v>
      </c>
      <c r="F60" s="765">
        <f t="shared" ref="F60:F62" si="35">0.5*(MAX(C60:E60)-MIN(C60:E60))</f>
        <v>1.0005000000000001E-3</v>
      </c>
      <c r="G60" s="765">
        <f>(1.2/100)*B60</f>
        <v>1.2000000000000001E-3</v>
      </c>
      <c r="H60" s="1138"/>
      <c r="I60" s="764">
        <v>0.1</v>
      </c>
      <c r="J60" s="766">
        <v>-6.0000000000000001E-3</v>
      </c>
      <c r="K60" s="766">
        <v>5.0000000000000001E-3</v>
      </c>
      <c r="L60" s="766">
        <v>2E-3</v>
      </c>
      <c r="M60" s="765">
        <f t="shared" ref="M60:M62" si="36">0.5*(MAX(J60:L60)-MIN(J60:L60))</f>
        <v>5.4999999999999997E-3</v>
      </c>
      <c r="N60" s="765">
        <f>(1.2/100)*I60</f>
        <v>1.2000000000000001E-3</v>
      </c>
      <c r="O60" s="1138"/>
      <c r="P60" s="764">
        <v>0.1</v>
      </c>
      <c r="Q60" s="766">
        <v>-3.0000000000000001E-3</v>
      </c>
      <c r="R60" s="766">
        <v>-2E-3</v>
      </c>
      <c r="S60" s="764">
        <v>6.0000000000000001E-3</v>
      </c>
      <c r="T60" s="765">
        <f t="shared" ref="T60:T62" si="37">0.5*(MAX(Q60:S60)-MIN(Q60:S60))</f>
        <v>4.5000000000000005E-3</v>
      </c>
      <c r="U60" s="765">
        <f>(1.2/100)*P60</f>
        <v>1.2000000000000001E-3</v>
      </c>
    </row>
    <row r="61" spans="1:21" x14ac:dyDescent="0.2">
      <c r="A61" s="1136"/>
      <c r="B61" s="764">
        <v>1</v>
      </c>
      <c r="C61" s="766">
        <v>-2E-3</v>
      </c>
      <c r="D61" s="766">
        <v>-8.0000000000000002E-3</v>
      </c>
      <c r="E61" s="766">
        <v>-1E-3</v>
      </c>
      <c r="F61" s="765">
        <f t="shared" si="35"/>
        <v>3.5000000000000001E-3</v>
      </c>
      <c r="G61" s="765">
        <f>(1.2/100)*B61</f>
        <v>1.2E-2</v>
      </c>
      <c r="H61" s="1138"/>
      <c r="I61" s="764">
        <v>1</v>
      </c>
      <c r="J61" s="766">
        <v>-2E-3</v>
      </c>
      <c r="K61" s="766">
        <v>1.7999999999999999E-2</v>
      </c>
      <c r="L61" s="766">
        <v>1.2E-2</v>
      </c>
      <c r="M61" s="765">
        <f t="shared" si="36"/>
        <v>9.9999999999999985E-3</v>
      </c>
      <c r="N61" s="765">
        <f>(1.2/100)*I61</f>
        <v>1.2E-2</v>
      </c>
      <c r="O61" s="1138"/>
      <c r="P61" s="764">
        <v>1</v>
      </c>
      <c r="Q61" s="766">
        <v>-7.0000000000000001E-3</v>
      </c>
      <c r="R61" s="766">
        <v>-1E-3</v>
      </c>
      <c r="S61" s="764">
        <v>8.0000000000000002E-3</v>
      </c>
      <c r="T61" s="765">
        <f t="shared" si="37"/>
        <v>7.4999999999999997E-3</v>
      </c>
      <c r="U61" s="765">
        <f>(1.2/100)*P61</f>
        <v>1.2E-2</v>
      </c>
    </row>
    <row r="62" spans="1:21" x14ac:dyDescent="0.2">
      <c r="A62" s="1136"/>
      <c r="B62" s="764">
        <v>2</v>
      </c>
      <c r="C62" s="766">
        <v>-6.0000000000000001E-3</v>
      </c>
      <c r="D62" s="766">
        <v>-7.0000000000000001E-3</v>
      </c>
      <c r="E62" s="766">
        <v>9.9999999999999995E-7</v>
      </c>
      <c r="F62" s="765">
        <f t="shared" si="35"/>
        <v>3.5005000000000001E-3</v>
      </c>
      <c r="G62" s="765">
        <f>(1.2/100)*B62</f>
        <v>2.4E-2</v>
      </c>
      <c r="H62" s="1138"/>
      <c r="I62" s="771">
        <v>2</v>
      </c>
      <c r="J62" s="772">
        <v>-4.0000000000000001E-3</v>
      </c>
      <c r="K62" s="772">
        <v>0.113</v>
      </c>
      <c r="L62" s="772">
        <v>9.9999999999999995E-7</v>
      </c>
      <c r="M62" s="773">
        <f t="shared" si="36"/>
        <v>5.8500000000000003E-2</v>
      </c>
      <c r="N62" s="765">
        <f>(1.2/100)*I62</f>
        <v>2.4E-2</v>
      </c>
      <c r="O62" s="1138"/>
      <c r="P62" s="764">
        <v>2</v>
      </c>
      <c r="Q62" s="766">
        <v>-7.0000000000000001E-3</v>
      </c>
      <c r="R62" s="766">
        <v>9.9999999999999995E-7</v>
      </c>
      <c r="S62" s="764">
        <v>9.9999999999999995E-7</v>
      </c>
      <c r="T62" s="765">
        <f t="shared" si="37"/>
        <v>3.5005000000000001E-3</v>
      </c>
      <c r="U62" s="765">
        <f>(1.2/100)*P62</f>
        <v>2.4E-2</v>
      </c>
    </row>
    <row r="63" spans="1:21" ht="15" x14ac:dyDescent="0.2">
      <c r="A63" s="774"/>
      <c r="B63" s="775"/>
      <c r="C63" s="775"/>
      <c r="D63" s="776"/>
      <c r="E63" s="776"/>
      <c r="F63" s="776"/>
      <c r="H63" s="777"/>
      <c r="I63" s="778"/>
      <c r="J63" s="775"/>
      <c r="K63" s="776"/>
      <c r="L63" s="776"/>
      <c r="M63" s="776"/>
      <c r="O63" s="777"/>
      <c r="P63" s="775"/>
      <c r="Q63" s="775"/>
      <c r="T63" s="770"/>
    </row>
    <row r="64" spans="1:21" ht="14.45" customHeight="1" x14ac:dyDescent="0.2">
      <c r="A64" s="1136" t="s">
        <v>276</v>
      </c>
      <c r="B64" s="1132" t="s">
        <v>277</v>
      </c>
      <c r="C64" s="1132"/>
      <c r="D64" s="1132"/>
      <c r="E64" s="1132"/>
      <c r="F64" s="1132"/>
      <c r="G64" s="1132"/>
      <c r="H64" s="1138" t="s">
        <v>278</v>
      </c>
      <c r="I64" s="1132" t="s">
        <v>279</v>
      </c>
      <c r="J64" s="1132"/>
      <c r="K64" s="1132"/>
      <c r="L64" s="1132"/>
      <c r="M64" s="1132"/>
      <c r="N64" s="1132"/>
      <c r="O64" s="1138" t="s">
        <v>53</v>
      </c>
      <c r="P64" s="1132" t="s">
        <v>280</v>
      </c>
      <c r="Q64" s="1132"/>
      <c r="R64" s="1132"/>
      <c r="S64" s="1132"/>
      <c r="T64" s="1132"/>
      <c r="U64" s="1132"/>
    </row>
    <row r="65" spans="1:21" ht="15" x14ac:dyDescent="0.25">
      <c r="A65" s="1136"/>
      <c r="B65" s="1130" t="s">
        <v>262</v>
      </c>
      <c r="C65" s="1130"/>
      <c r="D65" s="1130"/>
      <c r="E65" s="1130"/>
      <c r="F65" s="1130"/>
      <c r="G65" s="1130"/>
      <c r="H65" s="1138"/>
      <c r="I65" s="1131" t="s">
        <v>262</v>
      </c>
      <c r="J65" s="1131"/>
      <c r="K65" s="1131"/>
      <c r="L65" s="1131"/>
      <c r="M65" s="1131"/>
      <c r="N65" s="1131"/>
      <c r="O65" s="1138"/>
      <c r="P65" s="1131" t="s">
        <v>262</v>
      </c>
      <c r="Q65" s="1131"/>
      <c r="R65" s="1131"/>
      <c r="S65" s="1131"/>
      <c r="T65" s="1131"/>
      <c r="U65" s="1131"/>
    </row>
    <row r="66" spans="1:21" x14ac:dyDescent="0.2">
      <c r="A66" s="1136"/>
      <c r="B66" s="1126" t="s">
        <v>263</v>
      </c>
      <c r="C66" s="1126"/>
      <c r="D66" s="1126"/>
      <c r="E66" s="1126"/>
      <c r="F66" s="1126" t="s">
        <v>264</v>
      </c>
      <c r="G66" s="1126" t="s">
        <v>195</v>
      </c>
      <c r="H66" s="1138"/>
      <c r="I66" s="1126" t="str">
        <f>B66</f>
        <v>Setting VAC</v>
      </c>
      <c r="J66" s="1126"/>
      <c r="K66" s="1126"/>
      <c r="L66" s="1126"/>
      <c r="M66" s="1126" t="s">
        <v>264</v>
      </c>
      <c r="N66" s="1126" t="s">
        <v>195</v>
      </c>
      <c r="O66" s="1138"/>
      <c r="P66" s="1126" t="str">
        <f>B66</f>
        <v>Setting VAC</v>
      </c>
      <c r="Q66" s="1126"/>
      <c r="R66" s="1126"/>
      <c r="S66" s="1126"/>
      <c r="T66" s="1126" t="s">
        <v>264</v>
      </c>
      <c r="U66" s="1126" t="s">
        <v>195</v>
      </c>
    </row>
    <row r="67" spans="1:21" ht="15" x14ac:dyDescent="0.2">
      <c r="A67" s="1136"/>
      <c r="B67" s="758" t="s">
        <v>265</v>
      </c>
      <c r="C67" s="759">
        <v>2022</v>
      </c>
      <c r="D67" s="759">
        <v>2020</v>
      </c>
      <c r="E67" s="759">
        <v>2018</v>
      </c>
      <c r="F67" s="1126"/>
      <c r="G67" s="1126"/>
      <c r="H67" s="1138"/>
      <c r="I67" s="758" t="s">
        <v>265</v>
      </c>
      <c r="J67" s="759">
        <v>2022</v>
      </c>
      <c r="K67" s="759">
        <v>2020</v>
      </c>
      <c r="L67" s="760" t="s">
        <v>109</v>
      </c>
      <c r="M67" s="1126"/>
      <c r="N67" s="1126"/>
      <c r="O67" s="1138"/>
      <c r="P67" s="758" t="s">
        <v>265</v>
      </c>
      <c r="Q67" s="759">
        <v>2022</v>
      </c>
      <c r="R67" s="759">
        <v>2020</v>
      </c>
      <c r="S67" s="760" t="s">
        <v>109</v>
      </c>
      <c r="T67" s="1126"/>
      <c r="U67" s="1126"/>
    </row>
    <row r="68" spans="1:21" x14ac:dyDescent="0.2">
      <c r="A68" s="1136"/>
      <c r="B68" s="763">
        <v>150.21</v>
      </c>
      <c r="C68" s="764">
        <v>0.36</v>
      </c>
      <c r="D68" s="764">
        <v>0.21</v>
      </c>
      <c r="E68" s="764">
        <v>0.27</v>
      </c>
      <c r="F68" s="765">
        <f>0.5*(MAX(C68:E68)-MIN(C68:E68))</f>
        <v>7.4999999999999997E-2</v>
      </c>
      <c r="G68" s="765">
        <f t="shared" ref="G68:G73" si="38">(1.2/100)*B68</f>
        <v>1.8025200000000001</v>
      </c>
      <c r="H68" s="1138"/>
      <c r="I68" s="763">
        <v>150</v>
      </c>
      <c r="J68" s="759">
        <v>-0.17</v>
      </c>
      <c r="K68" s="759">
        <v>-0.24</v>
      </c>
      <c r="L68" s="766" t="s">
        <v>109</v>
      </c>
      <c r="M68" s="765">
        <f>0.5*(MAX(J68:L68)-MIN(J68:L68))</f>
        <v>3.4999999999999989E-2</v>
      </c>
      <c r="N68" s="765">
        <f t="shared" ref="N68:N73" si="39">(1.2/100)*I68</f>
        <v>1.8</v>
      </c>
      <c r="O68" s="1138"/>
      <c r="P68" s="763">
        <v>149.83000000000001</v>
      </c>
      <c r="Q68" s="759">
        <v>-0.08</v>
      </c>
      <c r="R68" s="759">
        <v>-0.17</v>
      </c>
      <c r="S68" s="766" t="s">
        <v>109</v>
      </c>
      <c r="T68" s="765">
        <f>0.5*(MAX(Q68:S68)-MIN(Q68:S68))</f>
        <v>4.5000000000000005E-2</v>
      </c>
      <c r="U68" s="765">
        <f t="shared" ref="U68:U73" si="40">(1.2/100)*P68</f>
        <v>1.7979600000000002</v>
      </c>
    </row>
    <row r="69" spans="1:21" x14ac:dyDescent="0.2">
      <c r="A69" s="1136"/>
      <c r="B69" s="763">
        <v>180.33</v>
      </c>
      <c r="C69" s="764">
        <v>0.46</v>
      </c>
      <c r="D69" s="764">
        <v>0.33</v>
      </c>
      <c r="E69" s="764">
        <v>0.37</v>
      </c>
      <c r="F69" s="765">
        <f t="shared" ref="F69:F73" si="41">0.5*(MAX(C69:E69)-MIN(C69:E69))</f>
        <v>6.5000000000000002E-2</v>
      </c>
      <c r="G69" s="765">
        <f t="shared" si="38"/>
        <v>2.1639600000000003</v>
      </c>
      <c r="H69" s="1138"/>
      <c r="I69" s="763">
        <v>180</v>
      </c>
      <c r="J69" s="759">
        <v>-0.39</v>
      </c>
      <c r="K69" s="759">
        <v>-0.14000000000000001</v>
      </c>
      <c r="L69" s="766" t="s">
        <v>109</v>
      </c>
      <c r="M69" s="765">
        <f t="shared" ref="M69:M73" si="42">0.5*(MAX(J69:L69)-MIN(J69:L69))</f>
        <v>0.125</v>
      </c>
      <c r="N69" s="765">
        <f t="shared" si="39"/>
        <v>2.16</v>
      </c>
      <c r="O69" s="1138"/>
      <c r="P69" s="763">
        <v>179.78</v>
      </c>
      <c r="Q69" s="759">
        <v>-0.2</v>
      </c>
      <c r="R69" s="759">
        <v>-0.22</v>
      </c>
      <c r="S69" s="766" t="s">
        <v>109</v>
      </c>
      <c r="T69" s="765">
        <f t="shared" ref="T69:T73" si="43">0.5*(MAX(Q69:S69)-MIN(Q69:S69))</f>
        <v>9.999999999999995E-3</v>
      </c>
      <c r="U69" s="765">
        <f t="shared" si="40"/>
        <v>2.1573600000000002</v>
      </c>
    </row>
    <row r="70" spans="1:21" x14ac:dyDescent="0.2">
      <c r="A70" s="1136"/>
      <c r="B70" s="764">
        <v>200.35</v>
      </c>
      <c r="C70" s="764">
        <v>0.52</v>
      </c>
      <c r="D70" s="764">
        <v>0.34</v>
      </c>
      <c r="E70" s="764">
        <v>0.4</v>
      </c>
      <c r="F70" s="765">
        <f t="shared" si="41"/>
        <v>0.09</v>
      </c>
      <c r="G70" s="765">
        <f t="shared" si="38"/>
        <v>2.4041999999999999</v>
      </c>
      <c r="H70" s="1138"/>
      <c r="I70" s="764">
        <v>200</v>
      </c>
      <c r="J70" s="764">
        <v>-0.23</v>
      </c>
      <c r="K70" s="764">
        <v>-0.33</v>
      </c>
      <c r="L70" s="766" t="s">
        <v>109</v>
      </c>
      <c r="M70" s="765">
        <f t="shared" si="42"/>
        <v>0.05</v>
      </c>
      <c r="N70" s="765">
        <f t="shared" si="39"/>
        <v>2.4</v>
      </c>
      <c r="O70" s="1138"/>
      <c r="P70" s="764">
        <v>199.67</v>
      </c>
      <c r="Q70" s="764">
        <v>-0.25</v>
      </c>
      <c r="R70" s="764">
        <v>-0.33</v>
      </c>
      <c r="S70" s="766" t="s">
        <v>109</v>
      </c>
      <c r="T70" s="765">
        <f t="shared" si="43"/>
        <v>4.0000000000000008E-2</v>
      </c>
      <c r="U70" s="765">
        <f t="shared" si="40"/>
        <v>2.3960399999999997</v>
      </c>
    </row>
    <row r="71" spans="1:21" x14ac:dyDescent="0.2">
      <c r="A71" s="1136"/>
      <c r="B71" s="764">
        <v>220.37</v>
      </c>
      <c r="C71" s="764">
        <v>0.57999999999999996</v>
      </c>
      <c r="D71" s="764">
        <v>0.37</v>
      </c>
      <c r="E71" s="764">
        <v>0.38</v>
      </c>
      <c r="F71" s="765">
        <f t="shared" si="41"/>
        <v>0.10499999999999998</v>
      </c>
      <c r="G71" s="765">
        <f t="shared" si="38"/>
        <v>2.6444399999999999</v>
      </c>
      <c r="H71" s="1138"/>
      <c r="I71" s="764">
        <v>220</v>
      </c>
      <c r="J71" s="764">
        <v>-0.16</v>
      </c>
      <c r="K71" s="764">
        <v>-0.45</v>
      </c>
      <c r="L71" s="766" t="s">
        <v>109</v>
      </c>
      <c r="M71" s="765">
        <f t="shared" si="42"/>
        <v>0.14500000000000002</v>
      </c>
      <c r="N71" s="765">
        <f t="shared" si="39"/>
        <v>2.64</v>
      </c>
      <c r="O71" s="1138"/>
      <c r="P71" s="764">
        <v>219.61</v>
      </c>
      <c r="Q71" s="764">
        <v>-0.28999999999999998</v>
      </c>
      <c r="R71" s="764">
        <v>-0.39</v>
      </c>
      <c r="S71" s="766" t="s">
        <v>109</v>
      </c>
      <c r="T71" s="765">
        <f t="shared" si="43"/>
        <v>5.0000000000000017E-2</v>
      </c>
      <c r="U71" s="765">
        <f t="shared" si="40"/>
        <v>2.6353200000000001</v>
      </c>
    </row>
    <row r="72" spans="1:21" x14ac:dyDescent="0.2">
      <c r="A72" s="1136"/>
      <c r="B72" s="764">
        <v>230.47</v>
      </c>
      <c r="C72" s="764">
        <v>0.47</v>
      </c>
      <c r="D72" s="764">
        <v>0.47</v>
      </c>
      <c r="E72" s="764">
        <v>0.4</v>
      </c>
      <c r="F72" s="765">
        <f t="shared" si="41"/>
        <v>3.4999999999999976E-2</v>
      </c>
      <c r="G72" s="765">
        <f t="shared" si="38"/>
        <v>2.7656399999999999</v>
      </c>
      <c r="H72" s="1138"/>
      <c r="I72" s="764">
        <v>230</v>
      </c>
      <c r="J72" s="764">
        <v>-0.15</v>
      </c>
      <c r="K72" s="764">
        <v>-0.54</v>
      </c>
      <c r="L72" s="766" t="s">
        <v>109</v>
      </c>
      <c r="M72" s="765">
        <f t="shared" si="42"/>
        <v>0.19500000000000001</v>
      </c>
      <c r="N72" s="765">
        <f t="shared" si="39"/>
        <v>2.7600000000000002</v>
      </c>
      <c r="O72" s="1138"/>
      <c r="P72" s="764">
        <v>229.61</v>
      </c>
      <c r="Q72" s="764">
        <v>-0.34</v>
      </c>
      <c r="R72" s="764">
        <v>-0.39</v>
      </c>
      <c r="S72" s="766" t="s">
        <v>109</v>
      </c>
      <c r="T72" s="765">
        <f t="shared" si="43"/>
        <v>2.4999999999999994E-2</v>
      </c>
      <c r="U72" s="765">
        <f t="shared" si="40"/>
        <v>2.7553200000000002</v>
      </c>
    </row>
    <row r="73" spans="1:21" x14ac:dyDescent="0.2">
      <c r="A73" s="1136"/>
      <c r="B73" s="764">
        <v>240.38</v>
      </c>
      <c r="C73" s="764">
        <v>9.9999999999999995E-7</v>
      </c>
      <c r="D73" s="764">
        <v>0.38</v>
      </c>
      <c r="E73" s="764">
        <v>9.9999999999999995E-7</v>
      </c>
      <c r="F73" s="765">
        <f t="shared" si="41"/>
        <v>0.18999950000000002</v>
      </c>
      <c r="G73" s="765">
        <f t="shared" si="38"/>
        <v>2.88456</v>
      </c>
      <c r="H73" s="1138"/>
      <c r="I73" s="764">
        <v>250</v>
      </c>
      <c r="J73" s="764">
        <v>9.9999999999999995E-7</v>
      </c>
      <c r="K73" s="764">
        <v>-0.49</v>
      </c>
      <c r="L73" s="766" t="s">
        <v>109</v>
      </c>
      <c r="M73" s="765">
        <f t="shared" si="42"/>
        <v>0.24500049999999998</v>
      </c>
      <c r="N73" s="765">
        <f t="shared" si="39"/>
        <v>3</v>
      </c>
      <c r="O73" s="1138"/>
      <c r="P73" s="764">
        <v>239.61</v>
      </c>
      <c r="Q73" s="764">
        <v>9.9999999999999995E-7</v>
      </c>
      <c r="R73" s="764">
        <v>-0.39</v>
      </c>
      <c r="S73" s="766" t="s">
        <v>109</v>
      </c>
      <c r="T73" s="765">
        <f t="shared" si="43"/>
        <v>0.19500049999999999</v>
      </c>
      <c r="U73" s="765">
        <f t="shared" si="40"/>
        <v>2.8753200000000003</v>
      </c>
    </row>
    <row r="74" spans="1:21" ht="12.75" customHeight="1" x14ac:dyDescent="0.2">
      <c r="A74" s="1136"/>
      <c r="B74" s="1127" t="s">
        <v>266</v>
      </c>
      <c r="C74" s="1127"/>
      <c r="D74" s="1127"/>
      <c r="E74" s="1127"/>
      <c r="F74" s="1126" t="s">
        <v>264</v>
      </c>
      <c r="G74" s="1126" t="s">
        <v>195</v>
      </c>
      <c r="H74" s="1138"/>
      <c r="I74" s="1127" t="str">
        <f>B74</f>
        <v>Current Leakage</v>
      </c>
      <c r="J74" s="1127"/>
      <c r="K74" s="1127"/>
      <c r="L74" s="1127"/>
      <c r="M74" s="1126" t="s">
        <v>264</v>
      </c>
      <c r="N74" s="1126" t="s">
        <v>195</v>
      </c>
      <c r="O74" s="1138"/>
      <c r="P74" s="1127" t="str">
        <f>B74</f>
        <v>Current Leakage</v>
      </c>
      <c r="Q74" s="1127"/>
      <c r="R74" s="1127"/>
      <c r="S74" s="1127"/>
      <c r="T74" s="1126" t="s">
        <v>264</v>
      </c>
      <c r="U74" s="1126" t="s">
        <v>195</v>
      </c>
    </row>
    <row r="75" spans="1:21" ht="15" x14ac:dyDescent="0.2">
      <c r="A75" s="1136"/>
      <c r="B75" s="758" t="s">
        <v>267</v>
      </c>
      <c r="C75" s="759">
        <f>C67</f>
        <v>2022</v>
      </c>
      <c r="D75" s="759">
        <f>D67</f>
        <v>2020</v>
      </c>
      <c r="E75" s="759">
        <f>E67</f>
        <v>2018</v>
      </c>
      <c r="F75" s="1126"/>
      <c r="G75" s="1126"/>
      <c r="H75" s="1138"/>
      <c r="I75" s="758" t="s">
        <v>267</v>
      </c>
      <c r="J75" s="759">
        <f>J67</f>
        <v>2022</v>
      </c>
      <c r="K75" s="759">
        <f>K67</f>
        <v>2020</v>
      </c>
      <c r="L75" s="759" t="str">
        <f>L67</f>
        <v>-</v>
      </c>
      <c r="M75" s="1126"/>
      <c r="N75" s="1126"/>
      <c r="O75" s="1138"/>
      <c r="P75" s="758" t="s">
        <v>267</v>
      </c>
      <c r="Q75" s="759">
        <f>Q67</f>
        <v>2022</v>
      </c>
      <c r="R75" s="759">
        <f>R67</f>
        <v>2020</v>
      </c>
      <c r="S75" s="759" t="str">
        <f>S67</f>
        <v>-</v>
      </c>
      <c r="T75" s="1126"/>
      <c r="U75" s="1126"/>
    </row>
    <row r="76" spans="1:21" x14ac:dyDescent="0.2">
      <c r="A76" s="1136"/>
      <c r="B76" s="764">
        <v>9.9999999999999995E-7</v>
      </c>
      <c r="C76" s="764">
        <v>9.9999999999999995E-7</v>
      </c>
      <c r="D76" s="764">
        <v>9.9999999999999995E-7</v>
      </c>
      <c r="E76" s="764">
        <v>9.9999999999999995E-7</v>
      </c>
      <c r="F76" s="765">
        <f>0.5*(MAX(C76:E76)-MIN(C76:E76))</f>
        <v>0</v>
      </c>
      <c r="G76" s="765">
        <f>(0.59/100)*B76</f>
        <v>5.8999999999999999E-9</v>
      </c>
      <c r="H76" s="1138"/>
      <c r="I76" s="764">
        <v>9.9999999999999995E-7</v>
      </c>
      <c r="J76" s="764">
        <v>9.9999999999999995E-7</v>
      </c>
      <c r="K76" s="764">
        <v>9.9999999999999995E-7</v>
      </c>
      <c r="L76" s="766" t="s">
        <v>109</v>
      </c>
      <c r="M76" s="765">
        <f>0.5*(MAX(J76:L76)-MIN(J76:L76))</f>
        <v>0</v>
      </c>
      <c r="N76" s="765">
        <f t="shared" ref="N76:N81" si="44">(0.59/100)*I76</f>
        <v>5.8999999999999999E-9</v>
      </c>
      <c r="O76" s="1138"/>
      <c r="P76" s="764">
        <v>9.9999999999999995E-7</v>
      </c>
      <c r="Q76" s="764">
        <v>9.9999999999999995E-7</v>
      </c>
      <c r="R76" s="764">
        <v>9.9999999999999995E-7</v>
      </c>
      <c r="S76" s="766" t="s">
        <v>109</v>
      </c>
      <c r="T76" s="765">
        <f>0.5*(MAX(Q76:S76)-MIN(Q76:S76))</f>
        <v>0</v>
      </c>
      <c r="U76" s="765">
        <f>(0.59/100)*P76</f>
        <v>5.8999999999999999E-9</v>
      </c>
    </row>
    <row r="77" spans="1:21" x14ac:dyDescent="0.2">
      <c r="A77" s="1136"/>
      <c r="B77" s="764">
        <v>50</v>
      </c>
      <c r="C77" s="764">
        <v>1.9</v>
      </c>
      <c r="D77" s="764">
        <v>1.7</v>
      </c>
      <c r="E77" s="764">
        <v>2.1</v>
      </c>
      <c r="F77" s="765">
        <f t="shared" ref="F77:F81" si="45">0.5*(MAX(C77:E77)-MIN(C77:E77))</f>
        <v>0.20000000000000007</v>
      </c>
      <c r="G77" s="765">
        <f t="shared" ref="G77:G81" si="46">(0.59/100)*B77</f>
        <v>0.29499999999999998</v>
      </c>
      <c r="H77" s="1138"/>
      <c r="I77" s="764">
        <v>20</v>
      </c>
      <c r="J77" s="764">
        <v>6.6</v>
      </c>
      <c r="K77" s="764">
        <v>0.9</v>
      </c>
      <c r="L77" s="766" t="s">
        <v>109</v>
      </c>
      <c r="M77" s="765">
        <f t="shared" ref="M77:M81" si="47">0.5*(MAX(J77:L77)-MIN(J77:L77))</f>
        <v>2.8499999999999996</v>
      </c>
      <c r="N77" s="765">
        <f t="shared" si="44"/>
        <v>0.11799999999999999</v>
      </c>
      <c r="O77" s="1138"/>
      <c r="P77" s="764">
        <v>20.8</v>
      </c>
      <c r="Q77" s="764">
        <v>4.9000000000000004</v>
      </c>
      <c r="R77" s="764">
        <v>0.8</v>
      </c>
      <c r="S77" s="766" t="s">
        <v>109</v>
      </c>
      <c r="T77" s="765">
        <f t="shared" ref="T77:T81" si="48">0.5*(MAX(Q77:S77)-MIN(Q77:S77))</f>
        <v>2.0500000000000003</v>
      </c>
      <c r="U77" s="765">
        <f t="shared" ref="U77:U81" si="49">(0.59/100)*P77</f>
        <v>0.12272</v>
      </c>
    </row>
    <row r="78" spans="1:21" x14ac:dyDescent="0.2">
      <c r="A78" s="1136"/>
      <c r="B78" s="764">
        <v>100</v>
      </c>
      <c r="C78" s="764">
        <v>1.7</v>
      </c>
      <c r="D78" s="764">
        <v>1.7</v>
      </c>
      <c r="E78" s="764">
        <v>2.2000000000000002</v>
      </c>
      <c r="F78" s="765">
        <f t="shared" si="45"/>
        <v>0.25000000000000011</v>
      </c>
      <c r="G78" s="765">
        <f t="shared" si="46"/>
        <v>0.59</v>
      </c>
      <c r="H78" s="1138"/>
      <c r="I78" s="764">
        <v>50</v>
      </c>
      <c r="J78" s="764">
        <v>5</v>
      </c>
      <c r="K78" s="764">
        <v>2.1</v>
      </c>
      <c r="L78" s="766" t="s">
        <v>109</v>
      </c>
      <c r="M78" s="765">
        <f t="shared" si="47"/>
        <v>1.45</v>
      </c>
      <c r="N78" s="765">
        <f t="shared" si="44"/>
        <v>0.29499999999999998</v>
      </c>
      <c r="O78" s="1138"/>
      <c r="P78" s="764">
        <v>51.7</v>
      </c>
      <c r="Q78" s="764">
        <v>9.1999999999999993</v>
      </c>
      <c r="R78" s="764">
        <v>1.7</v>
      </c>
      <c r="S78" s="766" t="s">
        <v>109</v>
      </c>
      <c r="T78" s="765">
        <f t="shared" si="48"/>
        <v>3.7499999999999996</v>
      </c>
      <c r="U78" s="765">
        <f t="shared" si="49"/>
        <v>0.30503000000000002</v>
      </c>
    </row>
    <row r="79" spans="1:21" x14ac:dyDescent="0.2">
      <c r="A79" s="1136"/>
      <c r="B79" s="764">
        <v>200.4</v>
      </c>
      <c r="C79" s="764">
        <v>1.5</v>
      </c>
      <c r="D79" s="764">
        <v>0.4</v>
      </c>
      <c r="E79" s="764">
        <v>2.4</v>
      </c>
      <c r="F79" s="765">
        <f t="shared" si="45"/>
        <v>1</v>
      </c>
      <c r="G79" s="765">
        <f t="shared" si="46"/>
        <v>1.1823600000000001</v>
      </c>
      <c r="H79" s="1138"/>
      <c r="I79" s="764">
        <v>200</v>
      </c>
      <c r="J79" s="764">
        <v>-8.1999999999999993</v>
      </c>
      <c r="K79" s="764">
        <v>3.7</v>
      </c>
      <c r="L79" s="766" t="s">
        <v>109</v>
      </c>
      <c r="M79" s="765">
        <f t="shared" si="47"/>
        <v>5.9499999999999993</v>
      </c>
      <c r="N79" s="765">
        <f t="shared" si="44"/>
        <v>1.18</v>
      </c>
      <c r="O79" s="1138"/>
      <c r="P79" s="764">
        <v>103.4</v>
      </c>
      <c r="Q79" s="764">
        <v>7.7</v>
      </c>
      <c r="R79" s="764">
        <v>3.4</v>
      </c>
      <c r="S79" s="766" t="s">
        <v>109</v>
      </c>
      <c r="T79" s="765">
        <f t="shared" si="48"/>
        <v>2.1500000000000004</v>
      </c>
      <c r="U79" s="765">
        <f t="shared" si="49"/>
        <v>0.61006000000000005</v>
      </c>
    </row>
    <row r="80" spans="1:21" x14ac:dyDescent="0.2">
      <c r="A80" s="1136"/>
      <c r="B80" s="764">
        <v>500</v>
      </c>
      <c r="C80" s="764">
        <v>0.9</v>
      </c>
      <c r="D80" s="764">
        <v>3</v>
      </c>
      <c r="E80" s="764">
        <v>3.3</v>
      </c>
      <c r="F80" s="765">
        <f t="shared" si="45"/>
        <v>1.2</v>
      </c>
      <c r="G80" s="765">
        <f t="shared" si="46"/>
        <v>2.9499999999999997</v>
      </c>
      <c r="H80" s="1138"/>
      <c r="I80" s="764">
        <v>500</v>
      </c>
      <c r="J80" s="764">
        <v>-31.8</v>
      </c>
      <c r="K80" s="764">
        <v>8.3000000000000007</v>
      </c>
      <c r="L80" s="766" t="s">
        <v>109</v>
      </c>
      <c r="M80" s="765">
        <f t="shared" si="47"/>
        <v>20.05</v>
      </c>
      <c r="N80" s="765">
        <f t="shared" si="44"/>
        <v>2.9499999999999997</v>
      </c>
      <c r="O80" s="1138"/>
      <c r="P80" s="764">
        <v>507.2</v>
      </c>
      <c r="Q80" s="764">
        <v>-0.2</v>
      </c>
      <c r="R80" s="764">
        <v>7.2</v>
      </c>
      <c r="S80" s="766" t="s">
        <v>109</v>
      </c>
      <c r="T80" s="765">
        <f t="shared" si="48"/>
        <v>3.7</v>
      </c>
      <c r="U80" s="765">
        <f t="shared" si="49"/>
        <v>2.99248</v>
      </c>
    </row>
    <row r="81" spans="1:21" x14ac:dyDescent="0.2">
      <c r="A81" s="1136"/>
      <c r="B81" s="764">
        <v>1000</v>
      </c>
      <c r="C81" s="764">
        <v>-10</v>
      </c>
      <c r="D81" s="764">
        <v>9.9999999999999995E-7</v>
      </c>
      <c r="E81" s="764">
        <v>9.9999999999999995E-7</v>
      </c>
      <c r="F81" s="765">
        <f t="shared" si="45"/>
        <v>5.0000004999999996</v>
      </c>
      <c r="G81" s="765">
        <f t="shared" si="46"/>
        <v>5.8999999999999995</v>
      </c>
      <c r="H81" s="1138"/>
      <c r="I81" s="764">
        <v>1000</v>
      </c>
      <c r="J81" s="764">
        <v>-74</v>
      </c>
      <c r="K81" s="764">
        <v>9.9999999999999995E-7</v>
      </c>
      <c r="L81" s="766" t="s">
        <v>109</v>
      </c>
      <c r="M81" s="765">
        <f t="shared" si="47"/>
        <v>37.000000499999999</v>
      </c>
      <c r="N81" s="765">
        <f t="shared" si="44"/>
        <v>5.8999999999999995</v>
      </c>
      <c r="O81" s="1138"/>
      <c r="P81" s="764">
        <v>920</v>
      </c>
      <c r="Q81" s="764">
        <v>-66</v>
      </c>
      <c r="R81" s="764">
        <v>9.9999999999999995E-7</v>
      </c>
      <c r="S81" s="766" t="s">
        <v>109</v>
      </c>
      <c r="T81" s="765">
        <f t="shared" si="48"/>
        <v>33.000000499999999</v>
      </c>
      <c r="U81" s="765">
        <f t="shared" si="49"/>
        <v>5.4279999999999999</v>
      </c>
    </row>
    <row r="82" spans="1:21" x14ac:dyDescent="0.2">
      <c r="A82" s="1136"/>
      <c r="B82" s="1127" t="s">
        <v>268</v>
      </c>
      <c r="C82" s="1127"/>
      <c r="D82" s="1127"/>
      <c r="E82" s="1127"/>
      <c r="F82" s="1126" t="s">
        <v>264</v>
      </c>
      <c r="G82" s="1126" t="s">
        <v>195</v>
      </c>
      <c r="H82" s="1138"/>
      <c r="I82" s="1127" t="s">
        <v>268</v>
      </c>
      <c r="J82" s="1127"/>
      <c r="K82" s="1127"/>
      <c r="L82" s="1127"/>
      <c r="M82" s="1126" t="s">
        <v>264</v>
      </c>
      <c r="N82" s="1126" t="s">
        <v>195</v>
      </c>
      <c r="O82" s="1138"/>
      <c r="P82" s="1127" t="str">
        <f>B82</f>
        <v>Main-PE</v>
      </c>
      <c r="Q82" s="1127"/>
      <c r="R82" s="1127"/>
      <c r="S82" s="1127"/>
      <c r="T82" s="1126" t="s">
        <v>264</v>
      </c>
      <c r="U82" s="1126" t="s">
        <v>195</v>
      </c>
    </row>
    <row r="83" spans="1:21" ht="15" x14ac:dyDescent="0.2">
      <c r="A83" s="1136"/>
      <c r="B83" s="758" t="s">
        <v>383</v>
      </c>
      <c r="C83" s="759">
        <f>C67</f>
        <v>2022</v>
      </c>
      <c r="D83" s="759">
        <f>D67</f>
        <v>2020</v>
      </c>
      <c r="E83" s="759">
        <f>E67</f>
        <v>2018</v>
      </c>
      <c r="F83" s="1126"/>
      <c r="G83" s="1126"/>
      <c r="H83" s="1138"/>
      <c r="I83" s="758" t="s">
        <v>383</v>
      </c>
      <c r="J83" s="759">
        <f>J67</f>
        <v>2022</v>
      </c>
      <c r="K83" s="759">
        <f>K67</f>
        <v>2020</v>
      </c>
      <c r="L83" s="759" t="str">
        <f>L67</f>
        <v>-</v>
      </c>
      <c r="M83" s="1126"/>
      <c r="N83" s="1126"/>
      <c r="O83" s="1138"/>
      <c r="P83" s="758" t="s">
        <v>383</v>
      </c>
      <c r="Q83" s="759">
        <f>Q67</f>
        <v>2022</v>
      </c>
      <c r="R83" s="759">
        <f>R67</f>
        <v>2020</v>
      </c>
      <c r="S83" s="759" t="str">
        <f>S67</f>
        <v>-</v>
      </c>
      <c r="T83" s="1126"/>
      <c r="U83" s="1126"/>
    </row>
    <row r="84" spans="1:21" x14ac:dyDescent="0.2">
      <c r="A84" s="1136"/>
      <c r="B84" s="764">
        <v>10</v>
      </c>
      <c r="C84" s="764">
        <v>9.9999999999999995E-7</v>
      </c>
      <c r="D84" s="764">
        <v>9.9999999999999995E-7</v>
      </c>
      <c r="E84" s="764">
        <v>9.9999999999999995E-7</v>
      </c>
      <c r="F84" s="765">
        <f>0.5*(MAX(C84:E84)-MIN(C84:E84))</f>
        <v>0</v>
      </c>
      <c r="G84" s="765">
        <f>(1.7/100)*B84</f>
        <v>0.17</v>
      </c>
      <c r="H84" s="1138"/>
      <c r="I84" s="764">
        <v>10</v>
      </c>
      <c r="J84" s="764">
        <v>9.9999999999999995E-7</v>
      </c>
      <c r="K84" s="764">
        <v>9.9999999999999995E-7</v>
      </c>
      <c r="L84" s="766" t="s">
        <v>109</v>
      </c>
      <c r="M84" s="765">
        <f>0.5*(MAX(J84:L84)-MIN(J84:L84))</f>
        <v>0</v>
      </c>
      <c r="N84" s="765">
        <f>(1.7/100)*I84</f>
        <v>0.17</v>
      </c>
      <c r="O84" s="1138"/>
      <c r="P84" s="764">
        <v>10</v>
      </c>
      <c r="Q84" s="764">
        <v>9.9999999999999995E-7</v>
      </c>
      <c r="R84" s="764">
        <v>9.9999999999999995E-7</v>
      </c>
      <c r="S84" s="766" t="s">
        <v>109</v>
      </c>
      <c r="T84" s="765">
        <f>0.5*(MAX(Q84:S84)-MIN(Q84:S84))</f>
        <v>0</v>
      </c>
      <c r="U84" s="765">
        <f>(1.7/100)*P84</f>
        <v>0.17</v>
      </c>
    </row>
    <row r="85" spans="1:21" x14ac:dyDescent="0.2">
      <c r="A85" s="1136"/>
      <c r="B85" s="764">
        <v>20</v>
      </c>
      <c r="C85" s="764">
        <v>0.1</v>
      </c>
      <c r="D85" s="764">
        <v>9.9999999999999995E-7</v>
      </c>
      <c r="E85" s="764">
        <v>0.1</v>
      </c>
      <c r="F85" s="765">
        <f t="shared" ref="F85:F87" si="50">0.5*(MAX(C85:E85)-MIN(C85:E85))</f>
        <v>4.9999500000000002E-2</v>
      </c>
      <c r="G85" s="765">
        <f>(1.7/100)*B85</f>
        <v>0.34</v>
      </c>
      <c r="H85" s="1138"/>
      <c r="I85" s="764">
        <v>20</v>
      </c>
      <c r="J85" s="764">
        <v>9.9999999999999995E-7</v>
      </c>
      <c r="K85" s="764">
        <v>9.9999999999999995E-7</v>
      </c>
      <c r="L85" s="766" t="s">
        <v>109</v>
      </c>
      <c r="M85" s="765">
        <f t="shared" ref="M85:M87" si="51">0.5*(MAX(J85:L85)-MIN(J85:L85))</f>
        <v>0</v>
      </c>
      <c r="N85" s="765">
        <f t="shared" ref="N85:N87" si="52">(1.7/100)*I85</f>
        <v>0.34</v>
      </c>
      <c r="O85" s="1138"/>
      <c r="P85" s="764">
        <v>20</v>
      </c>
      <c r="Q85" s="764">
        <v>9.9999999999999995E-7</v>
      </c>
      <c r="R85" s="764">
        <v>9.9999999999999995E-7</v>
      </c>
      <c r="S85" s="766" t="s">
        <v>109</v>
      </c>
      <c r="T85" s="765">
        <f t="shared" ref="T85:T87" si="53">0.5*(MAX(Q85:S85)-MIN(Q85:S85))</f>
        <v>0</v>
      </c>
      <c r="U85" s="765">
        <f t="shared" ref="U85:U87" si="54">(1.7/100)*P85</f>
        <v>0.34</v>
      </c>
    </row>
    <row r="86" spans="1:21" x14ac:dyDescent="0.2">
      <c r="A86" s="1136"/>
      <c r="B86" s="764">
        <v>50</v>
      </c>
      <c r="C86" s="764">
        <v>0.5</v>
      </c>
      <c r="D86" s="764">
        <v>9.9999999999999995E-7</v>
      </c>
      <c r="E86" s="764">
        <v>0.4</v>
      </c>
      <c r="F86" s="765">
        <f t="shared" si="50"/>
        <v>0.24999950000000001</v>
      </c>
      <c r="G86" s="765">
        <f>(1.7/100)*B86</f>
        <v>0.85000000000000009</v>
      </c>
      <c r="H86" s="1138"/>
      <c r="I86" s="764">
        <v>50</v>
      </c>
      <c r="J86" s="764">
        <v>0.2</v>
      </c>
      <c r="K86" s="764">
        <v>9.9999999999999995E-7</v>
      </c>
      <c r="L86" s="766" t="s">
        <v>109</v>
      </c>
      <c r="M86" s="765">
        <f t="shared" si="51"/>
        <v>9.9999500000000005E-2</v>
      </c>
      <c r="N86" s="765">
        <f t="shared" si="52"/>
        <v>0.85000000000000009</v>
      </c>
      <c r="O86" s="1138"/>
      <c r="P86" s="764">
        <v>50</v>
      </c>
      <c r="Q86" s="764">
        <v>0.2</v>
      </c>
      <c r="R86" s="764">
        <v>9.9999999999999995E-7</v>
      </c>
      <c r="S86" s="766" t="s">
        <v>109</v>
      </c>
      <c r="T86" s="765">
        <f t="shared" si="53"/>
        <v>9.9999500000000005E-2</v>
      </c>
      <c r="U86" s="765">
        <f t="shared" si="54"/>
        <v>0.85000000000000009</v>
      </c>
    </row>
    <row r="87" spans="1:21" x14ac:dyDescent="0.2">
      <c r="A87" s="1136"/>
      <c r="B87" s="764">
        <v>100</v>
      </c>
      <c r="C87" s="764">
        <v>0.9</v>
      </c>
      <c r="D87" s="764">
        <v>9.9999999999999995E-7</v>
      </c>
      <c r="E87" s="764">
        <v>1.4</v>
      </c>
      <c r="F87" s="765">
        <f t="shared" si="50"/>
        <v>0.6999995</v>
      </c>
      <c r="G87" s="765">
        <f>(1.7/100)*B87</f>
        <v>1.7000000000000002</v>
      </c>
      <c r="H87" s="1138"/>
      <c r="I87" s="764">
        <v>100</v>
      </c>
      <c r="J87" s="764">
        <v>0.4</v>
      </c>
      <c r="K87" s="764">
        <v>9.9999999999999995E-7</v>
      </c>
      <c r="L87" s="766" t="s">
        <v>109</v>
      </c>
      <c r="M87" s="765">
        <f t="shared" si="51"/>
        <v>0.19999950000000002</v>
      </c>
      <c r="N87" s="765">
        <f t="shared" si="52"/>
        <v>1.7000000000000002</v>
      </c>
      <c r="O87" s="1138"/>
      <c r="P87" s="764">
        <v>100</v>
      </c>
      <c r="Q87" s="764">
        <v>0.6</v>
      </c>
      <c r="R87" s="764">
        <v>9.9999999999999995E-7</v>
      </c>
      <c r="S87" s="766" t="s">
        <v>109</v>
      </c>
      <c r="T87" s="765">
        <f t="shared" si="53"/>
        <v>0.29999949999999997</v>
      </c>
      <c r="U87" s="765">
        <f t="shared" si="54"/>
        <v>1.7000000000000002</v>
      </c>
    </row>
    <row r="88" spans="1:21" ht="12.75" customHeight="1" x14ac:dyDescent="0.2">
      <c r="A88" s="1136"/>
      <c r="B88" s="1127" t="s">
        <v>269</v>
      </c>
      <c r="C88" s="1127"/>
      <c r="D88" s="1127"/>
      <c r="E88" s="1127"/>
      <c r="F88" s="1126" t="s">
        <v>264</v>
      </c>
      <c r="G88" s="1126" t="s">
        <v>195</v>
      </c>
      <c r="H88" s="1138"/>
      <c r="I88" s="1127" t="s">
        <v>269</v>
      </c>
      <c r="J88" s="1127"/>
      <c r="K88" s="1127"/>
      <c r="L88" s="1127"/>
      <c r="M88" s="1126" t="s">
        <v>264</v>
      </c>
      <c r="N88" s="1126" t="s">
        <v>195</v>
      </c>
      <c r="O88" s="1138"/>
      <c r="P88" s="1127" t="str">
        <f>B88</f>
        <v>Resistance</v>
      </c>
      <c r="Q88" s="1127"/>
      <c r="R88" s="1127"/>
      <c r="S88" s="1127"/>
      <c r="T88" s="1126" t="s">
        <v>264</v>
      </c>
      <c r="U88" s="1126" t="s">
        <v>195</v>
      </c>
    </row>
    <row r="89" spans="1:21" ht="15" x14ac:dyDescent="0.2">
      <c r="A89" s="1136"/>
      <c r="B89" s="758" t="s">
        <v>384</v>
      </c>
      <c r="C89" s="759">
        <f>C67</f>
        <v>2022</v>
      </c>
      <c r="D89" s="759">
        <f>D67</f>
        <v>2020</v>
      </c>
      <c r="E89" s="759">
        <f>E67</f>
        <v>2018</v>
      </c>
      <c r="F89" s="1126"/>
      <c r="G89" s="1126"/>
      <c r="H89" s="1138"/>
      <c r="I89" s="758" t="s">
        <v>384</v>
      </c>
      <c r="J89" s="759">
        <f>J67</f>
        <v>2022</v>
      </c>
      <c r="K89" s="759">
        <f>K67</f>
        <v>2020</v>
      </c>
      <c r="L89" s="759" t="str">
        <f>L67</f>
        <v>-</v>
      </c>
      <c r="M89" s="1126"/>
      <c r="N89" s="1126"/>
      <c r="O89" s="1138"/>
      <c r="P89" s="758" t="s">
        <v>384</v>
      </c>
      <c r="Q89" s="759">
        <f>Q67</f>
        <v>2022</v>
      </c>
      <c r="R89" s="759">
        <f>R67</f>
        <v>2020</v>
      </c>
      <c r="S89" s="759" t="str">
        <f>S67</f>
        <v>-</v>
      </c>
      <c r="T89" s="1126"/>
      <c r="U89" s="1126"/>
    </row>
    <row r="90" spans="1:21" x14ac:dyDescent="0.2">
      <c r="A90" s="1136"/>
      <c r="B90" s="764">
        <v>0.01</v>
      </c>
      <c r="C90" s="764">
        <v>9.9999999999999995E-7</v>
      </c>
      <c r="D90" s="764">
        <v>9.9999999999999995E-7</v>
      </c>
      <c r="E90" s="764">
        <v>9.9999999999999995E-7</v>
      </c>
      <c r="F90" s="765">
        <f>0.5*(MAX(C90:E90)-MIN(C90:E90))</f>
        <v>0</v>
      </c>
      <c r="G90" s="765">
        <f>(1.2/100)*B90</f>
        <v>1.2E-4</v>
      </c>
      <c r="H90" s="1138"/>
      <c r="I90" s="764">
        <v>0.1</v>
      </c>
      <c r="J90" s="764">
        <v>-1E-3</v>
      </c>
      <c r="K90" s="779">
        <v>-1E-3</v>
      </c>
      <c r="L90" s="766" t="s">
        <v>109</v>
      </c>
      <c r="M90" s="780">
        <f>0.5*(MAX(J90:L90)-MIN(J90:L90))</f>
        <v>0</v>
      </c>
      <c r="N90" s="780">
        <f>(1.2/100)*I90</f>
        <v>1.2000000000000001E-3</v>
      </c>
      <c r="O90" s="1138"/>
      <c r="P90" s="764">
        <v>1E-3</v>
      </c>
      <c r="Q90" s="764">
        <v>-2E-3</v>
      </c>
      <c r="R90" s="764">
        <v>-1E-3</v>
      </c>
      <c r="S90" s="766" t="s">
        <v>109</v>
      </c>
      <c r="T90" s="765">
        <f>0.5*(MAX(Q90:S90)-MIN(Q90:S90))</f>
        <v>5.0000000000000001E-4</v>
      </c>
      <c r="U90" s="765">
        <f>(1.2/100)*P90</f>
        <v>1.2E-5</v>
      </c>
    </row>
    <row r="91" spans="1:21" x14ac:dyDescent="0.2">
      <c r="A91" s="1136"/>
      <c r="B91" s="764">
        <v>0.5</v>
      </c>
      <c r="C91" s="764">
        <v>3.0000000000000001E-3</v>
      </c>
      <c r="D91" s="764">
        <v>9.9999999999999995E-7</v>
      </c>
      <c r="E91" s="764">
        <v>1E-3</v>
      </c>
      <c r="F91" s="765">
        <f t="shared" ref="F91:F93" si="55">0.5*(MAX(C91:E91)-MIN(C91:E91))</f>
        <v>1.4995E-3</v>
      </c>
      <c r="G91" s="765">
        <f t="shared" ref="G91:G93" si="56">(1.2/100)*B91</f>
        <v>6.0000000000000001E-3</v>
      </c>
      <c r="H91" s="1138"/>
      <c r="I91" s="764">
        <v>0.5</v>
      </c>
      <c r="J91" s="764">
        <v>4.0000000000000001E-3</v>
      </c>
      <c r="K91" s="779">
        <v>-3.0000000000000001E-3</v>
      </c>
      <c r="L91" s="766" t="s">
        <v>109</v>
      </c>
      <c r="M91" s="780">
        <f t="shared" ref="M91:M93" si="57">0.5*(MAX(J91:L91)-MIN(J91:L91))</f>
        <v>3.5000000000000001E-3</v>
      </c>
      <c r="N91" s="780">
        <f>(1.2/100)*I91</f>
        <v>6.0000000000000001E-3</v>
      </c>
      <c r="O91" s="1138"/>
      <c r="P91" s="764">
        <v>0.10199999999999999</v>
      </c>
      <c r="Q91" s="764">
        <v>1E-3</v>
      </c>
      <c r="R91" s="764">
        <v>-2E-3</v>
      </c>
      <c r="S91" s="766" t="s">
        <v>109</v>
      </c>
      <c r="T91" s="765">
        <f t="shared" ref="T91:T93" si="58">0.5*(MAX(Q91:S91)-MIN(Q91:S91))</f>
        <v>1.5E-3</v>
      </c>
      <c r="U91" s="765">
        <f>(1.2/100)*P91</f>
        <v>1.224E-3</v>
      </c>
    </row>
    <row r="92" spans="1:21" x14ac:dyDescent="0.2">
      <c r="A92" s="1136"/>
      <c r="B92" s="764">
        <v>1</v>
      </c>
      <c r="C92" s="764">
        <v>2E-3</v>
      </c>
      <c r="D92" s="764">
        <v>-2E-3</v>
      </c>
      <c r="E92" s="764">
        <v>1E-3</v>
      </c>
      <c r="F92" s="765">
        <f t="shared" si="55"/>
        <v>2E-3</v>
      </c>
      <c r="G92" s="765">
        <f t="shared" si="56"/>
        <v>1.2E-2</v>
      </c>
      <c r="H92" s="1138"/>
      <c r="I92" s="764">
        <v>1</v>
      </c>
      <c r="J92" s="764">
        <v>5.0000000000000001E-3</v>
      </c>
      <c r="K92" s="779">
        <v>1E-3</v>
      </c>
      <c r="L92" s="766" t="s">
        <v>109</v>
      </c>
      <c r="M92" s="780">
        <f t="shared" si="57"/>
        <v>2E-3</v>
      </c>
      <c r="N92" s="780">
        <f>(1.2/100)*I92</f>
        <v>1.2E-2</v>
      </c>
      <c r="O92" s="1138"/>
      <c r="P92" s="764">
        <v>0.5</v>
      </c>
      <c r="Q92" s="764">
        <v>4.0000000000000001E-3</v>
      </c>
      <c r="R92" s="764">
        <v>9.9999999999999995E-7</v>
      </c>
      <c r="S92" s="766" t="s">
        <v>109</v>
      </c>
      <c r="T92" s="765">
        <f t="shared" si="58"/>
        <v>1.9995E-3</v>
      </c>
      <c r="U92" s="765">
        <f>(1.2/100)*P92</f>
        <v>6.0000000000000001E-3</v>
      </c>
    </row>
    <row r="93" spans="1:21" x14ac:dyDescent="0.2">
      <c r="A93" s="1136"/>
      <c r="B93" s="764">
        <v>2</v>
      </c>
      <c r="C93" s="764">
        <v>-1E-3</v>
      </c>
      <c r="D93" s="764">
        <v>9.9999999999999995E-7</v>
      </c>
      <c r="E93" s="764">
        <v>9.9999999999999995E-7</v>
      </c>
      <c r="F93" s="765">
        <f t="shared" si="55"/>
        <v>5.0049999999999997E-4</v>
      </c>
      <c r="G93" s="765">
        <f t="shared" si="56"/>
        <v>2.4E-2</v>
      </c>
      <c r="H93" s="1138"/>
      <c r="I93" s="764">
        <v>2</v>
      </c>
      <c r="J93" s="764">
        <v>5.0000000000000001E-3</v>
      </c>
      <c r="K93" s="779">
        <v>-1E-3</v>
      </c>
      <c r="L93" s="766" t="s">
        <v>109</v>
      </c>
      <c r="M93" s="780">
        <f t="shared" si="57"/>
        <v>3.0000000000000001E-3</v>
      </c>
      <c r="N93" s="780">
        <f>(1.2/100)*I93</f>
        <v>2.4E-2</v>
      </c>
      <c r="O93" s="1138"/>
      <c r="P93" s="771">
        <v>1</v>
      </c>
      <c r="Q93" s="771">
        <v>9.9999999999999995E-7</v>
      </c>
      <c r="R93" s="771">
        <v>-1E-3</v>
      </c>
      <c r="S93" s="766" t="s">
        <v>109</v>
      </c>
      <c r="T93" s="773">
        <f t="shared" si="58"/>
        <v>5.0049999999999997E-4</v>
      </c>
      <c r="U93" s="765">
        <f>(1.2/100)*P93</f>
        <v>1.2E-2</v>
      </c>
    </row>
    <row r="94" spans="1:21" ht="15" x14ac:dyDescent="0.2">
      <c r="A94" s="781"/>
      <c r="B94" s="775"/>
      <c r="C94" s="775"/>
      <c r="D94" s="776"/>
      <c r="E94" s="782"/>
      <c r="F94" s="776"/>
      <c r="H94" s="777"/>
      <c r="I94" s="775"/>
      <c r="J94" s="775"/>
      <c r="K94" s="776"/>
      <c r="L94" s="776"/>
      <c r="M94" s="776"/>
      <c r="O94" s="777"/>
      <c r="P94" s="775"/>
      <c r="Q94" s="775"/>
      <c r="R94" s="776"/>
      <c r="S94" s="776"/>
      <c r="T94" s="776"/>
    </row>
    <row r="95" spans="1:21" ht="15" x14ac:dyDescent="0.2">
      <c r="A95" s="1136" t="s">
        <v>281</v>
      </c>
      <c r="B95" s="1128">
        <v>10</v>
      </c>
      <c r="C95" s="1128"/>
      <c r="D95" s="1128"/>
      <c r="E95" s="1128"/>
      <c r="F95" s="1128"/>
      <c r="G95" s="1128"/>
      <c r="H95" s="1138" t="s">
        <v>282</v>
      </c>
      <c r="I95" s="1129">
        <v>11</v>
      </c>
      <c r="J95" s="1129"/>
      <c r="K95" s="1129"/>
      <c r="L95" s="1129"/>
      <c r="M95" s="1129"/>
      <c r="N95" s="1129"/>
      <c r="O95" s="1138" t="s">
        <v>283</v>
      </c>
      <c r="P95" s="1129">
        <v>12</v>
      </c>
      <c r="Q95" s="1129"/>
      <c r="R95" s="1129"/>
      <c r="S95" s="1129"/>
      <c r="T95" s="1129"/>
      <c r="U95" s="1129"/>
    </row>
    <row r="96" spans="1:21" ht="15" x14ac:dyDescent="0.25">
      <c r="A96" s="1136"/>
      <c r="B96" s="1130" t="s">
        <v>262</v>
      </c>
      <c r="C96" s="1130"/>
      <c r="D96" s="1130"/>
      <c r="E96" s="1130"/>
      <c r="F96" s="1130"/>
      <c r="G96" s="1130"/>
      <c r="H96" s="1138"/>
      <c r="I96" s="1131" t="s">
        <v>262</v>
      </c>
      <c r="J96" s="1131"/>
      <c r="K96" s="1131"/>
      <c r="L96" s="1131"/>
      <c r="M96" s="1131"/>
      <c r="N96" s="1131"/>
      <c r="O96" s="1138"/>
      <c r="P96" s="1131" t="s">
        <v>262</v>
      </c>
      <c r="Q96" s="1131"/>
      <c r="R96" s="1131"/>
      <c r="S96" s="1131"/>
      <c r="T96" s="1131"/>
      <c r="U96" s="1131"/>
    </row>
    <row r="97" spans="1:21" x14ac:dyDescent="0.2">
      <c r="A97" s="1136"/>
      <c r="B97" s="1126" t="s">
        <v>263</v>
      </c>
      <c r="C97" s="1126"/>
      <c r="D97" s="1126"/>
      <c r="E97" s="1126"/>
      <c r="F97" s="1126" t="s">
        <v>264</v>
      </c>
      <c r="G97" s="1126" t="s">
        <v>195</v>
      </c>
      <c r="H97" s="1138"/>
      <c r="I97" s="1126" t="str">
        <f>B97</f>
        <v>Setting VAC</v>
      </c>
      <c r="J97" s="1126"/>
      <c r="K97" s="1126"/>
      <c r="L97" s="1126"/>
      <c r="M97" s="1126" t="s">
        <v>264</v>
      </c>
      <c r="N97" s="1126" t="s">
        <v>195</v>
      </c>
      <c r="O97" s="1138"/>
      <c r="P97" s="1126" t="str">
        <f>B97</f>
        <v>Setting VAC</v>
      </c>
      <c r="Q97" s="1126"/>
      <c r="R97" s="1126"/>
      <c r="S97" s="1126"/>
      <c r="T97" s="1126" t="s">
        <v>264</v>
      </c>
      <c r="U97" s="1126" t="s">
        <v>195</v>
      </c>
    </row>
    <row r="98" spans="1:21" ht="15" x14ac:dyDescent="0.2">
      <c r="A98" s="1136"/>
      <c r="B98" s="758" t="s">
        <v>265</v>
      </c>
      <c r="C98" s="760">
        <v>2021</v>
      </c>
      <c r="D98" s="760" t="s">
        <v>109</v>
      </c>
      <c r="E98" s="760" t="s">
        <v>109</v>
      </c>
      <c r="F98" s="1126"/>
      <c r="G98" s="1126"/>
      <c r="H98" s="1138"/>
      <c r="I98" s="758" t="s">
        <v>265</v>
      </c>
      <c r="J98" s="760" t="s">
        <v>109</v>
      </c>
      <c r="K98" s="760" t="s">
        <v>109</v>
      </c>
      <c r="L98" s="760" t="s">
        <v>109</v>
      </c>
      <c r="M98" s="1126"/>
      <c r="N98" s="1126"/>
      <c r="O98" s="1138"/>
      <c r="P98" s="758" t="s">
        <v>265</v>
      </c>
      <c r="Q98" s="760" t="s">
        <v>109</v>
      </c>
      <c r="R98" s="760" t="s">
        <v>109</v>
      </c>
      <c r="S98" s="760" t="s">
        <v>109</v>
      </c>
      <c r="T98" s="1126"/>
      <c r="U98" s="1126"/>
    </row>
    <row r="99" spans="1:21" x14ac:dyDescent="0.2">
      <c r="A99" s="1136"/>
      <c r="B99" s="763">
        <v>150</v>
      </c>
      <c r="C99" s="764">
        <v>-0.05</v>
      </c>
      <c r="D99" s="760" t="s">
        <v>109</v>
      </c>
      <c r="E99" s="766" t="s">
        <v>109</v>
      </c>
      <c r="F99" s="765">
        <f>0.5*(MAX(C99:E99)-MIN(C99:E99))</f>
        <v>0</v>
      </c>
      <c r="G99" s="760" t="s">
        <v>109</v>
      </c>
      <c r="H99" s="1138"/>
      <c r="I99" s="763">
        <v>150</v>
      </c>
      <c r="J99" s="764">
        <v>9.9999999999999995E-7</v>
      </c>
      <c r="K99" s="760" t="s">
        <v>109</v>
      </c>
      <c r="L99" s="766" t="s">
        <v>109</v>
      </c>
      <c r="M99" s="765">
        <f>0.5*(MAX(J99:L99)-MIN(J99:L99))</f>
        <v>0</v>
      </c>
      <c r="N99" s="760" t="s">
        <v>109</v>
      </c>
      <c r="O99" s="1138"/>
      <c r="P99" s="763">
        <v>150</v>
      </c>
      <c r="Q99" s="764">
        <v>9.9999999999999995E-7</v>
      </c>
      <c r="R99" s="760" t="s">
        <v>109</v>
      </c>
      <c r="S99" s="766" t="s">
        <v>109</v>
      </c>
      <c r="T99" s="765">
        <f>0.5*(MAX(Q99:S99)-MIN(Q99:S99))</f>
        <v>0</v>
      </c>
      <c r="U99" s="760" t="s">
        <v>109</v>
      </c>
    </row>
    <row r="100" spans="1:21" x14ac:dyDescent="0.2">
      <c r="A100" s="1136"/>
      <c r="B100" s="763">
        <v>180</v>
      </c>
      <c r="C100" s="764">
        <v>-0.04</v>
      </c>
      <c r="D100" s="766" t="s">
        <v>109</v>
      </c>
      <c r="E100" s="766" t="s">
        <v>109</v>
      </c>
      <c r="F100" s="765">
        <f t="shared" ref="F100:F104" si="59">0.5*(MAX(C100:E100)-MIN(C100:E100))</f>
        <v>0</v>
      </c>
      <c r="G100" s="760" t="s">
        <v>109</v>
      </c>
      <c r="H100" s="1138"/>
      <c r="I100" s="763">
        <v>180</v>
      </c>
      <c r="J100" s="764">
        <v>9.9999999999999995E-7</v>
      </c>
      <c r="K100" s="766" t="s">
        <v>109</v>
      </c>
      <c r="L100" s="766" t="s">
        <v>109</v>
      </c>
      <c r="M100" s="765">
        <f t="shared" ref="M100:M104" si="60">0.5*(MAX(J100:L100)-MIN(J100:L100))</f>
        <v>0</v>
      </c>
      <c r="N100" s="766" t="s">
        <v>109</v>
      </c>
      <c r="O100" s="1138"/>
      <c r="P100" s="763">
        <v>180</v>
      </c>
      <c r="Q100" s="764">
        <v>9.9999999999999995E-7</v>
      </c>
      <c r="R100" s="766" t="s">
        <v>109</v>
      </c>
      <c r="S100" s="766" t="s">
        <v>109</v>
      </c>
      <c r="T100" s="765">
        <f t="shared" ref="T100:T104" si="61">0.5*(MAX(Q100:S100)-MIN(Q100:S100))</f>
        <v>0</v>
      </c>
      <c r="U100" s="766" t="s">
        <v>109</v>
      </c>
    </row>
    <row r="101" spans="1:21" x14ac:dyDescent="0.2">
      <c r="A101" s="1136"/>
      <c r="B101" s="764">
        <v>200</v>
      </c>
      <c r="C101" s="764">
        <v>-0.67</v>
      </c>
      <c r="D101" s="766" t="s">
        <v>109</v>
      </c>
      <c r="E101" s="766" t="s">
        <v>109</v>
      </c>
      <c r="F101" s="765">
        <f t="shared" si="59"/>
        <v>0</v>
      </c>
      <c r="G101" s="760" t="s">
        <v>109</v>
      </c>
      <c r="H101" s="1138"/>
      <c r="I101" s="764">
        <v>200</v>
      </c>
      <c r="J101" s="764">
        <v>9.9999999999999995E-7</v>
      </c>
      <c r="K101" s="766" t="s">
        <v>109</v>
      </c>
      <c r="L101" s="766" t="s">
        <v>109</v>
      </c>
      <c r="M101" s="765">
        <f t="shared" si="60"/>
        <v>0</v>
      </c>
      <c r="N101" s="766" t="s">
        <v>109</v>
      </c>
      <c r="O101" s="1138"/>
      <c r="P101" s="764">
        <v>200</v>
      </c>
      <c r="Q101" s="764">
        <v>9.9999999999999995E-7</v>
      </c>
      <c r="R101" s="766" t="s">
        <v>109</v>
      </c>
      <c r="S101" s="766" t="s">
        <v>109</v>
      </c>
      <c r="T101" s="765">
        <f t="shared" si="61"/>
        <v>0</v>
      </c>
      <c r="U101" s="766" t="s">
        <v>109</v>
      </c>
    </row>
    <row r="102" spans="1:21" x14ac:dyDescent="0.2">
      <c r="A102" s="1136"/>
      <c r="B102" s="764">
        <v>220</v>
      </c>
      <c r="C102" s="764">
        <v>9.9999999999999995E-7</v>
      </c>
      <c r="D102" s="766" t="s">
        <v>109</v>
      </c>
      <c r="E102" s="766" t="s">
        <v>109</v>
      </c>
      <c r="F102" s="765">
        <f t="shared" si="59"/>
        <v>0</v>
      </c>
      <c r="G102" s="760" t="s">
        <v>109</v>
      </c>
      <c r="H102" s="1138"/>
      <c r="I102" s="764">
        <v>220</v>
      </c>
      <c r="J102" s="764">
        <v>9.9999999999999995E-7</v>
      </c>
      <c r="K102" s="766" t="s">
        <v>109</v>
      </c>
      <c r="L102" s="766" t="s">
        <v>109</v>
      </c>
      <c r="M102" s="765">
        <f t="shared" si="60"/>
        <v>0</v>
      </c>
      <c r="N102" s="766" t="s">
        <v>109</v>
      </c>
      <c r="O102" s="1138"/>
      <c r="P102" s="764">
        <v>220</v>
      </c>
      <c r="Q102" s="764">
        <v>9.9999999999999995E-7</v>
      </c>
      <c r="R102" s="766" t="s">
        <v>109</v>
      </c>
      <c r="S102" s="766" t="s">
        <v>109</v>
      </c>
      <c r="T102" s="765">
        <f t="shared" si="61"/>
        <v>0</v>
      </c>
      <c r="U102" s="766" t="s">
        <v>109</v>
      </c>
    </row>
    <row r="103" spans="1:21" x14ac:dyDescent="0.2">
      <c r="A103" s="1136"/>
      <c r="B103" s="764">
        <v>230</v>
      </c>
      <c r="C103" s="764">
        <v>-0.11</v>
      </c>
      <c r="D103" s="766" t="s">
        <v>109</v>
      </c>
      <c r="E103" s="766" t="s">
        <v>109</v>
      </c>
      <c r="F103" s="765">
        <f t="shared" si="59"/>
        <v>0</v>
      </c>
      <c r="G103" s="760" t="s">
        <v>109</v>
      </c>
      <c r="H103" s="1138"/>
      <c r="I103" s="764">
        <v>230</v>
      </c>
      <c r="J103" s="764">
        <v>9.9999999999999995E-7</v>
      </c>
      <c r="K103" s="766" t="s">
        <v>109</v>
      </c>
      <c r="L103" s="766" t="s">
        <v>109</v>
      </c>
      <c r="M103" s="765">
        <f t="shared" si="60"/>
        <v>0</v>
      </c>
      <c r="N103" s="766" t="s">
        <v>109</v>
      </c>
      <c r="O103" s="1138"/>
      <c r="P103" s="764">
        <v>230</v>
      </c>
      <c r="Q103" s="764">
        <v>9.9999999999999995E-7</v>
      </c>
      <c r="R103" s="766" t="s">
        <v>109</v>
      </c>
      <c r="S103" s="766" t="s">
        <v>109</v>
      </c>
      <c r="T103" s="765">
        <f t="shared" si="61"/>
        <v>0</v>
      </c>
      <c r="U103" s="766" t="s">
        <v>109</v>
      </c>
    </row>
    <row r="104" spans="1:21" x14ac:dyDescent="0.2">
      <c r="A104" s="1136"/>
      <c r="B104" s="764">
        <v>250</v>
      </c>
      <c r="C104" s="764">
        <v>-0.11</v>
      </c>
      <c r="D104" s="766" t="s">
        <v>109</v>
      </c>
      <c r="E104" s="766" t="s">
        <v>109</v>
      </c>
      <c r="F104" s="765">
        <f t="shared" si="59"/>
        <v>0</v>
      </c>
      <c r="G104" s="760" t="s">
        <v>109</v>
      </c>
      <c r="H104" s="1138"/>
      <c r="I104" s="764">
        <v>250</v>
      </c>
      <c r="J104" s="764">
        <v>9.9999999999999995E-7</v>
      </c>
      <c r="K104" s="766" t="s">
        <v>109</v>
      </c>
      <c r="L104" s="766" t="s">
        <v>109</v>
      </c>
      <c r="M104" s="765">
        <f t="shared" si="60"/>
        <v>0</v>
      </c>
      <c r="N104" s="766" t="s">
        <v>109</v>
      </c>
      <c r="O104" s="1138"/>
      <c r="P104" s="764">
        <v>250</v>
      </c>
      <c r="Q104" s="764">
        <v>9.9999999999999995E-7</v>
      </c>
      <c r="R104" s="766" t="s">
        <v>109</v>
      </c>
      <c r="S104" s="766" t="s">
        <v>109</v>
      </c>
      <c r="T104" s="765">
        <f t="shared" si="61"/>
        <v>0</v>
      </c>
      <c r="U104" s="766" t="s">
        <v>109</v>
      </c>
    </row>
    <row r="105" spans="1:21" ht="12.95" customHeight="1" x14ac:dyDescent="0.2">
      <c r="A105" s="1136"/>
      <c r="B105" s="1127" t="s">
        <v>266</v>
      </c>
      <c r="C105" s="1127"/>
      <c r="D105" s="1127"/>
      <c r="E105" s="1127"/>
      <c r="F105" s="1126" t="s">
        <v>264</v>
      </c>
      <c r="G105" s="1126" t="s">
        <v>195</v>
      </c>
      <c r="H105" s="1138"/>
      <c r="I105" s="1127" t="str">
        <f>B105</f>
        <v>Current Leakage</v>
      </c>
      <c r="J105" s="1127"/>
      <c r="K105" s="1127"/>
      <c r="L105" s="1127"/>
      <c r="M105" s="1126" t="s">
        <v>264</v>
      </c>
      <c r="N105" s="1126" t="s">
        <v>195</v>
      </c>
      <c r="O105" s="1138"/>
      <c r="P105" s="1127" t="str">
        <f>B105</f>
        <v>Current Leakage</v>
      </c>
      <c r="Q105" s="1127"/>
      <c r="R105" s="1127"/>
      <c r="S105" s="1127"/>
      <c r="T105" s="1126" t="s">
        <v>264</v>
      </c>
      <c r="U105" s="1126" t="s">
        <v>195</v>
      </c>
    </row>
    <row r="106" spans="1:21" ht="15" x14ac:dyDescent="0.2">
      <c r="A106" s="1136"/>
      <c r="B106" s="758" t="s">
        <v>267</v>
      </c>
      <c r="C106" s="759">
        <f>C98</f>
        <v>2021</v>
      </c>
      <c r="D106" s="759" t="str">
        <f>D98</f>
        <v>-</v>
      </c>
      <c r="E106" s="759" t="str">
        <f>E98</f>
        <v>-</v>
      </c>
      <c r="F106" s="1126"/>
      <c r="G106" s="1126"/>
      <c r="H106" s="1138"/>
      <c r="I106" s="758" t="s">
        <v>267</v>
      </c>
      <c r="J106" s="759" t="str">
        <f>J98</f>
        <v>-</v>
      </c>
      <c r="K106" s="759" t="str">
        <f>K98</f>
        <v>-</v>
      </c>
      <c r="L106" s="759" t="str">
        <f>L98</f>
        <v>-</v>
      </c>
      <c r="M106" s="1126"/>
      <c r="N106" s="1126"/>
      <c r="O106" s="1138"/>
      <c r="P106" s="758" t="s">
        <v>267</v>
      </c>
      <c r="Q106" s="759" t="str">
        <f>Q98</f>
        <v>-</v>
      </c>
      <c r="R106" s="759" t="str">
        <f>R98</f>
        <v>-</v>
      </c>
      <c r="S106" s="759" t="str">
        <f>S98</f>
        <v>-</v>
      </c>
      <c r="T106" s="1126"/>
      <c r="U106" s="1126"/>
    </row>
    <row r="107" spans="1:21" x14ac:dyDescent="0.2">
      <c r="A107" s="1136"/>
      <c r="B107" s="764">
        <v>0</v>
      </c>
      <c r="C107" s="764">
        <v>9.9999999999999995E-7</v>
      </c>
      <c r="D107" s="760" t="s">
        <v>109</v>
      </c>
      <c r="E107" s="766" t="s">
        <v>109</v>
      </c>
      <c r="F107" s="765">
        <f>0.5*(MAX(C107:E107)-MIN(C107:E107))</f>
        <v>0</v>
      </c>
      <c r="G107" s="760" t="s">
        <v>109</v>
      </c>
      <c r="H107" s="1138"/>
      <c r="I107" s="764">
        <v>0</v>
      </c>
      <c r="J107" s="764">
        <v>9.9999999999999995E-7</v>
      </c>
      <c r="K107" s="760" t="s">
        <v>109</v>
      </c>
      <c r="L107" s="766" t="s">
        <v>109</v>
      </c>
      <c r="M107" s="765">
        <f>0.5*(MAX(J107:L107)-MIN(J107:L107))</f>
        <v>0</v>
      </c>
      <c r="N107" s="760" t="s">
        <v>109</v>
      </c>
      <c r="O107" s="1138"/>
      <c r="P107" s="764">
        <v>0</v>
      </c>
      <c r="Q107" s="764">
        <v>9.9999999999999995E-7</v>
      </c>
      <c r="R107" s="760" t="s">
        <v>109</v>
      </c>
      <c r="S107" s="766" t="s">
        <v>109</v>
      </c>
      <c r="T107" s="765">
        <f>0.5*(MAX(Q107:S107)-MIN(Q107:S107))</f>
        <v>0</v>
      </c>
      <c r="U107" s="760" t="s">
        <v>109</v>
      </c>
    </row>
    <row r="108" spans="1:21" x14ac:dyDescent="0.2">
      <c r="A108" s="1136"/>
      <c r="B108" s="764">
        <v>50</v>
      </c>
      <c r="C108" s="764">
        <v>0.4</v>
      </c>
      <c r="D108" s="766" t="s">
        <v>109</v>
      </c>
      <c r="E108" s="766" t="s">
        <v>109</v>
      </c>
      <c r="F108" s="765">
        <f t="shared" ref="F108:F112" si="62">0.5*(MAX(C108:E108)-MIN(C108:E108))</f>
        <v>0</v>
      </c>
      <c r="G108" s="760" t="s">
        <v>109</v>
      </c>
      <c r="H108" s="1138"/>
      <c r="I108" s="764">
        <v>50</v>
      </c>
      <c r="J108" s="764">
        <v>9.9999999999999995E-7</v>
      </c>
      <c r="K108" s="766" t="s">
        <v>109</v>
      </c>
      <c r="L108" s="766" t="s">
        <v>109</v>
      </c>
      <c r="M108" s="765">
        <f t="shared" ref="M108:M112" si="63">0.5*(MAX(J108:L108)-MIN(J108:L108))</f>
        <v>0</v>
      </c>
      <c r="N108" s="766" t="s">
        <v>109</v>
      </c>
      <c r="O108" s="1138"/>
      <c r="P108" s="764">
        <v>50</v>
      </c>
      <c r="Q108" s="764">
        <v>9.9999999999999995E-7</v>
      </c>
      <c r="R108" s="766" t="s">
        <v>109</v>
      </c>
      <c r="S108" s="766" t="s">
        <v>109</v>
      </c>
      <c r="T108" s="765">
        <f t="shared" ref="T108:T112" si="64">0.5*(MAX(Q108:S108)-MIN(Q108:S108))</f>
        <v>0</v>
      </c>
      <c r="U108" s="766" t="s">
        <v>109</v>
      </c>
    </row>
    <row r="109" spans="1:21" x14ac:dyDescent="0.2">
      <c r="A109" s="1136"/>
      <c r="B109" s="764">
        <v>100</v>
      </c>
      <c r="C109" s="764">
        <v>0.4</v>
      </c>
      <c r="D109" s="766" t="s">
        <v>109</v>
      </c>
      <c r="E109" s="766" t="s">
        <v>109</v>
      </c>
      <c r="F109" s="765">
        <f t="shared" si="62"/>
        <v>0</v>
      </c>
      <c r="G109" s="760" t="s">
        <v>109</v>
      </c>
      <c r="H109" s="1138"/>
      <c r="I109" s="764">
        <v>100</v>
      </c>
      <c r="J109" s="764">
        <v>9.9999999999999995E-7</v>
      </c>
      <c r="K109" s="766" t="s">
        <v>109</v>
      </c>
      <c r="L109" s="766" t="s">
        <v>109</v>
      </c>
      <c r="M109" s="765">
        <f t="shared" si="63"/>
        <v>0</v>
      </c>
      <c r="N109" s="766" t="s">
        <v>109</v>
      </c>
      <c r="O109" s="1138"/>
      <c r="P109" s="764">
        <v>100</v>
      </c>
      <c r="Q109" s="764">
        <v>9.9999999999999995E-7</v>
      </c>
      <c r="R109" s="766" t="s">
        <v>109</v>
      </c>
      <c r="S109" s="766" t="s">
        <v>109</v>
      </c>
      <c r="T109" s="765">
        <f t="shared" si="64"/>
        <v>0</v>
      </c>
      <c r="U109" s="766" t="s">
        <v>109</v>
      </c>
    </row>
    <row r="110" spans="1:21" x14ac:dyDescent="0.2">
      <c r="A110" s="1136"/>
      <c r="B110" s="764">
        <v>200</v>
      </c>
      <c r="C110" s="764">
        <v>0.4</v>
      </c>
      <c r="D110" s="766" t="s">
        <v>109</v>
      </c>
      <c r="E110" s="766" t="s">
        <v>109</v>
      </c>
      <c r="F110" s="765">
        <f t="shared" si="62"/>
        <v>0</v>
      </c>
      <c r="G110" s="760" t="s">
        <v>109</v>
      </c>
      <c r="H110" s="1138"/>
      <c r="I110" s="764">
        <v>200</v>
      </c>
      <c r="J110" s="764">
        <v>9.9999999999999995E-7</v>
      </c>
      <c r="K110" s="766" t="s">
        <v>109</v>
      </c>
      <c r="L110" s="766" t="s">
        <v>109</v>
      </c>
      <c r="M110" s="765">
        <f t="shared" si="63"/>
        <v>0</v>
      </c>
      <c r="N110" s="766" t="s">
        <v>109</v>
      </c>
      <c r="O110" s="1138"/>
      <c r="P110" s="764">
        <v>200</v>
      </c>
      <c r="Q110" s="764">
        <v>9.9999999999999995E-7</v>
      </c>
      <c r="R110" s="766" t="s">
        <v>109</v>
      </c>
      <c r="S110" s="766" t="s">
        <v>109</v>
      </c>
      <c r="T110" s="765">
        <f t="shared" si="64"/>
        <v>0</v>
      </c>
      <c r="U110" s="766" t="s">
        <v>109</v>
      </c>
    </row>
    <row r="111" spans="1:21" x14ac:dyDescent="0.2">
      <c r="A111" s="1136"/>
      <c r="B111" s="764">
        <v>500</v>
      </c>
      <c r="C111" s="764">
        <v>1.5</v>
      </c>
      <c r="D111" s="766" t="s">
        <v>109</v>
      </c>
      <c r="E111" s="766" t="s">
        <v>109</v>
      </c>
      <c r="F111" s="765">
        <f t="shared" si="62"/>
        <v>0</v>
      </c>
      <c r="G111" s="760" t="s">
        <v>109</v>
      </c>
      <c r="H111" s="1138"/>
      <c r="I111" s="764">
        <v>500</v>
      </c>
      <c r="J111" s="764">
        <v>9.9999999999999995E-7</v>
      </c>
      <c r="K111" s="766" t="s">
        <v>109</v>
      </c>
      <c r="L111" s="766" t="s">
        <v>109</v>
      </c>
      <c r="M111" s="765">
        <f t="shared" si="63"/>
        <v>0</v>
      </c>
      <c r="N111" s="766" t="s">
        <v>109</v>
      </c>
      <c r="O111" s="1138"/>
      <c r="P111" s="764">
        <v>500</v>
      </c>
      <c r="Q111" s="764">
        <v>9.9999999999999995E-7</v>
      </c>
      <c r="R111" s="766" t="s">
        <v>109</v>
      </c>
      <c r="S111" s="766" t="s">
        <v>109</v>
      </c>
      <c r="T111" s="765">
        <f t="shared" si="64"/>
        <v>0</v>
      </c>
      <c r="U111" s="766" t="s">
        <v>109</v>
      </c>
    </row>
    <row r="112" spans="1:21" x14ac:dyDescent="0.2">
      <c r="A112" s="1136"/>
      <c r="B112" s="764">
        <v>1000</v>
      </c>
      <c r="C112" s="764">
        <v>2</v>
      </c>
      <c r="D112" s="766" t="s">
        <v>109</v>
      </c>
      <c r="E112" s="766" t="s">
        <v>109</v>
      </c>
      <c r="F112" s="765">
        <f t="shared" si="62"/>
        <v>0</v>
      </c>
      <c r="G112" s="760" t="s">
        <v>109</v>
      </c>
      <c r="H112" s="1138"/>
      <c r="I112" s="764">
        <v>1000</v>
      </c>
      <c r="J112" s="764">
        <v>9.9999999999999995E-7</v>
      </c>
      <c r="K112" s="766" t="s">
        <v>109</v>
      </c>
      <c r="L112" s="766" t="s">
        <v>109</v>
      </c>
      <c r="M112" s="765">
        <f t="shared" si="63"/>
        <v>0</v>
      </c>
      <c r="N112" s="766" t="s">
        <v>109</v>
      </c>
      <c r="O112" s="1138"/>
      <c r="P112" s="764">
        <v>1000</v>
      </c>
      <c r="Q112" s="764">
        <v>9.9999999999999995E-7</v>
      </c>
      <c r="R112" s="766" t="s">
        <v>109</v>
      </c>
      <c r="S112" s="766" t="s">
        <v>109</v>
      </c>
      <c r="T112" s="765">
        <f t="shared" si="64"/>
        <v>0</v>
      </c>
      <c r="U112" s="766" t="s">
        <v>109</v>
      </c>
    </row>
    <row r="113" spans="1:21" x14ac:dyDescent="0.2">
      <c r="A113" s="1136"/>
      <c r="B113" s="1127" t="s">
        <v>268</v>
      </c>
      <c r="C113" s="1127"/>
      <c r="D113" s="1127"/>
      <c r="E113" s="1127"/>
      <c r="F113" s="1126" t="s">
        <v>264</v>
      </c>
      <c r="G113" s="1126" t="s">
        <v>195</v>
      </c>
      <c r="H113" s="1138"/>
      <c r="I113" s="1127" t="s">
        <v>268</v>
      </c>
      <c r="J113" s="1127"/>
      <c r="K113" s="1127"/>
      <c r="L113" s="1127"/>
      <c r="M113" s="1126" t="s">
        <v>264</v>
      </c>
      <c r="N113" s="1126" t="s">
        <v>195</v>
      </c>
      <c r="O113" s="1138"/>
      <c r="P113" s="1127" t="str">
        <f>B113</f>
        <v>Main-PE</v>
      </c>
      <c r="Q113" s="1127"/>
      <c r="R113" s="1127"/>
      <c r="S113" s="1127"/>
      <c r="T113" s="1126" t="s">
        <v>264</v>
      </c>
      <c r="U113" s="1126" t="s">
        <v>195</v>
      </c>
    </row>
    <row r="114" spans="1:21" ht="15" x14ac:dyDescent="0.2">
      <c r="A114" s="1136"/>
      <c r="B114" s="758" t="s">
        <v>383</v>
      </c>
      <c r="C114" s="759">
        <f>C98</f>
        <v>2021</v>
      </c>
      <c r="D114" s="759" t="str">
        <f>D98</f>
        <v>-</v>
      </c>
      <c r="E114" s="759" t="str">
        <f>E98</f>
        <v>-</v>
      </c>
      <c r="F114" s="1126"/>
      <c r="G114" s="1126"/>
      <c r="H114" s="1138"/>
      <c r="I114" s="758" t="s">
        <v>383</v>
      </c>
      <c r="J114" s="759" t="str">
        <f>J98</f>
        <v>-</v>
      </c>
      <c r="K114" s="759" t="str">
        <f>K98</f>
        <v>-</v>
      </c>
      <c r="L114" s="759" t="str">
        <f>L98</f>
        <v>-</v>
      </c>
      <c r="M114" s="1126"/>
      <c r="N114" s="1126"/>
      <c r="O114" s="1138"/>
      <c r="P114" s="758" t="s">
        <v>383</v>
      </c>
      <c r="Q114" s="759" t="str">
        <f>Q98</f>
        <v>-</v>
      </c>
      <c r="R114" s="759" t="str">
        <f>R98</f>
        <v>-</v>
      </c>
      <c r="S114" s="759" t="str">
        <f>S98</f>
        <v>-</v>
      </c>
      <c r="T114" s="1126"/>
      <c r="U114" s="1126"/>
    </row>
    <row r="115" spans="1:21" x14ac:dyDescent="0.2">
      <c r="A115" s="1136"/>
      <c r="B115" s="764">
        <v>10</v>
      </c>
      <c r="C115" s="764">
        <v>9.9999999999999995E-7</v>
      </c>
      <c r="D115" s="766" t="s">
        <v>109</v>
      </c>
      <c r="E115" s="766" t="s">
        <v>109</v>
      </c>
      <c r="F115" s="765">
        <f>0.5*(MAX(C115:E115)-MIN(C115:E115))</f>
        <v>0</v>
      </c>
      <c r="G115" s="766" t="s">
        <v>109</v>
      </c>
      <c r="H115" s="1138"/>
      <c r="I115" s="764">
        <v>10</v>
      </c>
      <c r="J115" s="764">
        <v>9.9999999999999995E-7</v>
      </c>
      <c r="K115" s="766" t="s">
        <v>109</v>
      </c>
      <c r="L115" s="766" t="s">
        <v>109</v>
      </c>
      <c r="M115" s="765">
        <f>0.5*(MAX(J115:L115)-MIN(J115:L115))</f>
        <v>0</v>
      </c>
      <c r="N115" s="766" t="s">
        <v>109</v>
      </c>
      <c r="O115" s="1138"/>
      <c r="P115" s="764">
        <v>10</v>
      </c>
      <c r="Q115" s="764">
        <v>9.9999999999999995E-7</v>
      </c>
      <c r="R115" s="766" t="s">
        <v>109</v>
      </c>
      <c r="S115" s="766" t="s">
        <v>109</v>
      </c>
      <c r="T115" s="765">
        <f>0.5*(MAX(Q115:S115)-MIN(Q115:S115))</f>
        <v>0</v>
      </c>
      <c r="U115" s="766" t="s">
        <v>109</v>
      </c>
    </row>
    <row r="116" spans="1:21" x14ac:dyDescent="0.2">
      <c r="A116" s="1136"/>
      <c r="B116" s="764">
        <v>20</v>
      </c>
      <c r="C116" s="764">
        <v>0.1</v>
      </c>
      <c r="D116" s="766" t="s">
        <v>109</v>
      </c>
      <c r="E116" s="766" t="s">
        <v>109</v>
      </c>
      <c r="F116" s="765">
        <f t="shared" ref="F116:F118" si="65">0.5*(MAX(C116:E116)-MIN(C116:E116))</f>
        <v>0</v>
      </c>
      <c r="G116" s="766" t="s">
        <v>109</v>
      </c>
      <c r="H116" s="1138"/>
      <c r="I116" s="764">
        <v>20</v>
      </c>
      <c r="J116" s="764">
        <v>9.9999999999999995E-7</v>
      </c>
      <c r="K116" s="766" t="s">
        <v>109</v>
      </c>
      <c r="L116" s="766" t="s">
        <v>109</v>
      </c>
      <c r="M116" s="765">
        <f t="shared" ref="M116:M118" si="66">0.5*(MAX(J116:L116)-MIN(J116:L116))</f>
        <v>0</v>
      </c>
      <c r="N116" s="766" t="s">
        <v>109</v>
      </c>
      <c r="O116" s="1138"/>
      <c r="P116" s="764">
        <v>20</v>
      </c>
      <c r="Q116" s="764">
        <v>9.9999999999999995E-7</v>
      </c>
      <c r="R116" s="766" t="s">
        <v>109</v>
      </c>
      <c r="S116" s="766" t="s">
        <v>109</v>
      </c>
      <c r="T116" s="765">
        <f t="shared" ref="T116:T118" si="67">0.5*(MAX(Q116:S116)-MIN(Q116:S116))</f>
        <v>0</v>
      </c>
      <c r="U116" s="766" t="s">
        <v>109</v>
      </c>
    </row>
    <row r="117" spans="1:21" x14ac:dyDescent="0.2">
      <c r="A117" s="1136"/>
      <c r="B117" s="764">
        <v>50</v>
      </c>
      <c r="C117" s="764">
        <v>0.4</v>
      </c>
      <c r="D117" s="766" t="s">
        <v>109</v>
      </c>
      <c r="E117" s="766" t="s">
        <v>109</v>
      </c>
      <c r="F117" s="765">
        <f t="shared" si="65"/>
        <v>0</v>
      </c>
      <c r="G117" s="766" t="s">
        <v>109</v>
      </c>
      <c r="H117" s="1138"/>
      <c r="I117" s="764">
        <v>50</v>
      </c>
      <c r="J117" s="764">
        <v>9.9999999999999995E-7</v>
      </c>
      <c r="K117" s="766" t="s">
        <v>109</v>
      </c>
      <c r="L117" s="766" t="s">
        <v>109</v>
      </c>
      <c r="M117" s="765">
        <f t="shared" si="66"/>
        <v>0</v>
      </c>
      <c r="N117" s="766" t="s">
        <v>109</v>
      </c>
      <c r="O117" s="1138"/>
      <c r="P117" s="764">
        <v>50</v>
      </c>
      <c r="Q117" s="764">
        <v>9.9999999999999995E-7</v>
      </c>
      <c r="R117" s="766" t="s">
        <v>109</v>
      </c>
      <c r="S117" s="766" t="s">
        <v>109</v>
      </c>
      <c r="T117" s="765">
        <f t="shared" si="67"/>
        <v>0</v>
      </c>
      <c r="U117" s="766" t="s">
        <v>109</v>
      </c>
    </row>
    <row r="118" spans="1:21" x14ac:dyDescent="0.2">
      <c r="A118" s="1136"/>
      <c r="B118" s="764">
        <v>100</v>
      </c>
      <c r="C118" s="764">
        <v>1.4</v>
      </c>
      <c r="D118" s="766" t="s">
        <v>109</v>
      </c>
      <c r="E118" s="766" t="s">
        <v>109</v>
      </c>
      <c r="F118" s="765">
        <f t="shared" si="65"/>
        <v>0</v>
      </c>
      <c r="G118" s="766" t="s">
        <v>109</v>
      </c>
      <c r="H118" s="1138"/>
      <c r="I118" s="764">
        <v>100</v>
      </c>
      <c r="J118" s="764">
        <v>9.9999999999999995E-7</v>
      </c>
      <c r="K118" s="766" t="s">
        <v>109</v>
      </c>
      <c r="L118" s="766" t="s">
        <v>109</v>
      </c>
      <c r="M118" s="765">
        <f t="shared" si="66"/>
        <v>0</v>
      </c>
      <c r="N118" s="766" t="s">
        <v>109</v>
      </c>
      <c r="O118" s="1138"/>
      <c r="P118" s="764">
        <v>100</v>
      </c>
      <c r="Q118" s="764">
        <v>9.9999999999999995E-7</v>
      </c>
      <c r="R118" s="766" t="s">
        <v>109</v>
      </c>
      <c r="S118" s="766" t="s">
        <v>109</v>
      </c>
      <c r="T118" s="765">
        <f t="shared" si="67"/>
        <v>0</v>
      </c>
      <c r="U118" s="766" t="s">
        <v>109</v>
      </c>
    </row>
    <row r="119" spans="1:21" ht="12.95" customHeight="1" x14ac:dyDescent="0.2">
      <c r="A119" s="1136"/>
      <c r="B119" s="1127" t="s">
        <v>269</v>
      </c>
      <c r="C119" s="1127"/>
      <c r="D119" s="1127"/>
      <c r="E119" s="1127"/>
      <c r="F119" s="1126" t="s">
        <v>264</v>
      </c>
      <c r="G119" s="1126" t="s">
        <v>195</v>
      </c>
      <c r="H119" s="1138"/>
      <c r="I119" s="1127" t="s">
        <v>269</v>
      </c>
      <c r="J119" s="1127"/>
      <c r="K119" s="1127"/>
      <c r="L119" s="1127"/>
      <c r="M119" s="1126" t="s">
        <v>264</v>
      </c>
      <c r="N119" s="1126" t="s">
        <v>195</v>
      </c>
      <c r="O119" s="1138"/>
      <c r="P119" s="1127" t="str">
        <f>B119</f>
        <v>Resistance</v>
      </c>
      <c r="Q119" s="1127"/>
      <c r="R119" s="1127"/>
      <c r="S119" s="1127"/>
      <c r="T119" s="1126" t="s">
        <v>264</v>
      </c>
      <c r="U119" s="1126" t="s">
        <v>195</v>
      </c>
    </row>
    <row r="120" spans="1:21" ht="15" x14ac:dyDescent="0.2">
      <c r="A120" s="1136"/>
      <c r="B120" s="758" t="s">
        <v>384</v>
      </c>
      <c r="C120" s="759">
        <f>C98</f>
        <v>2021</v>
      </c>
      <c r="D120" s="759" t="str">
        <f>D98</f>
        <v>-</v>
      </c>
      <c r="E120" s="759" t="str">
        <f>E98</f>
        <v>-</v>
      </c>
      <c r="F120" s="1126"/>
      <c r="G120" s="1126"/>
      <c r="H120" s="1138"/>
      <c r="I120" s="758" t="s">
        <v>384</v>
      </c>
      <c r="J120" s="759" t="str">
        <f>J98</f>
        <v>-</v>
      </c>
      <c r="K120" s="759" t="str">
        <f>K98</f>
        <v>-</v>
      </c>
      <c r="L120" s="759" t="str">
        <f>L98</f>
        <v>-</v>
      </c>
      <c r="M120" s="1126"/>
      <c r="N120" s="1126"/>
      <c r="O120" s="1138"/>
      <c r="P120" s="758" t="s">
        <v>384</v>
      </c>
      <c r="Q120" s="759" t="str">
        <f>Q98</f>
        <v>-</v>
      </c>
      <c r="R120" s="759" t="str">
        <f>R98</f>
        <v>-</v>
      </c>
      <c r="S120" s="759" t="str">
        <f>S98</f>
        <v>-</v>
      </c>
      <c r="T120" s="1126"/>
      <c r="U120" s="1126"/>
    </row>
    <row r="121" spans="1:21" x14ac:dyDescent="0.2">
      <c r="A121" s="1136"/>
      <c r="B121" s="764">
        <v>0</v>
      </c>
      <c r="C121" s="764">
        <v>9.9999999999999995E-7</v>
      </c>
      <c r="D121" s="766" t="s">
        <v>109</v>
      </c>
      <c r="E121" s="766" t="s">
        <v>109</v>
      </c>
      <c r="F121" s="765">
        <f>0.5*(MAX(C121:E121)-MIN(C121:E121))</f>
        <v>0</v>
      </c>
      <c r="G121" s="766" t="s">
        <v>109</v>
      </c>
      <c r="H121" s="1138"/>
      <c r="I121" s="764">
        <v>0.01</v>
      </c>
      <c r="J121" s="764">
        <v>9.9999999999999995E-7</v>
      </c>
      <c r="K121" s="766" t="s">
        <v>109</v>
      </c>
      <c r="L121" s="766" t="s">
        <v>109</v>
      </c>
      <c r="M121" s="765">
        <f>0.5*(MAX(J121:L121)-MIN(J121:L121))</f>
        <v>0</v>
      </c>
      <c r="N121" s="766" t="s">
        <v>109</v>
      </c>
      <c r="O121" s="1138"/>
      <c r="P121" s="764">
        <v>0.01</v>
      </c>
      <c r="Q121" s="764">
        <v>9.9999999999999995E-7</v>
      </c>
      <c r="R121" s="766" t="s">
        <v>109</v>
      </c>
      <c r="S121" s="766" t="s">
        <v>109</v>
      </c>
      <c r="T121" s="765">
        <f>0.5*(MAX(Q121:S121)-MIN(Q121:S121))</f>
        <v>0</v>
      </c>
      <c r="U121" s="766" t="s">
        <v>109</v>
      </c>
    </row>
    <row r="122" spans="1:21" x14ac:dyDescent="0.2">
      <c r="A122" s="1136"/>
      <c r="B122" s="764">
        <v>0.1</v>
      </c>
      <c r="C122" s="764">
        <v>-2E-3</v>
      </c>
      <c r="D122" s="766" t="s">
        <v>109</v>
      </c>
      <c r="E122" s="766" t="s">
        <v>109</v>
      </c>
      <c r="F122" s="765">
        <f t="shared" ref="F122:F124" si="68">0.5*(MAX(C122:E122)-MIN(C122:E122))</f>
        <v>0</v>
      </c>
      <c r="G122" s="766" t="s">
        <v>109</v>
      </c>
      <c r="H122" s="1138"/>
      <c r="I122" s="764">
        <v>0.1</v>
      </c>
      <c r="J122" s="764">
        <v>9.9999999999999995E-7</v>
      </c>
      <c r="K122" s="766" t="s">
        <v>109</v>
      </c>
      <c r="L122" s="766" t="s">
        <v>109</v>
      </c>
      <c r="M122" s="765">
        <f t="shared" ref="M122:M124" si="69">0.5*(MAX(J122:L122)-MIN(J122:L122))</f>
        <v>0</v>
      </c>
      <c r="N122" s="766" t="s">
        <v>109</v>
      </c>
      <c r="O122" s="1138"/>
      <c r="P122" s="764">
        <v>0.1</v>
      </c>
      <c r="Q122" s="764">
        <v>9.9999999999999995E-7</v>
      </c>
      <c r="R122" s="766" t="s">
        <v>109</v>
      </c>
      <c r="S122" s="766" t="s">
        <v>109</v>
      </c>
      <c r="T122" s="765">
        <f t="shared" ref="T122:T124" si="70">0.5*(MAX(Q122:S122)-MIN(Q122:S122))</f>
        <v>0</v>
      </c>
      <c r="U122" s="766" t="s">
        <v>109</v>
      </c>
    </row>
    <row r="123" spans="1:21" x14ac:dyDescent="0.2">
      <c r="A123" s="1136"/>
      <c r="B123" s="764">
        <v>1</v>
      </c>
      <c r="C123" s="764">
        <v>-8.0000000000000002E-3</v>
      </c>
      <c r="D123" s="766" t="s">
        <v>109</v>
      </c>
      <c r="E123" s="766" t="s">
        <v>109</v>
      </c>
      <c r="F123" s="765">
        <f t="shared" si="68"/>
        <v>0</v>
      </c>
      <c r="G123" s="766" t="s">
        <v>109</v>
      </c>
      <c r="H123" s="1138"/>
      <c r="I123" s="764">
        <v>1</v>
      </c>
      <c r="J123" s="764">
        <v>9.9999999999999995E-7</v>
      </c>
      <c r="K123" s="766" t="s">
        <v>109</v>
      </c>
      <c r="L123" s="766" t="s">
        <v>109</v>
      </c>
      <c r="M123" s="765">
        <f t="shared" si="69"/>
        <v>0</v>
      </c>
      <c r="N123" s="766" t="s">
        <v>109</v>
      </c>
      <c r="O123" s="1138"/>
      <c r="P123" s="764">
        <v>1</v>
      </c>
      <c r="Q123" s="764">
        <v>9.9999999999999995E-7</v>
      </c>
      <c r="R123" s="766" t="s">
        <v>109</v>
      </c>
      <c r="S123" s="766" t="s">
        <v>109</v>
      </c>
      <c r="T123" s="765">
        <f t="shared" si="70"/>
        <v>0</v>
      </c>
      <c r="U123" s="766" t="s">
        <v>109</v>
      </c>
    </row>
    <row r="124" spans="1:21" x14ac:dyDescent="0.2">
      <c r="A124" s="1136"/>
      <c r="B124" s="764">
        <v>2</v>
      </c>
      <c r="C124" s="764">
        <v>-7.0000000000000001E-3</v>
      </c>
      <c r="D124" s="766" t="s">
        <v>109</v>
      </c>
      <c r="E124" s="766" t="s">
        <v>109</v>
      </c>
      <c r="F124" s="765">
        <f t="shared" si="68"/>
        <v>0</v>
      </c>
      <c r="G124" s="766" t="s">
        <v>109</v>
      </c>
      <c r="H124" s="1138"/>
      <c r="I124" s="764">
        <v>2</v>
      </c>
      <c r="J124" s="764">
        <v>9.9999999999999995E-7</v>
      </c>
      <c r="K124" s="766" t="s">
        <v>109</v>
      </c>
      <c r="L124" s="766" t="s">
        <v>109</v>
      </c>
      <c r="M124" s="765">
        <f t="shared" si="69"/>
        <v>0</v>
      </c>
      <c r="N124" s="766" t="s">
        <v>109</v>
      </c>
      <c r="O124" s="1138"/>
      <c r="P124" s="764">
        <v>2</v>
      </c>
      <c r="Q124" s="764">
        <v>9.9999999999999995E-7</v>
      </c>
      <c r="R124" s="766" t="s">
        <v>109</v>
      </c>
      <c r="S124" s="766" t="s">
        <v>109</v>
      </c>
      <c r="T124" s="765">
        <f t="shared" si="70"/>
        <v>0</v>
      </c>
      <c r="U124" s="766" t="s">
        <v>109</v>
      </c>
    </row>
    <row r="125" spans="1:21" ht="15" x14ac:dyDescent="0.2">
      <c r="A125" s="1139"/>
      <c r="B125" s="1140"/>
      <c r="C125" s="1140"/>
      <c r="D125" s="1140"/>
      <c r="E125" s="1140"/>
      <c r="F125" s="1140"/>
      <c r="G125" s="1140"/>
      <c r="H125" s="1140"/>
      <c r="I125" s="1140"/>
      <c r="J125" s="1140"/>
      <c r="K125" s="1140"/>
      <c r="L125" s="1140"/>
      <c r="M125" s="1140"/>
      <c r="N125" s="1140"/>
      <c r="O125" s="1140"/>
      <c r="P125" s="1140"/>
      <c r="Q125" s="1140"/>
      <c r="R125" s="1140"/>
      <c r="S125" s="1140"/>
      <c r="T125" s="1140"/>
      <c r="U125" s="1140"/>
    </row>
    <row r="126" spans="1:21" ht="15" x14ac:dyDescent="0.2">
      <c r="A126" s="1139"/>
      <c r="B126" s="1140"/>
      <c r="C126" s="1140"/>
      <c r="D126" s="1140"/>
      <c r="E126" s="1140"/>
      <c r="F126" s="1140"/>
      <c r="G126" s="1140"/>
      <c r="H126" s="1140"/>
      <c r="I126" s="1140"/>
      <c r="J126" s="1140"/>
      <c r="K126" s="1140"/>
      <c r="L126" s="1140"/>
      <c r="M126" s="1140"/>
      <c r="N126" s="1140"/>
      <c r="O126" s="1140"/>
      <c r="P126" s="1140"/>
      <c r="Q126" s="1140"/>
      <c r="R126" s="1140"/>
      <c r="S126" s="1140"/>
      <c r="T126" s="1140"/>
      <c r="U126" s="1140"/>
    </row>
    <row r="127" spans="1:21" x14ac:dyDescent="0.2">
      <c r="A127" s="783"/>
      <c r="B127" s="775"/>
      <c r="C127" s="775"/>
    </row>
    <row r="128" spans="1:21" ht="15" x14ac:dyDescent="0.25">
      <c r="A128" s="1137" t="s">
        <v>284</v>
      </c>
      <c r="B128" s="1106"/>
      <c r="C128" s="1141" t="s">
        <v>262</v>
      </c>
      <c r="D128" s="1141"/>
      <c r="E128" s="1141"/>
      <c r="F128" s="1141"/>
      <c r="G128" s="1141"/>
      <c r="H128" s="1141"/>
      <c r="J128" s="1137" t="str">
        <f>A128</f>
        <v>No. Urut</v>
      </c>
      <c r="K128" s="1106"/>
      <c r="L128" s="1142" t="s">
        <v>262</v>
      </c>
      <c r="M128" s="1143"/>
      <c r="N128" s="1143"/>
      <c r="O128" s="1144"/>
      <c r="P128" s="784"/>
      <c r="Q128" s="784"/>
    </row>
    <row r="129" spans="1:17" ht="12.95" customHeight="1" x14ac:dyDescent="0.2">
      <c r="A129" s="1137"/>
      <c r="B129" s="1106"/>
      <c r="C129" s="1145" t="str">
        <f>B4</f>
        <v>Setting VAC</v>
      </c>
      <c r="D129" s="1145"/>
      <c r="E129" s="1145"/>
      <c r="F129" s="1145"/>
      <c r="G129" s="24" t="s">
        <v>264</v>
      </c>
      <c r="H129" s="24" t="s">
        <v>195</v>
      </c>
      <c r="J129" s="1137"/>
      <c r="K129" s="1106"/>
      <c r="L129" s="1146" t="str">
        <f>B12</f>
        <v>Current Leakage</v>
      </c>
      <c r="M129" s="1146"/>
      <c r="N129" s="1146"/>
      <c r="O129" s="1146"/>
      <c r="P129" s="24" t="s">
        <v>264</v>
      </c>
      <c r="Q129" s="24" t="s">
        <v>195</v>
      </c>
    </row>
    <row r="130" spans="1:17" ht="15" x14ac:dyDescent="0.2">
      <c r="A130" s="1137"/>
      <c r="B130" s="1106"/>
      <c r="C130" s="21" t="s">
        <v>265</v>
      </c>
      <c r="D130" s="24"/>
      <c r="E130" s="24"/>
      <c r="F130" s="786"/>
      <c r="G130" s="24"/>
      <c r="H130" s="24"/>
      <c r="J130" s="1137"/>
      <c r="K130" s="1106"/>
      <c r="L130" s="21" t="s">
        <v>267</v>
      </c>
      <c r="M130" s="24"/>
      <c r="N130" s="24"/>
      <c r="O130" s="786"/>
      <c r="P130" s="24"/>
      <c r="Q130" s="24"/>
    </row>
    <row r="131" spans="1:17" ht="15" x14ac:dyDescent="0.2">
      <c r="A131" s="1137" t="s">
        <v>53</v>
      </c>
      <c r="B131" s="21">
        <v>1</v>
      </c>
      <c r="C131" s="21">
        <f t="shared" ref="C131:H131" si="71">B6</f>
        <v>150</v>
      </c>
      <c r="D131" s="21">
        <f t="shared" si="71"/>
        <v>0.35</v>
      </c>
      <c r="E131" s="21">
        <f t="shared" si="71"/>
        <v>0.31</v>
      </c>
      <c r="F131" s="21">
        <f t="shared" si="71"/>
        <v>0.76</v>
      </c>
      <c r="G131" s="21">
        <f t="shared" si="71"/>
        <v>0.22500000000000001</v>
      </c>
      <c r="H131" s="21">
        <f t="shared" si="71"/>
        <v>1.8</v>
      </c>
      <c r="J131" s="1137" t="s">
        <v>53</v>
      </c>
      <c r="K131" s="21">
        <v>1</v>
      </c>
      <c r="L131" s="787">
        <f t="shared" ref="L131:Q131" si="72">B14</f>
        <v>9.9999999999999995E-7</v>
      </c>
      <c r="M131" s="787">
        <f t="shared" si="72"/>
        <v>9.9999999999999995E-7</v>
      </c>
      <c r="N131" s="787">
        <f t="shared" si="72"/>
        <v>9.9999999999999995E-7</v>
      </c>
      <c r="O131" s="787">
        <f t="shared" si="72"/>
        <v>9.9999999999999995E-7</v>
      </c>
      <c r="P131" s="787">
        <f t="shared" si="72"/>
        <v>0</v>
      </c>
      <c r="Q131" s="787">
        <f t="shared" si="72"/>
        <v>5.8999999999999999E-9</v>
      </c>
    </row>
    <row r="132" spans="1:17" ht="15" x14ac:dyDescent="0.2">
      <c r="A132" s="1137"/>
      <c r="B132" s="21">
        <v>2</v>
      </c>
      <c r="C132" s="22">
        <f t="shared" ref="C132:H132" si="73">I6</f>
        <v>150</v>
      </c>
      <c r="D132" s="22">
        <f t="shared" si="73"/>
        <v>0.22</v>
      </c>
      <c r="E132" s="22">
        <f t="shared" si="73"/>
        <v>0.15</v>
      </c>
      <c r="F132" s="22">
        <f t="shared" si="73"/>
        <v>0.23</v>
      </c>
      <c r="G132" s="22">
        <f t="shared" si="73"/>
        <v>4.0000000000000008E-2</v>
      </c>
      <c r="H132" s="22">
        <f t="shared" si="73"/>
        <v>1.8</v>
      </c>
      <c r="J132" s="1137"/>
      <c r="K132" s="21">
        <v>2</v>
      </c>
      <c r="L132" s="787">
        <f t="shared" ref="L132:Q132" si="74">I14</f>
        <v>9.9999999999999995E-7</v>
      </c>
      <c r="M132" s="787">
        <f t="shared" si="74"/>
        <v>9.9999999999999995E-7</v>
      </c>
      <c r="N132" s="787">
        <f t="shared" si="74"/>
        <v>9.9999999999999995E-7</v>
      </c>
      <c r="O132" s="787">
        <f t="shared" si="74"/>
        <v>9.9999999999999995E-7</v>
      </c>
      <c r="P132" s="787">
        <f t="shared" si="74"/>
        <v>0</v>
      </c>
      <c r="Q132" s="787">
        <f t="shared" si="74"/>
        <v>5.8999999999999999E-9</v>
      </c>
    </row>
    <row r="133" spans="1:17" x14ac:dyDescent="0.2">
      <c r="A133" s="1137"/>
      <c r="B133" s="25">
        <v>3</v>
      </c>
      <c r="C133" s="22">
        <f t="shared" ref="C133:H133" si="75">P6</f>
        <v>150</v>
      </c>
      <c r="D133" s="22">
        <f t="shared" si="75"/>
        <v>-1.43</v>
      </c>
      <c r="E133" s="22">
        <f t="shared" si="75"/>
        <v>-1.6</v>
      </c>
      <c r="F133" s="22">
        <f t="shared" si="75"/>
        <v>-7.0000000000000007E-2</v>
      </c>
      <c r="G133" s="22">
        <f t="shared" si="75"/>
        <v>0.76500000000000001</v>
      </c>
      <c r="H133" s="22">
        <f t="shared" si="75"/>
        <v>1.8</v>
      </c>
      <c r="J133" s="1137"/>
      <c r="K133" s="25">
        <v>3</v>
      </c>
      <c r="L133" s="787">
        <f t="shared" ref="L133:Q133" si="76">P14</f>
        <v>9.9999999999999995E-7</v>
      </c>
      <c r="M133" s="787">
        <f t="shared" si="76"/>
        <v>9.9999999999999995E-7</v>
      </c>
      <c r="N133" s="787">
        <f t="shared" si="76"/>
        <v>9.9999999999999995E-7</v>
      </c>
      <c r="O133" s="787">
        <f t="shared" si="76"/>
        <v>9.9999999999999995E-7</v>
      </c>
      <c r="P133" s="787">
        <f t="shared" si="76"/>
        <v>0</v>
      </c>
      <c r="Q133" s="787">
        <f t="shared" si="76"/>
        <v>5.8999999999999999E-9</v>
      </c>
    </row>
    <row r="134" spans="1:17" x14ac:dyDescent="0.2">
      <c r="A134" s="1137"/>
      <c r="B134" s="25">
        <v>4</v>
      </c>
      <c r="C134" s="23">
        <f t="shared" ref="C134:H134" si="77">B37</f>
        <v>150</v>
      </c>
      <c r="D134" s="23">
        <f t="shared" si="77"/>
        <v>0.08</v>
      </c>
      <c r="E134" s="23">
        <f t="shared" si="77"/>
        <v>-0.05</v>
      </c>
      <c r="F134" s="23">
        <f t="shared" si="77"/>
        <v>0.11</v>
      </c>
      <c r="G134" s="23">
        <f t="shared" si="77"/>
        <v>0.08</v>
      </c>
      <c r="H134" s="23">
        <f t="shared" si="77"/>
        <v>1.8</v>
      </c>
      <c r="J134" s="1137"/>
      <c r="K134" s="25">
        <v>4</v>
      </c>
      <c r="L134" s="787">
        <f t="shared" ref="L134:Q134" si="78">B45</f>
        <v>9.9999999999999995E-7</v>
      </c>
      <c r="M134" s="787">
        <f t="shared" si="78"/>
        <v>9.9999999999999995E-7</v>
      </c>
      <c r="N134" s="787">
        <f t="shared" si="78"/>
        <v>9.9999999999999995E-7</v>
      </c>
      <c r="O134" s="787">
        <f t="shared" si="78"/>
        <v>9.9999999999999995E-7</v>
      </c>
      <c r="P134" s="787">
        <f t="shared" si="78"/>
        <v>0</v>
      </c>
      <c r="Q134" s="787">
        <f t="shared" si="78"/>
        <v>5.8999999999999999E-9</v>
      </c>
    </row>
    <row r="135" spans="1:17" x14ac:dyDescent="0.2">
      <c r="A135" s="1137"/>
      <c r="B135" s="24">
        <v>5</v>
      </c>
      <c r="C135" s="23">
        <f t="shared" ref="C135:H135" si="79">I37</f>
        <v>150</v>
      </c>
      <c r="D135" s="23">
        <f t="shared" si="79"/>
        <v>0.02</v>
      </c>
      <c r="E135" s="23">
        <f t="shared" si="79"/>
        <v>0.25</v>
      </c>
      <c r="F135" s="23">
        <f t="shared" si="79"/>
        <v>0.02</v>
      </c>
      <c r="G135" s="23">
        <f t="shared" si="79"/>
        <v>0.115</v>
      </c>
      <c r="H135" s="23">
        <f t="shared" si="79"/>
        <v>1.8</v>
      </c>
      <c r="J135" s="1137"/>
      <c r="K135" s="24">
        <v>5</v>
      </c>
      <c r="L135" s="787">
        <f t="shared" ref="L135:Q135" si="80">I45</f>
        <v>9.9999999999999995E-7</v>
      </c>
      <c r="M135" s="787">
        <f t="shared" si="80"/>
        <v>9.9999999999999995E-7</v>
      </c>
      <c r="N135" s="787">
        <f t="shared" si="80"/>
        <v>9.9999999999999995E-7</v>
      </c>
      <c r="O135" s="787">
        <f t="shared" si="80"/>
        <v>9.9999999999999995E-7</v>
      </c>
      <c r="P135" s="787">
        <f t="shared" si="80"/>
        <v>0</v>
      </c>
      <c r="Q135" s="787">
        <f t="shared" si="80"/>
        <v>5.8999999999999999E-9</v>
      </c>
    </row>
    <row r="136" spans="1:17" x14ac:dyDescent="0.2">
      <c r="A136" s="1137"/>
      <c r="B136" s="24">
        <v>6</v>
      </c>
      <c r="C136" s="23">
        <f t="shared" ref="C136:H136" si="81">P37</f>
        <v>150</v>
      </c>
      <c r="D136" s="23">
        <f t="shared" si="81"/>
        <v>0.15</v>
      </c>
      <c r="E136" s="23">
        <f t="shared" si="81"/>
        <v>-0.15</v>
      </c>
      <c r="F136" s="23">
        <f t="shared" si="81"/>
        <v>0.03</v>
      </c>
      <c r="G136" s="23">
        <f t="shared" si="81"/>
        <v>0.15</v>
      </c>
      <c r="H136" s="23">
        <f t="shared" si="81"/>
        <v>1.8</v>
      </c>
      <c r="J136" s="1137"/>
      <c r="K136" s="24">
        <v>6</v>
      </c>
      <c r="L136" s="787">
        <f t="shared" ref="L136:Q136" si="82">P45</f>
        <v>9.9999999999999995E-7</v>
      </c>
      <c r="M136" s="787">
        <f t="shared" si="82"/>
        <v>9.9999999999999995E-7</v>
      </c>
      <c r="N136" s="787">
        <f t="shared" si="82"/>
        <v>9.9999999999999995E-7</v>
      </c>
      <c r="O136" s="787">
        <f t="shared" si="82"/>
        <v>9.9999999999999995E-7</v>
      </c>
      <c r="P136" s="787">
        <f t="shared" si="82"/>
        <v>0</v>
      </c>
      <c r="Q136" s="787">
        <f t="shared" si="82"/>
        <v>5.8999999999999999E-9</v>
      </c>
    </row>
    <row r="137" spans="1:17" x14ac:dyDescent="0.2">
      <c r="A137" s="1137"/>
      <c r="B137" s="24">
        <v>7</v>
      </c>
      <c r="C137" s="23">
        <f t="shared" ref="C137:H137" si="83">B68</f>
        <v>150.21</v>
      </c>
      <c r="D137" s="23">
        <f t="shared" si="83"/>
        <v>0.36</v>
      </c>
      <c r="E137" s="23">
        <f t="shared" si="83"/>
        <v>0.21</v>
      </c>
      <c r="F137" s="23">
        <f t="shared" si="83"/>
        <v>0.27</v>
      </c>
      <c r="G137" s="23">
        <f t="shared" si="83"/>
        <v>7.4999999999999997E-2</v>
      </c>
      <c r="H137" s="23">
        <f t="shared" si="83"/>
        <v>1.8025200000000001</v>
      </c>
      <c r="J137" s="1137"/>
      <c r="K137" s="24">
        <v>7</v>
      </c>
      <c r="L137" s="787">
        <f t="shared" ref="L137:Q137" si="84">B76</f>
        <v>9.9999999999999995E-7</v>
      </c>
      <c r="M137" s="787">
        <f t="shared" si="84"/>
        <v>9.9999999999999995E-7</v>
      </c>
      <c r="N137" s="787">
        <f t="shared" si="84"/>
        <v>9.9999999999999995E-7</v>
      </c>
      <c r="O137" s="787">
        <f t="shared" si="84"/>
        <v>9.9999999999999995E-7</v>
      </c>
      <c r="P137" s="787">
        <f t="shared" si="84"/>
        <v>0</v>
      </c>
      <c r="Q137" s="787">
        <f t="shared" si="84"/>
        <v>5.8999999999999999E-9</v>
      </c>
    </row>
    <row r="138" spans="1:17" x14ac:dyDescent="0.2">
      <c r="A138" s="1137"/>
      <c r="B138" s="24">
        <v>8</v>
      </c>
      <c r="C138" s="23">
        <f t="shared" ref="C138:H138" si="85">I68</f>
        <v>150</v>
      </c>
      <c r="D138" s="23">
        <f t="shared" si="85"/>
        <v>-0.17</v>
      </c>
      <c r="E138" s="23">
        <f t="shared" si="85"/>
        <v>-0.24</v>
      </c>
      <c r="F138" s="23" t="str">
        <f t="shared" si="85"/>
        <v>-</v>
      </c>
      <c r="G138" s="23">
        <f t="shared" si="85"/>
        <v>3.4999999999999989E-2</v>
      </c>
      <c r="H138" s="23">
        <f t="shared" si="85"/>
        <v>1.8</v>
      </c>
      <c r="J138" s="1137"/>
      <c r="K138" s="24">
        <v>8</v>
      </c>
      <c r="L138" s="787">
        <f t="shared" ref="L138:Q138" si="86">I76</f>
        <v>9.9999999999999995E-7</v>
      </c>
      <c r="M138" s="787">
        <f t="shared" si="86"/>
        <v>9.9999999999999995E-7</v>
      </c>
      <c r="N138" s="787">
        <f t="shared" si="86"/>
        <v>9.9999999999999995E-7</v>
      </c>
      <c r="O138" s="787" t="str">
        <f t="shared" si="86"/>
        <v>-</v>
      </c>
      <c r="P138" s="787">
        <f t="shared" si="86"/>
        <v>0</v>
      </c>
      <c r="Q138" s="787">
        <f t="shared" si="86"/>
        <v>5.8999999999999999E-9</v>
      </c>
    </row>
    <row r="139" spans="1:17" x14ac:dyDescent="0.2">
      <c r="A139" s="1137"/>
      <c r="B139" s="24">
        <v>9</v>
      </c>
      <c r="C139" s="23">
        <f t="shared" ref="C139:H139" si="87">P68</f>
        <v>149.83000000000001</v>
      </c>
      <c r="D139" s="23">
        <f t="shared" si="87"/>
        <v>-0.08</v>
      </c>
      <c r="E139" s="23">
        <f t="shared" si="87"/>
        <v>-0.17</v>
      </c>
      <c r="F139" s="23" t="str">
        <f t="shared" si="87"/>
        <v>-</v>
      </c>
      <c r="G139" s="23">
        <f t="shared" si="87"/>
        <v>4.5000000000000005E-2</v>
      </c>
      <c r="H139" s="23">
        <f t="shared" si="87"/>
        <v>1.7979600000000002</v>
      </c>
      <c r="J139" s="1137"/>
      <c r="K139" s="24">
        <v>9</v>
      </c>
      <c r="L139" s="787">
        <f t="shared" ref="L139:Q139" si="88">P76</f>
        <v>9.9999999999999995E-7</v>
      </c>
      <c r="M139" s="787">
        <f t="shared" si="88"/>
        <v>9.9999999999999995E-7</v>
      </c>
      <c r="N139" s="787">
        <f t="shared" si="88"/>
        <v>9.9999999999999995E-7</v>
      </c>
      <c r="O139" s="787" t="str">
        <f t="shared" si="88"/>
        <v>-</v>
      </c>
      <c r="P139" s="787">
        <f t="shared" si="88"/>
        <v>0</v>
      </c>
      <c r="Q139" s="787">
        <f t="shared" si="88"/>
        <v>5.8999999999999999E-9</v>
      </c>
    </row>
    <row r="140" spans="1:17" x14ac:dyDescent="0.2">
      <c r="A140" s="1137"/>
      <c r="B140" s="24">
        <v>10</v>
      </c>
      <c r="C140" s="23">
        <f>B99</f>
        <v>150</v>
      </c>
      <c r="D140" s="23">
        <f t="shared" ref="D140:F140" si="89">C99</f>
        <v>-0.05</v>
      </c>
      <c r="E140" s="23" t="str">
        <f t="shared" si="89"/>
        <v>-</v>
      </c>
      <c r="F140" s="23" t="str">
        <f t="shared" si="89"/>
        <v>-</v>
      </c>
      <c r="G140" s="23">
        <f>F99</f>
        <v>0</v>
      </c>
      <c r="H140" s="23" t="str">
        <f>G99</f>
        <v>-</v>
      </c>
      <c r="J140" s="1137"/>
      <c r="K140" s="24">
        <v>10</v>
      </c>
      <c r="L140" s="787">
        <f t="shared" ref="L140:Q140" si="90">B107</f>
        <v>0</v>
      </c>
      <c r="M140" s="787">
        <f t="shared" si="90"/>
        <v>9.9999999999999995E-7</v>
      </c>
      <c r="N140" s="787" t="str">
        <f t="shared" si="90"/>
        <v>-</v>
      </c>
      <c r="O140" s="787" t="str">
        <f t="shared" si="90"/>
        <v>-</v>
      </c>
      <c r="P140" s="787">
        <f t="shared" si="90"/>
        <v>0</v>
      </c>
      <c r="Q140" s="787" t="str">
        <f t="shared" si="90"/>
        <v>-</v>
      </c>
    </row>
    <row r="141" spans="1:17" x14ac:dyDescent="0.2">
      <c r="A141" s="1137"/>
      <c r="B141" s="24">
        <v>11</v>
      </c>
      <c r="C141" s="23">
        <f>I99</f>
        <v>150</v>
      </c>
      <c r="D141" s="23">
        <f t="shared" ref="D141:F141" si="91">J99</f>
        <v>9.9999999999999995E-7</v>
      </c>
      <c r="E141" s="23" t="str">
        <f t="shared" si="91"/>
        <v>-</v>
      </c>
      <c r="F141" s="23" t="str">
        <f t="shared" si="91"/>
        <v>-</v>
      </c>
      <c r="G141" s="23">
        <f>M99</f>
        <v>0</v>
      </c>
      <c r="H141" s="23" t="str">
        <f>N99</f>
        <v>-</v>
      </c>
      <c r="J141" s="1137"/>
      <c r="K141" s="24">
        <v>11</v>
      </c>
      <c r="L141" s="787">
        <f t="shared" ref="L141:Q141" si="92">I107</f>
        <v>0</v>
      </c>
      <c r="M141" s="787">
        <f t="shared" si="92"/>
        <v>9.9999999999999995E-7</v>
      </c>
      <c r="N141" s="787" t="str">
        <f t="shared" si="92"/>
        <v>-</v>
      </c>
      <c r="O141" s="787" t="str">
        <f t="shared" si="92"/>
        <v>-</v>
      </c>
      <c r="P141" s="787">
        <f t="shared" si="92"/>
        <v>0</v>
      </c>
      <c r="Q141" s="787" t="str">
        <f t="shared" si="92"/>
        <v>-</v>
      </c>
    </row>
    <row r="142" spans="1:17" x14ac:dyDescent="0.2">
      <c r="A142" s="1137"/>
      <c r="B142" s="24">
        <v>12</v>
      </c>
      <c r="C142" s="23">
        <f>P99</f>
        <v>150</v>
      </c>
      <c r="D142" s="23">
        <f t="shared" ref="D142:F142" si="93">Q99</f>
        <v>9.9999999999999995E-7</v>
      </c>
      <c r="E142" s="23" t="str">
        <f t="shared" si="93"/>
        <v>-</v>
      </c>
      <c r="F142" s="23" t="str">
        <f t="shared" si="93"/>
        <v>-</v>
      </c>
      <c r="G142" s="23">
        <f>T99</f>
        <v>0</v>
      </c>
      <c r="H142" s="23" t="str">
        <f>U99</f>
        <v>-</v>
      </c>
      <c r="J142" s="1137"/>
      <c r="K142" s="24">
        <v>12</v>
      </c>
      <c r="L142" s="787">
        <f t="shared" ref="L142:Q142" si="94">P107</f>
        <v>0</v>
      </c>
      <c r="M142" s="787">
        <f t="shared" si="94"/>
        <v>9.9999999999999995E-7</v>
      </c>
      <c r="N142" s="787" t="str">
        <f t="shared" si="94"/>
        <v>-</v>
      </c>
      <c r="O142" s="787" t="str">
        <f t="shared" si="94"/>
        <v>-</v>
      </c>
      <c r="P142" s="787">
        <f t="shared" si="94"/>
        <v>0</v>
      </c>
      <c r="Q142" s="787" t="str">
        <f t="shared" si="94"/>
        <v>-</v>
      </c>
    </row>
    <row r="143" spans="1:17" s="762" customFormat="1" x14ac:dyDescent="0.2">
      <c r="A143" s="143"/>
      <c r="B143" s="143"/>
      <c r="C143" s="86"/>
      <c r="D143" s="86"/>
      <c r="E143" s="86"/>
      <c r="F143" s="788"/>
      <c r="G143" s="86"/>
      <c r="H143" s="86"/>
      <c r="J143" s="143"/>
      <c r="K143" s="143"/>
      <c r="L143" s="789"/>
      <c r="M143" s="789"/>
      <c r="N143" s="789"/>
      <c r="O143" s="788"/>
      <c r="P143" s="789"/>
      <c r="Q143" s="789"/>
    </row>
    <row r="144" spans="1:17" ht="15" x14ac:dyDescent="0.2">
      <c r="A144" s="1137" t="s">
        <v>54</v>
      </c>
      <c r="B144" s="21">
        <v>1</v>
      </c>
      <c r="C144" s="25">
        <f t="shared" ref="C144:H144" si="95">B7</f>
        <v>180</v>
      </c>
      <c r="D144" s="25">
        <f t="shared" si="95"/>
        <v>-0.1</v>
      </c>
      <c r="E144" s="25">
        <f t="shared" si="95"/>
        <v>0.1</v>
      </c>
      <c r="F144" s="25">
        <f t="shared" si="95"/>
        <v>-0.03</v>
      </c>
      <c r="G144" s="25">
        <f t="shared" si="95"/>
        <v>0.1</v>
      </c>
      <c r="H144" s="25">
        <f t="shared" si="95"/>
        <v>2.16</v>
      </c>
      <c r="J144" s="1137" t="s">
        <v>54</v>
      </c>
      <c r="K144" s="21">
        <v>1</v>
      </c>
      <c r="L144" s="25">
        <f t="shared" ref="L144:Q144" si="96">B15</f>
        <v>50</v>
      </c>
      <c r="M144" s="25">
        <f t="shared" si="96"/>
        <v>4</v>
      </c>
      <c r="N144" s="25">
        <f t="shared" si="96"/>
        <v>0.1</v>
      </c>
      <c r="O144" s="25">
        <f t="shared" si="96"/>
        <v>-0.06</v>
      </c>
      <c r="P144" s="25">
        <f t="shared" si="96"/>
        <v>2.0299999999999998</v>
      </c>
      <c r="Q144" s="25">
        <f t="shared" si="96"/>
        <v>0.29499999999999998</v>
      </c>
    </row>
    <row r="145" spans="1:17" ht="15" x14ac:dyDescent="0.2">
      <c r="A145" s="1137"/>
      <c r="B145" s="21">
        <v>2</v>
      </c>
      <c r="C145" s="25">
        <f t="shared" ref="C145:H145" si="97">I7</f>
        <v>180</v>
      </c>
      <c r="D145" s="25">
        <f t="shared" si="97"/>
        <v>0.1</v>
      </c>
      <c r="E145" s="25">
        <f t="shared" si="97"/>
        <v>0.12</v>
      </c>
      <c r="F145" s="25">
        <f t="shared" si="97"/>
        <v>-0.06</v>
      </c>
      <c r="G145" s="25">
        <f t="shared" si="97"/>
        <v>0.09</v>
      </c>
      <c r="H145" s="25">
        <f t="shared" si="97"/>
        <v>2.16</v>
      </c>
      <c r="J145" s="1137"/>
      <c r="K145" s="21">
        <v>2</v>
      </c>
      <c r="L145" s="25">
        <f t="shared" ref="L145:Q145" si="98">I15</f>
        <v>50</v>
      </c>
      <c r="M145" s="25">
        <f t="shared" si="98"/>
        <v>1</v>
      </c>
      <c r="N145" s="25">
        <f t="shared" si="98"/>
        <v>-0.08</v>
      </c>
      <c r="O145" s="25">
        <f t="shared" si="98"/>
        <v>0.1</v>
      </c>
      <c r="P145" s="25">
        <f t="shared" si="98"/>
        <v>0.54</v>
      </c>
      <c r="Q145" s="25">
        <f t="shared" si="98"/>
        <v>0.29499999999999998</v>
      </c>
    </row>
    <row r="146" spans="1:17" x14ac:dyDescent="0.2">
      <c r="A146" s="1137"/>
      <c r="B146" s="25">
        <v>3</v>
      </c>
      <c r="C146" s="25">
        <f t="shared" ref="C146:H146" si="99">P7</f>
        <v>180</v>
      </c>
      <c r="D146" s="25">
        <f t="shared" si="99"/>
        <v>-1.81</v>
      </c>
      <c r="E146" s="25">
        <f t="shared" si="99"/>
        <v>-1.9</v>
      </c>
      <c r="F146" s="25">
        <f t="shared" si="99"/>
        <v>-0.13</v>
      </c>
      <c r="G146" s="25">
        <f t="shared" si="99"/>
        <v>0.88500000000000001</v>
      </c>
      <c r="H146" s="25">
        <f t="shared" si="99"/>
        <v>2.16</v>
      </c>
      <c r="J146" s="1137"/>
      <c r="K146" s="25">
        <v>3</v>
      </c>
      <c r="L146" s="25">
        <f t="shared" ref="L146:Q146" si="100">P15</f>
        <v>50</v>
      </c>
      <c r="M146" s="25">
        <f t="shared" si="100"/>
        <v>9.1</v>
      </c>
      <c r="N146" s="25">
        <f t="shared" si="100"/>
        <v>-0.62</v>
      </c>
      <c r="O146" s="25">
        <f t="shared" si="100"/>
        <v>2</v>
      </c>
      <c r="P146" s="25">
        <f t="shared" si="100"/>
        <v>4.8599999999999994</v>
      </c>
      <c r="Q146" s="25">
        <f t="shared" si="100"/>
        <v>0.29499999999999998</v>
      </c>
    </row>
    <row r="147" spans="1:17" x14ac:dyDescent="0.2">
      <c r="A147" s="1137"/>
      <c r="B147" s="25">
        <v>4</v>
      </c>
      <c r="C147" s="25">
        <f t="shared" ref="C147:H147" si="101">B38</f>
        <v>180</v>
      </c>
      <c r="D147" s="25">
        <f t="shared" si="101"/>
        <v>0.11</v>
      </c>
      <c r="E147" s="25">
        <f t="shared" si="101"/>
        <v>-0.04</v>
      </c>
      <c r="F147" s="25">
        <f t="shared" si="101"/>
        <v>0.03</v>
      </c>
      <c r="G147" s="25">
        <f t="shared" si="101"/>
        <v>7.4999999999999997E-2</v>
      </c>
      <c r="H147" s="25">
        <f t="shared" si="101"/>
        <v>2.16</v>
      </c>
      <c r="J147" s="1137"/>
      <c r="K147" s="25">
        <v>4</v>
      </c>
      <c r="L147" s="25">
        <f t="shared" ref="L147:Q147" si="102">B46</f>
        <v>50</v>
      </c>
      <c r="M147" s="25">
        <f t="shared" si="102"/>
        <v>9.9999999999999995E-7</v>
      </c>
      <c r="N147" s="25">
        <f t="shared" si="102"/>
        <v>-0.3</v>
      </c>
      <c r="O147" s="25">
        <f t="shared" si="102"/>
        <v>-0.28999999999999998</v>
      </c>
      <c r="P147" s="25">
        <f t="shared" si="102"/>
        <v>0.15000049999999998</v>
      </c>
      <c r="Q147" s="25">
        <f t="shared" si="102"/>
        <v>0.29499999999999998</v>
      </c>
    </row>
    <row r="148" spans="1:17" x14ac:dyDescent="0.2">
      <c r="A148" s="1137"/>
      <c r="B148" s="24">
        <v>5</v>
      </c>
      <c r="C148" s="25">
        <f t="shared" ref="C148:H148" si="103">I38</f>
        <v>180</v>
      </c>
      <c r="D148" s="25">
        <f t="shared" si="103"/>
        <v>-0.08</v>
      </c>
      <c r="E148" s="25">
        <f t="shared" si="103"/>
        <v>0.09</v>
      </c>
      <c r="F148" s="25">
        <f t="shared" si="103"/>
        <v>0.1</v>
      </c>
      <c r="G148" s="25">
        <f t="shared" si="103"/>
        <v>0.09</v>
      </c>
      <c r="H148" s="25">
        <f t="shared" si="103"/>
        <v>2.16</v>
      </c>
      <c r="J148" s="1137"/>
      <c r="K148" s="24">
        <v>5</v>
      </c>
      <c r="L148" s="25">
        <f t="shared" ref="L148:Q148" si="104">I46</f>
        <v>50</v>
      </c>
      <c r="M148" s="25">
        <f t="shared" si="104"/>
        <v>4.0999999999999996</v>
      </c>
      <c r="N148" s="25">
        <f t="shared" si="104"/>
        <v>0.3</v>
      </c>
      <c r="O148" s="25">
        <f t="shared" si="104"/>
        <v>-0.33</v>
      </c>
      <c r="P148" s="25">
        <f t="shared" si="104"/>
        <v>2.2149999999999999</v>
      </c>
      <c r="Q148" s="25">
        <f t="shared" si="104"/>
        <v>0.29499999999999998</v>
      </c>
    </row>
    <row r="149" spans="1:17" x14ac:dyDescent="0.2">
      <c r="A149" s="1137"/>
      <c r="B149" s="24">
        <v>6</v>
      </c>
      <c r="C149" s="25">
        <f t="shared" ref="C149:H149" si="105">P38</f>
        <v>180</v>
      </c>
      <c r="D149" s="25">
        <f t="shared" si="105"/>
        <v>0.17</v>
      </c>
      <c r="E149" s="25">
        <f t="shared" si="105"/>
        <v>-0.11</v>
      </c>
      <c r="F149" s="25">
        <f t="shared" si="105"/>
        <v>9.9999999999999995E-7</v>
      </c>
      <c r="G149" s="25">
        <f t="shared" si="105"/>
        <v>0.14000000000000001</v>
      </c>
      <c r="H149" s="25">
        <f t="shared" si="105"/>
        <v>2.16</v>
      </c>
      <c r="J149" s="1137"/>
      <c r="K149" s="24">
        <v>6</v>
      </c>
      <c r="L149" s="25">
        <f t="shared" ref="L149:Q149" si="106">P46</f>
        <v>50</v>
      </c>
      <c r="M149" s="25">
        <f t="shared" si="106"/>
        <v>19.100000000000001</v>
      </c>
      <c r="N149" s="25">
        <f t="shared" si="106"/>
        <v>0.02</v>
      </c>
      <c r="O149" s="25">
        <f t="shared" si="106"/>
        <v>-0.1</v>
      </c>
      <c r="P149" s="25">
        <f t="shared" si="106"/>
        <v>9.6000000000000014</v>
      </c>
      <c r="Q149" s="25">
        <f t="shared" si="106"/>
        <v>0.29499999999999998</v>
      </c>
    </row>
    <row r="150" spans="1:17" x14ac:dyDescent="0.2">
      <c r="A150" s="1137"/>
      <c r="B150" s="24">
        <v>7</v>
      </c>
      <c r="C150" s="25">
        <f t="shared" ref="C150:H150" si="107">B69</f>
        <v>180.33</v>
      </c>
      <c r="D150" s="25">
        <f t="shared" si="107"/>
        <v>0.46</v>
      </c>
      <c r="E150" s="25">
        <f t="shared" si="107"/>
        <v>0.33</v>
      </c>
      <c r="F150" s="25">
        <f t="shared" si="107"/>
        <v>0.37</v>
      </c>
      <c r="G150" s="25">
        <f t="shared" si="107"/>
        <v>6.5000000000000002E-2</v>
      </c>
      <c r="H150" s="25">
        <f t="shared" si="107"/>
        <v>2.1639600000000003</v>
      </c>
      <c r="J150" s="1137"/>
      <c r="K150" s="24">
        <v>7</v>
      </c>
      <c r="L150" s="25">
        <f t="shared" ref="L150:Q150" si="108">B77</f>
        <v>50</v>
      </c>
      <c r="M150" s="25">
        <f t="shared" si="108"/>
        <v>1.9</v>
      </c>
      <c r="N150" s="25">
        <f t="shared" si="108"/>
        <v>1.7</v>
      </c>
      <c r="O150" s="25">
        <f t="shared" si="108"/>
        <v>2.1</v>
      </c>
      <c r="P150" s="25">
        <f t="shared" si="108"/>
        <v>0.20000000000000007</v>
      </c>
      <c r="Q150" s="25">
        <f t="shared" si="108"/>
        <v>0.29499999999999998</v>
      </c>
    </row>
    <row r="151" spans="1:17" x14ac:dyDescent="0.2">
      <c r="A151" s="1137"/>
      <c r="B151" s="24">
        <v>8</v>
      </c>
      <c r="C151" s="25">
        <f t="shared" ref="C151:H151" si="109">I69</f>
        <v>180</v>
      </c>
      <c r="D151" s="25">
        <f t="shared" si="109"/>
        <v>-0.39</v>
      </c>
      <c r="E151" s="25">
        <f t="shared" si="109"/>
        <v>-0.14000000000000001</v>
      </c>
      <c r="F151" s="25" t="str">
        <f t="shared" si="109"/>
        <v>-</v>
      </c>
      <c r="G151" s="25">
        <f t="shared" si="109"/>
        <v>0.125</v>
      </c>
      <c r="H151" s="25">
        <f t="shared" si="109"/>
        <v>2.16</v>
      </c>
      <c r="J151" s="1137"/>
      <c r="K151" s="24">
        <v>8</v>
      </c>
      <c r="L151" s="25">
        <f t="shared" ref="L151:Q151" si="110">I77</f>
        <v>20</v>
      </c>
      <c r="M151" s="25">
        <f t="shared" si="110"/>
        <v>6.6</v>
      </c>
      <c r="N151" s="25">
        <f t="shared" si="110"/>
        <v>0.9</v>
      </c>
      <c r="O151" s="25" t="str">
        <f t="shared" si="110"/>
        <v>-</v>
      </c>
      <c r="P151" s="25">
        <f t="shared" si="110"/>
        <v>2.8499999999999996</v>
      </c>
      <c r="Q151" s="25">
        <f t="shared" si="110"/>
        <v>0.11799999999999999</v>
      </c>
    </row>
    <row r="152" spans="1:17" x14ac:dyDescent="0.2">
      <c r="A152" s="1137"/>
      <c r="B152" s="24">
        <v>9</v>
      </c>
      <c r="C152" s="25">
        <f t="shared" ref="C152:H152" si="111">P69</f>
        <v>179.78</v>
      </c>
      <c r="D152" s="25">
        <f t="shared" si="111"/>
        <v>-0.2</v>
      </c>
      <c r="E152" s="25">
        <f t="shared" si="111"/>
        <v>-0.22</v>
      </c>
      <c r="F152" s="25" t="str">
        <f t="shared" si="111"/>
        <v>-</v>
      </c>
      <c r="G152" s="25">
        <f t="shared" si="111"/>
        <v>9.999999999999995E-3</v>
      </c>
      <c r="H152" s="25">
        <f t="shared" si="111"/>
        <v>2.1573600000000002</v>
      </c>
      <c r="J152" s="1137"/>
      <c r="K152" s="24">
        <v>9</v>
      </c>
      <c r="L152" s="25">
        <f t="shared" ref="L152:Q152" si="112">P77</f>
        <v>20.8</v>
      </c>
      <c r="M152" s="25">
        <f t="shared" si="112"/>
        <v>4.9000000000000004</v>
      </c>
      <c r="N152" s="25">
        <f t="shared" si="112"/>
        <v>0.8</v>
      </c>
      <c r="O152" s="25" t="str">
        <f t="shared" si="112"/>
        <v>-</v>
      </c>
      <c r="P152" s="25">
        <f t="shared" si="112"/>
        <v>2.0500000000000003</v>
      </c>
      <c r="Q152" s="25">
        <f t="shared" si="112"/>
        <v>0.12272</v>
      </c>
    </row>
    <row r="153" spans="1:17" x14ac:dyDescent="0.2">
      <c r="A153" s="1137"/>
      <c r="B153" s="24">
        <v>10</v>
      </c>
      <c r="C153" s="25">
        <f>B100</f>
        <v>180</v>
      </c>
      <c r="D153" s="25">
        <f t="shared" ref="D153:F153" si="113">C100</f>
        <v>-0.04</v>
      </c>
      <c r="E153" s="25" t="str">
        <f t="shared" si="113"/>
        <v>-</v>
      </c>
      <c r="F153" s="25" t="str">
        <f t="shared" si="113"/>
        <v>-</v>
      </c>
      <c r="G153" s="25">
        <f>F100</f>
        <v>0</v>
      </c>
      <c r="H153" s="25" t="str">
        <f>G100</f>
        <v>-</v>
      </c>
      <c r="J153" s="1137"/>
      <c r="K153" s="24">
        <v>10</v>
      </c>
      <c r="L153" s="25">
        <f t="shared" ref="L153:Q153" si="114">B108</f>
        <v>50</v>
      </c>
      <c r="M153" s="25">
        <f t="shared" si="114"/>
        <v>0.4</v>
      </c>
      <c r="N153" s="25" t="str">
        <f t="shared" si="114"/>
        <v>-</v>
      </c>
      <c r="O153" s="25" t="str">
        <f t="shared" si="114"/>
        <v>-</v>
      </c>
      <c r="P153" s="25">
        <f t="shared" si="114"/>
        <v>0</v>
      </c>
      <c r="Q153" s="25" t="str">
        <f t="shared" si="114"/>
        <v>-</v>
      </c>
    </row>
    <row r="154" spans="1:17" x14ac:dyDescent="0.2">
      <c r="A154" s="1137"/>
      <c r="B154" s="24">
        <v>11</v>
      </c>
      <c r="C154" s="25">
        <f>I100</f>
        <v>180</v>
      </c>
      <c r="D154" s="25">
        <f t="shared" ref="D154:F154" si="115">J100</f>
        <v>9.9999999999999995E-7</v>
      </c>
      <c r="E154" s="25" t="str">
        <f t="shared" si="115"/>
        <v>-</v>
      </c>
      <c r="F154" s="25" t="str">
        <f t="shared" si="115"/>
        <v>-</v>
      </c>
      <c r="G154" s="25">
        <f>M100</f>
        <v>0</v>
      </c>
      <c r="H154" s="25" t="str">
        <f>N100</f>
        <v>-</v>
      </c>
      <c r="J154" s="1137"/>
      <c r="K154" s="24">
        <v>11</v>
      </c>
      <c r="L154" s="25">
        <f t="shared" ref="L154:Q154" si="116">I108</f>
        <v>50</v>
      </c>
      <c r="M154" s="25">
        <f t="shared" si="116"/>
        <v>9.9999999999999995E-7</v>
      </c>
      <c r="N154" s="25" t="str">
        <f t="shared" si="116"/>
        <v>-</v>
      </c>
      <c r="O154" s="25" t="str">
        <f t="shared" si="116"/>
        <v>-</v>
      </c>
      <c r="P154" s="25">
        <f t="shared" si="116"/>
        <v>0</v>
      </c>
      <c r="Q154" s="25" t="str">
        <f t="shared" si="116"/>
        <v>-</v>
      </c>
    </row>
    <row r="155" spans="1:17" x14ac:dyDescent="0.2">
      <c r="A155" s="1137"/>
      <c r="B155" s="24">
        <v>12</v>
      </c>
      <c r="C155" s="25">
        <f>P100</f>
        <v>180</v>
      </c>
      <c r="D155" s="25">
        <f t="shared" ref="D155:F155" si="117">Q100</f>
        <v>9.9999999999999995E-7</v>
      </c>
      <c r="E155" s="25" t="str">
        <f t="shared" si="117"/>
        <v>-</v>
      </c>
      <c r="F155" s="25" t="str">
        <f t="shared" si="117"/>
        <v>-</v>
      </c>
      <c r="G155" s="25">
        <f>T100</f>
        <v>0</v>
      </c>
      <c r="H155" s="25" t="str">
        <f>U100</f>
        <v>-</v>
      </c>
      <c r="J155" s="1137"/>
      <c r="K155" s="24">
        <v>12</v>
      </c>
      <c r="L155" s="25">
        <f t="shared" ref="L155:Q155" si="118">P108</f>
        <v>50</v>
      </c>
      <c r="M155" s="25">
        <f t="shared" si="118"/>
        <v>9.9999999999999995E-7</v>
      </c>
      <c r="N155" s="25" t="str">
        <f t="shared" si="118"/>
        <v>-</v>
      </c>
      <c r="O155" s="25" t="str">
        <f t="shared" si="118"/>
        <v>-</v>
      </c>
      <c r="P155" s="25">
        <f t="shared" si="118"/>
        <v>0</v>
      </c>
      <c r="Q155" s="25" t="str">
        <f t="shared" si="118"/>
        <v>-</v>
      </c>
    </row>
    <row r="156" spans="1:17" s="762" customFormat="1" x14ac:dyDescent="0.2">
      <c r="A156" s="143"/>
      <c r="B156" s="143"/>
      <c r="C156" s="143"/>
      <c r="D156" s="143"/>
      <c r="E156" s="143"/>
      <c r="F156" s="788"/>
      <c r="G156" s="143"/>
      <c r="H156" s="143"/>
      <c r="J156" s="143"/>
      <c r="K156" s="143"/>
      <c r="L156" s="143"/>
      <c r="M156" s="143"/>
      <c r="N156" s="143"/>
      <c r="O156" s="788"/>
      <c r="P156" s="143"/>
      <c r="Q156" s="143"/>
    </row>
    <row r="157" spans="1:17" ht="15" x14ac:dyDescent="0.2">
      <c r="A157" s="1137" t="s">
        <v>55</v>
      </c>
      <c r="B157" s="21">
        <v>1</v>
      </c>
      <c r="C157" s="21">
        <f t="shared" ref="C157:H157" si="119">B8</f>
        <v>200</v>
      </c>
      <c r="D157" s="21">
        <f t="shared" si="119"/>
        <v>-0.17</v>
      </c>
      <c r="E157" s="21">
        <f t="shared" si="119"/>
        <v>-0.04</v>
      </c>
      <c r="F157" s="21">
        <f t="shared" si="119"/>
        <v>-0.16</v>
      </c>
      <c r="G157" s="21">
        <f t="shared" si="119"/>
        <v>6.5000000000000002E-2</v>
      </c>
      <c r="H157" s="21">
        <f t="shared" si="119"/>
        <v>2.4</v>
      </c>
      <c r="J157" s="1137" t="s">
        <v>55</v>
      </c>
      <c r="K157" s="21">
        <v>1</v>
      </c>
      <c r="L157" s="24">
        <f t="shared" ref="L157:Q157" si="120">B16</f>
        <v>100</v>
      </c>
      <c r="M157" s="24">
        <f t="shared" si="120"/>
        <v>3.6</v>
      </c>
      <c r="N157" s="24">
        <f t="shared" si="120"/>
        <v>0.2</v>
      </c>
      <c r="O157" s="24">
        <f t="shared" si="120"/>
        <v>-0.06</v>
      </c>
      <c r="P157" s="24">
        <f t="shared" si="120"/>
        <v>1.83</v>
      </c>
      <c r="Q157" s="24">
        <f t="shared" si="120"/>
        <v>0.59</v>
      </c>
    </row>
    <row r="158" spans="1:17" ht="15" x14ac:dyDescent="0.2">
      <c r="A158" s="1137"/>
      <c r="B158" s="21">
        <v>2</v>
      </c>
      <c r="C158" s="21">
        <f t="shared" ref="C158:H158" si="121">I8</f>
        <v>200</v>
      </c>
      <c r="D158" s="21">
        <f t="shared" si="121"/>
        <v>0.09</v>
      </c>
      <c r="E158" s="21">
        <f t="shared" si="121"/>
        <v>0.06</v>
      </c>
      <c r="F158" s="21">
        <f t="shared" si="121"/>
        <v>-0.18</v>
      </c>
      <c r="G158" s="21">
        <f t="shared" si="121"/>
        <v>0.13500000000000001</v>
      </c>
      <c r="H158" s="21">
        <f t="shared" si="121"/>
        <v>2.4</v>
      </c>
      <c r="J158" s="1137"/>
      <c r="K158" s="21">
        <v>2</v>
      </c>
      <c r="L158" s="24">
        <f t="shared" ref="L158:Q158" si="122">I16</f>
        <v>100</v>
      </c>
      <c r="M158" s="24">
        <f t="shared" si="122"/>
        <v>-0.9</v>
      </c>
      <c r="N158" s="24">
        <f t="shared" si="122"/>
        <v>-7.0000000000000007E-2</v>
      </c>
      <c r="O158" s="24">
        <f t="shared" si="122"/>
        <v>2.2000000000000002</v>
      </c>
      <c r="P158" s="24">
        <f t="shared" si="122"/>
        <v>1.55</v>
      </c>
      <c r="Q158" s="24">
        <f t="shared" si="122"/>
        <v>0.59</v>
      </c>
    </row>
    <row r="159" spans="1:17" x14ac:dyDescent="0.2">
      <c r="A159" s="1137"/>
      <c r="B159" s="25">
        <v>3</v>
      </c>
      <c r="C159" s="25">
        <f t="shared" ref="C159:H159" si="123">P8</f>
        <v>200</v>
      </c>
      <c r="D159" s="25">
        <f t="shared" si="123"/>
        <v>-2.0499999999999998</v>
      </c>
      <c r="E159" s="25">
        <f t="shared" si="123"/>
        <v>-2.14</v>
      </c>
      <c r="F159" s="25">
        <f t="shared" si="123"/>
        <v>-0.26</v>
      </c>
      <c r="G159" s="25">
        <f t="shared" si="123"/>
        <v>0.94000000000000006</v>
      </c>
      <c r="H159" s="25">
        <f t="shared" si="123"/>
        <v>2.4</v>
      </c>
      <c r="J159" s="1137"/>
      <c r="K159" s="25">
        <v>3</v>
      </c>
      <c r="L159" s="24">
        <f t="shared" ref="L159:Q159" si="124">P16</f>
        <v>100</v>
      </c>
      <c r="M159" s="24">
        <f t="shared" si="124"/>
        <v>6</v>
      </c>
      <c r="N159" s="24">
        <f t="shared" si="124"/>
        <v>-0.22</v>
      </c>
      <c r="O159" s="24">
        <f t="shared" si="124"/>
        <v>2</v>
      </c>
      <c r="P159" s="24">
        <f t="shared" si="124"/>
        <v>3.11</v>
      </c>
      <c r="Q159" s="24">
        <f t="shared" si="124"/>
        <v>0.59</v>
      </c>
    </row>
    <row r="160" spans="1:17" x14ac:dyDescent="0.2">
      <c r="A160" s="1137"/>
      <c r="B160" s="25">
        <v>4</v>
      </c>
      <c r="C160" s="25">
        <f t="shared" ref="C160:H160" si="125">B39</f>
        <v>200</v>
      </c>
      <c r="D160" s="25">
        <f t="shared" si="125"/>
        <v>0.11</v>
      </c>
      <c r="E160" s="25">
        <f t="shared" si="125"/>
        <v>-0.67</v>
      </c>
      <c r="F160" s="25">
        <f t="shared" si="125"/>
        <v>0.05</v>
      </c>
      <c r="G160" s="25">
        <f t="shared" si="125"/>
        <v>0.39</v>
      </c>
      <c r="H160" s="25">
        <f t="shared" si="125"/>
        <v>2.4</v>
      </c>
      <c r="J160" s="1137"/>
      <c r="K160" s="25">
        <v>4</v>
      </c>
      <c r="L160" s="24">
        <f t="shared" ref="L160:Q160" si="126">B47</f>
        <v>100</v>
      </c>
      <c r="M160" s="24">
        <f t="shared" si="126"/>
        <v>4.0999999999999996</v>
      </c>
      <c r="N160" s="24">
        <f t="shared" si="126"/>
        <v>-0.4</v>
      </c>
      <c r="O160" s="24">
        <f t="shared" si="126"/>
        <v>-0.35</v>
      </c>
      <c r="P160" s="24">
        <f t="shared" si="126"/>
        <v>2.25</v>
      </c>
      <c r="Q160" s="24">
        <f t="shared" si="126"/>
        <v>0.59</v>
      </c>
    </row>
    <row r="161" spans="1:17" x14ac:dyDescent="0.2">
      <c r="A161" s="1137"/>
      <c r="B161" s="24">
        <v>5</v>
      </c>
      <c r="C161" s="24">
        <f t="shared" ref="C161:H161" si="127">I39</f>
        <v>200</v>
      </c>
      <c r="D161" s="24">
        <f t="shared" si="127"/>
        <v>-0.12</v>
      </c>
      <c r="E161" s="24">
        <f t="shared" si="127"/>
        <v>0.18</v>
      </c>
      <c r="F161" s="24">
        <f t="shared" si="127"/>
        <v>-0.03</v>
      </c>
      <c r="G161" s="24">
        <f t="shared" si="127"/>
        <v>0.15</v>
      </c>
      <c r="H161" s="24">
        <f t="shared" si="127"/>
        <v>2.4</v>
      </c>
      <c r="J161" s="1137"/>
      <c r="K161" s="24">
        <v>5</v>
      </c>
      <c r="L161" s="24">
        <f t="shared" ref="L161:Q161" si="128">I47</f>
        <v>100</v>
      </c>
      <c r="M161" s="24">
        <f t="shared" si="128"/>
        <v>5</v>
      </c>
      <c r="N161" s="24">
        <f t="shared" si="128"/>
        <v>-0.1</v>
      </c>
      <c r="O161" s="24">
        <f t="shared" si="128"/>
        <v>-0.42</v>
      </c>
      <c r="P161" s="24">
        <f t="shared" si="128"/>
        <v>2.71</v>
      </c>
      <c r="Q161" s="24">
        <f t="shared" si="128"/>
        <v>0.59</v>
      </c>
    </row>
    <row r="162" spans="1:17" x14ac:dyDescent="0.2">
      <c r="A162" s="1137"/>
      <c r="B162" s="24">
        <v>6</v>
      </c>
      <c r="C162" s="24">
        <f t="shared" ref="C162:H162" si="129">P39</f>
        <v>200</v>
      </c>
      <c r="D162" s="24">
        <f t="shared" si="129"/>
        <v>0.1</v>
      </c>
      <c r="E162" s="24">
        <f t="shared" si="129"/>
        <v>-0.1</v>
      </c>
      <c r="F162" s="24">
        <f t="shared" si="129"/>
        <v>0.05</v>
      </c>
      <c r="G162" s="24">
        <f t="shared" si="129"/>
        <v>0.1</v>
      </c>
      <c r="H162" s="24">
        <f t="shared" si="129"/>
        <v>2.4</v>
      </c>
      <c r="J162" s="1137"/>
      <c r="K162" s="24">
        <v>6</v>
      </c>
      <c r="L162" s="24">
        <f t="shared" ref="L162:Q162" si="130">P47</f>
        <v>100</v>
      </c>
      <c r="M162" s="24">
        <f t="shared" si="130"/>
        <v>18.399999999999999</v>
      </c>
      <c r="N162" s="24">
        <f t="shared" si="130"/>
        <v>0.22</v>
      </c>
      <c r="O162" s="24">
        <f t="shared" si="130"/>
        <v>-0.2</v>
      </c>
      <c r="P162" s="24">
        <f t="shared" si="130"/>
        <v>9.2999999999999989</v>
      </c>
      <c r="Q162" s="24">
        <f t="shared" si="130"/>
        <v>0.59</v>
      </c>
    </row>
    <row r="163" spans="1:17" x14ac:dyDescent="0.2">
      <c r="A163" s="1137"/>
      <c r="B163" s="24">
        <v>7</v>
      </c>
      <c r="C163" s="24">
        <f t="shared" ref="C163:H163" si="131">B70</f>
        <v>200.35</v>
      </c>
      <c r="D163" s="24">
        <f t="shared" si="131"/>
        <v>0.52</v>
      </c>
      <c r="E163" s="24">
        <f t="shared" si="131"/>
        <v>0.34</v>
      </c>
      <c r="F163" s="24">
        <f t="shared" si="131"/>
        <v>0.4</v>
      </c>
      <c r="G163" s="24">
        <f t="shared" si="131"/>
        <v>0.09</v>
      </c>
      <c r="H163" s="24">
        <f t="shared" si="131"/>
        <v>2.4041999999999999</v>
      </c>
      <c r="J163" s="1137"/>
      <c r="K163" s="24">
        <v>7</v>
      </c>
      <c r="L163" s="24">
        <f t="shared" ref="L163:Q163" si="132">B78</f>
        <v>100</v>
      </c>
      <c r="M163" s="24">
        <f t="shared" si="132"/>
        <v>1.7</v>
      </c>
      <c r="N163" s="24">
        <f t="shared" si="132"/>
        <v>1.7</v>
      </c>
      <c r="O163" s="24">
        <f t="shared" si="132"/>
        <v>2.2000000000000002</v>
      </c>
      <c r="P163" s="24">
        <f t="shared" si="132"/>
        <v>0.25000000000000011</v>
      </c>
      <c r="Q163" s="24">
        <f t="shared" si="132"/>
        <v>0.59</v>
      </c>
    </row>
    <row r="164" spans="1:17" x14ac:dyDescent="0.2">
      <c r="A164" s="1137"/>
      <c r="B164" s="24">
        <v>8</v>
      </c>
      <c r="C164" s="24">
        <f t="shared" ref="C164:H164" si="133">I70</f>
        <v>200</v>
      </c>
      <c r="D164" s="24">
        <f t="shared" si="133"/>
        <v>-0.23</v>
      </c>
      <c r="E164" s="24">
        <f t="shared" si="133"/>
        <v>-0.33</v>
      </c>
      <c r="F164" s="24" t="str">
        <f t="shared" si="133"/>
        <v>-</v>
      </c>
      <c r="G164" s="24">
        <f t="shared" si="133"/>
        <v>0.05</v>
      </c>
      <c r="H164" s="24">
        <f t="shared" si="133"/>
        <v>2.4</v>
      </c>
      <c r="J164" s="1137"/>
      <c r="K164" s="24">
        <v>8</v>
      </c>
      <c r="L164" s="24">
        <f t="shared" ref="L164:Q164" si="134">I78</f>
        <v>50</v>
      </c>
      <c r="M164" s="24">
        <f t="shared" si="134"/>
        <v>5</v>
      </c>
      <c r="N164" s="24">
        <f t="shared" si="134"/>
        <v>2.1</v>
      </c>
      <c r="O164" s="24" t="str">
        <f t="shared" si="134"/>
        <v>-</v>
      </c>
      <c r="P164" s="24">
        <f t="shared" si="134"/>
        <v>1.45</v>
      </c>
      <c r="Q164" s="24">
        <f t="shared" si="134"/>
        <v>0.29499999999999998</v>
      </c>
    </row>
    <row r="165" spans="1:17" x14ac:dyDescent="0.2">
      <c r="A165" s="1137"/>
      <c r="B165" s="24">
        <v>9</v>
      </c>
      <c r="C165" s="24">
        <f t="shared" ref="C165:H165" si="135">P70</f>
        <v>199.67</v>
      </c>
      <c r="D165" s="24">
        <f t="shared" si="135"/>
        <v>-0.25</v>
      </c>
      <c r="E165" s="24">
        <f t="shared" si="135"/>
        <v>-0.33</v>
      </c>
      <c r="F165" s="24" t="str">
        <f t="shared" si="135"/>
        <v>-</v>
      </c>
      <c r="G165" s="24">
        <f t="shared" si="135"/>
        <v>4.0000000000000008E-2</v>
      </c>
      <c r="H165" s="24">
        <f t="shared" si="135"/>
        <v>2.3960399999999997</v>
      </c>
      <c r="J165" s="1137"/>
      <c r="K165" s="24">
        <v>9</v>
      </c>
      <c r="L165" s="24">
        <f t="shared" ref="L165:Q165" si="136">P78</f>
        <v>51.7</v>
      </c>
      <c r="M165" s="24">
        <f t="shared" si="136"/>
        <v>9.1999999999999993</v>
      </c>
      <c r="N165" s="24">
        <f t="shared" si="136"/>
        <v>1.7</v>
      </c>
      <c r="O165" s="24" t="str">
        <f t="shared" si="136"/>
        <v>-</v>
      </c>
      <c r="P165" s="24">
        <f t="shared" si="136"/>
        <v>3.7499999999999996</v>
      </c>
      <c r="Q165" s="24">
        <f t="shared" si="136"/>
        <v>0.30503000000000002</v>
      </c>
    </row>
    <row r="166" spans="1:17" x14ac:dyDescent="0.2">
      <c r="A166" s="1137"/>
      <c r="B166" s="24">
        <v>10</v>
      </c>
      <c r="C166" s="24">
        <f>B101</f>
        <v>200</v>
      </c>
      <c r="D166" s="24">
        <f t="shared" ref="D166:F166" si="137">C101</f>
        <v>-0.67</v>
      </c>
      <c r="E166" s="24" t="str">
        <f t="shared" si="137"/>
        <v>-</v>
      </c>
      <c r="F166" s="24" t="str">
        <f t="shared" si="137"/>
        <v>-</v>
      </c>
      <c r="G166" s="24">
        <f>F101</f>
        <v>0</v>
      </c>
      <c r="H166" s="24" t="str">
        <f>G101</f>
        <v>-</v>
      </c>
      <c r="J166" s="1137"/>
      <c r="K166" s="24">
        <v>10</v>
      </c>
      <c r="L166" s="24">
        <f t="shared" ref="L166:Q166" si="138">B109</f>
        <v>100</v>
      </c>
      <c r="M166" s="24">
        <f t="shared" si="138"/>
        <v>0.4</v>
      </c>
      <c r="N166" s="24" t="str">
        <f t="shared" si="138"/>
        <v>-</v>
      </c>
      <c r="O166" s="24" t="str">
        <f t="shared" si="138"/>
        <v>-</v>
      </c>
      <c r="P166" s="24">
        <f t="shared" si="138"/>
        <v>0</v>
      </c>
      <c r="Q166" s="24" t="str">
        <f t="shared" si="138"/>
        <v>-</v>
      </c>
    </row>
    <row r="167" spans="1:17" x14ac:dyDescent="0.2">
      <c r="A167" s="1137"/>
      <c r="B167" s="24">
        <v>11</v>
      </c>
      <c r="C167" s="24">
        <f>I101</f>
        <v>200</v>
      </c>
      <c r="D167" s="24">
        <f t="shared" ref="D167:F167" si="139">J101</f>
        <v>9.9999999999999995E-7</v>
      </c>
      <c r="E167" s="24" t="str">
        <f t="shared" si="139"/>
        <v>-</v>
      </c>
      <c r="F167" s="24" t="str">
        <f t="shared" si="139"/>
        <v>-</v>
      </c>
      <c r="G167" s="24">
        <f>M101</f>
        <v>0</v>
      </c>
      <c r="H167" s="24" t="str">
        <f>N101</f>
        <v>-</v>
      </c>
      <c r="J167" s="1137"/>
      <c r="K167" s="24">
        <v>11</v>
      </c>
      <c r="L167" s="24">
        <f t="shared" ref="L167:Q167" si="140">I109</f>
        <v>100</v>
      </c>
      <c r="M167" s="24">
        <f t="shared" si="140"/>
        <v>9.9999999999999995E-7</v>
      </c>
      <c r="N167" s="24" t="str">
        <f t="shared" si="140"/>
        <v>-</v>
      </c>
      <c r="O167" s="24" t="str">
        <f t="shared" si="140"/>
        <v>-</v>
      </c>
      <c r="P167" s="24">
        <f t="shared" si="140"/>
        <v>0</v>
      </c>
      <c r="Q167" s="24" t="str">
        <f t="shared" si="140"/>
        <v>-</v>
      </c>
    </row>
    <row r="168" spans="1:17" x14ac:dyDescent="0.2">
      <c r="A168" s="1137"/>
      <c r="B168" s="24">
        <v>12</v>
      </c>
      <c r="C168" s="24">
        <f>P101</f>
        <v>200</v>
      </c>
      <c r="D168" s="24">
        <f t="shared" ref="D168:F168" si="141">Q101</f>
        <v>9.9999999999999995E-7</v>
      </c>
      <c r="E168" s="24" t="str">
        <f t="shared" si="141"/>
        <v>-</v>
      </c>
      <c r="F168" s="24" t="str">
        <f t="shared" si="141"/>
        <v>-</v>
      </c>
      <c r="G168" s="24">
        <f>T101</f>
        <v>0</v>
      </c>
      <c r="H168" s="24" t="str">
        <f>U101</f>
        <v>-</v>
      </c>
      <c r="J168" s="1137"/>
      <c r="K168" s="24">
        <v>12</v>
      </c>
      <c r="L168" s="24">
        <f t="shared" ref="L168:Q168" si="142">P109</f>
        <v>100</v>
      </c>
      <c r="M168" s="24">
        <f t="shared" si="142"/>
        <v>9.9999999999999995E-7</v>
      </c>
      <c r="N168" s="24" t="str">
        <f t="shared" si="142"/>
        <v>-</v>
      </c>
      <c r="O168" s="24" t="str">
        <f t="shared" si="142"/>
        <v>-</v>
      </c>
      <c r="P168" s="24">
        <f t="shared" si="142"/>
        <v>0</v>
      </c>
      <c r="Q168" s="24" t="str">
        <f t="shared" si="142"/>
        <v>-</v>
      </c>
    </row>
    <row r="169" spans="1:17" s="762" customFormat="1" x14ac:dyDescent="0.2">
      <c r="A169" s="143"/>
      <c r="B169" s="143"/>
      <c r="C169" s="143"/>
      <c r="D169" s="143"/>
      <c r="E169" s="143"/>
      <c r="F169" s="788"/>
      <c r="G169" s="143"/>
      <c r="H169" s="143"/>
      <c r="J169" s="143"/>
      <c r="K169" s="143"/>
      <c r="L169" s="143"/>
      <c r="M169" s="143"/>
      <c r="N169" s="143"/>
      <c r="O169" s="788"/>
      <c r="P169" s="143"/>
      <c r="Q169" s="143"/>
    </row>
    <row r="170" spans="1:17" ht="15" x14ac:dyDescent="0.2">
      <c r="A170" s="1137" t="s">
        <v>56</v>
      </c>
      <c r="B170" s="21">
        <v>1</v>
      </c>
      <c r="C170" s="21">
        <f t="shared" ref="C170:H170" si="143">B9</f>
        <v>220</v>
      </c>
      <c r="D170" s="21">
        <f t="shared" si="143"/>
        <v>-0.27</v>
      </c>
      <c r="E170" s="21">
        <f t="shared" si="143"/>
        <v>-0.28000000000000003</v>
      </c>
      <c r="F170" s="21">
        <f t="shared" si="143"/>
        <v>-0.18</v>
      </c>
      <c r="G170" s="21">
        <f t="shared" si="143"/>
        <v>5.0000000000000017E-2</v>
      </c>
      <c r="H170" s="21">
        <f t="shared" si="143"/>
        <v>2.64</v>
      </c>
      <c r="J170" s="1137" t="s">
        <v>56</v>
      </c>
      <c r="K170" s="21">
        <v>1</v>
      </c>
      <c r="L170" s="24">
        <f t="shared" ref="L170:Q170" si="144">B17</f>
        <v>200</v>
      </c>
      <c r="M170" s="24">
        <f t="shared" si="144"/>
        <v>2.2000000000000002</v>
      </c>
      <c r="N170" s="24">
        <f t="shared" si="144"/>
        <v>0.4</v>
      </c>
      <c r="O170" s="24">
        <f t="shared" si="144"/>
        <v>9.9999999999999995E-7</v>
      </c>
      <c r="P170" s="24">
        <f t="shared" si="144"/>
        <v>1.0999995</v>
      </c>
      <c r="Q170" s="25">
        <f t="shared" si="144"/>
        <v>1.18</v>
      </c>
    </row>
    <row r="171" spans="1:17" ht="15" x14ac:dyDescent="0.2">
      <c r="A171" s="1137"/>
      <c r="B171" s="21">
        <v>2</v>
      </c>
      <c r="C171" s="25">
        <f t="shared" ref="C171:H171" si="145">I9</f>
        <v>220</v>
      </c>
      <c r="D171" s="25">
        <f t="shared" si="145"/>
        <v>0.53</v>
      </c>
      <c r="E171" s="25">
        <f t="shared" si="145"/>
        <v>0.05</v>
      </c>
      <c r="F171" s="25">
        <f t="shared" si="145"/>
        <v>-0.03</v>
      </c>
      <c r="G171" s="25">
        <f t="shared" si="145"/>
        <v>0.28000000000000003</v>
      </c>
      <c r="H171" s="25">
        <f t="shared" si="145"/>
        <v>2.64</v>
      </c>
      <c r="J171" s="1137"/>
      <c r="K171" s="21">
        <v>2</v>
      </c>
      <c r="L171" s="24">
        <f t="shared" ref="L171:Q171" si="146">I17</f>
        <v>200</v>
      </c>
      <c r="M171" s="24">
        <f t="shared" si="146"/>
        <v>-6.4</v>
      </c>
      <c r="N171" s="24">
        <f t="shared" si="146"/>
        <v>-0.1</v>
      </c>
      <c r="O171" s="24">
        <f t="shared" si="146"/>
        <v>3.3</v>
      </c>
      <c r="P171" s="24">
        <f t="shared" si="146"/>
        <v>4.8499999999999996</v>
      </c>
      <c r="Q171" s="25">
        <f t="shared" si="146"/>
        <v>1.18</v>
      </c>
    </row>
    <row r="172" spans="1:17" x14ac:dyDescent="0.2">
      <c r="A172" s="1137"/>
      <c r="B172" s="25">
        <v>3</v>
      </c>
      <c r="C172" s="25">
        <f t="shared" ref="C172:H172" si="147">P9</f>
        <v>220</v>
      </c>
      <c r="D172" s="25">
        <f t="shared" si="147"/>
        <v>-2.29</v>
      </c>
      <c r="E172" s="25">
        <f t="shared" si="147"/>
        <v>-3.44</v>
      </c>
      <c r="F172" s="25">
        <f t="shared" si="147"/>
        <v>-0.28999999999999998</v>
      </c>
      <c r="G172" s="25">
        <f t="shared" si="147"/>
        <v>1.575</v>
      </c>
      <c r="H172" s="25">
        <f t="shared" si="147"/>
        <v>2.64</v>
      </c>
      <c r="J172" s="1137"/>
      <c r="K172" s="25">
        <v>3</v>
      </c>
      <c r="L172" s="24">
        <f t="shared" ref="L172:Q172" si="148">P17</f>
        <v>200</v>
      </c>
      <c r="M172" s="24">
        <f t="shared" si="148"/>
        <v>-3.6</v>
      </c>
      <c r="N172" s="24">
        <f t="shared" si="148"/>
        <v>-0.1</v>
      </c>
      <c r="O172" s="24">
        <f t="shared" si="148"/>
        <v>3.6</v>
      </c>
      <c r="P172" s="24">
        <f t="shared" si="148"/>
        <v>3.6</v>
      </c>
      <c r="Q172" s="25">
        <f t="shared" si="148"/>
        <v>1.18</v>
      </c>
    </row>
    <row r="173" spans="1:17" x14ac:dyDescent="0.2">
      <c r="A173" s="1137"/>
      <c r="B173" s="25">
        <v>4</v>
      </c>
      <c r="C173" s="25">
        <f t="shared" ref="C173:H173" si="149">B40</f>
        <v>220</v>
      </c>
      <c r="D173" s="25">
        <f t="shared" si="149"/>
        <v>0.13</v>
      </c>
      <c r="E173" s="25">
        <f t="shared" si="149"/>
        <v>9.9999999999999995E-7</v>
      </c>
      <c r="F173" s="25">
        <f t="shared" si="149"/>
        <v>0.1</v>
      </c>
      <c r="G173" s="25">
        <f t="shared" si="149"/>
        <v>6.4999500000000002E-2</v>
      </c>
      <c r="H173" s="25">
        <f t="shared" si="149"/>
        <v>2.64</v>
      </c>
      <c r="J173" s="1137"/>
      <c r="K173" s="25">
        <v>4</v>
      </c>
      <c r="L173" s="24">
        <f t="shared" ref="L173:Q173" si="150">B48</f>
        <v>200</v>
      </c>
      <c r="M173" s="24">
        <f t="shared" si="150"/>
        <v>5</v>
      </c>
      <c r="N173" s="24">
        <f t="shared" si="150"/>
        <v>0.3</v>
      </c>
      <c r="O173" s="24">
        <f t="shared" si="150"/>
        <v>0.8</v>
      </c>
      <c r="P173" s="24">
        <f t="shared" si="150"/>
        <v>2.35</v>
      </c>
      <c r="Q173" s="25">
        <f t="shared" si="150"/>
        <v>1.18</v>
      </c>
    </row>
    <row r="174" spans="1:17" x14ac:dyDescent="0.2">
      <c r="A174" s="1137"/>
      <c r="B174" s="24">
        <v>5</v>
      </c>
      <c r="C174" s="24">
        <f t="shared" ref="C174:H174" si="151">I40</f>
        <v>220</v>
      </c>
      <c r="D174" s="24">
        <f t="shared" si="151"/>
        <v>-0.17</v>
      </c>
      <c r="E174" s="24">
        <f t="shared" si="151"/>
        <v>0.56000000000000005</v>
      </c>
      <c r="F174" s="24">
        <f t="shared" si="151"/>
        <v>0.38</v>
      </c>
      <c r="G174" s="24">
        <f t="shared" si="151"/>
        <v>0.36500000000000005</v>
      </c>
      <c r="H174" s="24">
        <f t="shared" si="151"/>
        <v>2.64</v>
      </c>
      <c r="J174" s="1137"/>
      <c r="K174" s="24">
        <v>5</v>
      </c>
      <c r="L174" s="24">
        <f t="shared" ref="L174:Q174" si="152">I48</f>
        <v>200</v>
      </c>
      <c r="M174" s="24">
        <f t="shared" si="152"/>
        <v>7.7</v>
      </c>
      <c r="N174" s="24">
        <f t="shared" si="152"/>
        <v>1.3</v>
      </c>
      <c r="O174" s="24">
        <f t="shared" si="152"/>
        <v>1.3</v>
      </c>
      <c r="P174" s="24">
        <f t="shared" si="152"/>
        <v>3.2</v>
      </c>
      <c r="Q174" s="25">
        <f t="shared" si="152"/>
        <v>1.18</v>
      </c>
    </row>
    <row r="175" spans="1:17" x14ac:dyDescent="0.2">
      <c r="A175" s="1137"/>
      <c r="B175" s="24">
        <v>6</v>
      </c>
      <c r="C175" s="24">
        <f t="shared" ref="C175:H175" si="153">P40</f>
        <v>220</v>
      </c>
      <c r="D175" s="24">
        <f t="shared" si="153"/>
        <v>7.0000000000000007E-2</v>
      </c>
      <c r="E175" s="24">
        <f t="shared" si="153"/>
        <v>-0.13</v>
      </c>
      <c r="F175" s="24">
        <f t="shared" si="153"/>
        <v>0.05</v>
      </c>
      <c r="G175" s="24">
        <f t="shared" si="153"/>
        <v>0.1</v>
      </c>
      <c r="H175" s="24">
        <f t="shared" si="153"/>
        <v>2.64</v>
      </c>
      <c r="J175" s="1137"/>
      <c r="K175" s="24">
        <v>6</v>
      </c>
      <c r="L175" s="24">
        <f t="shared" ref="L175:Q175" si="154">P48</f>
        <v>200</v>
      </c>
      <c r="M175" s="24">
        <f t="shared" si="154"/>
        <v>14.4</v>
      </c>
      <c r="N175" s="24">
        <f t="shared" si="154"/>
        <v>0.8</v>
      </c>
      <c r="O175" s="24">
        <f t="shared" si="154"/>
        <v>0.8</v>
      </c>
      <c r="P175" s="24">
        <f t="shared" si="154"/>
        <v>6.8</v>
      </c>
      <c r="Q175" s="25">
        <f t="shared" si="154"/>
        <v>1.18</v>
      </c>
    </row>
    <row r="176" spans="1:17" x14ac:dyDescent="0.2">
      <c r="A176" s="1137"/>
      <c r="B176" s="24">
        <v>7</v>
      </c>
      <c r="C176" s="24">
        <f t="shared" ref="C176:H176" si="155">B71</f>
        <v>220.37</v>
      </c>
      <c r="D176" s="24">
        <f t="shared" si="155"/>
        <v>0.57999999999999996</v>
      </c>
      <c r="E176" s="24">
        <f t="shared" si="155"/>
        <v>0.37</v>
      </c>
      <c r="F176" s="24">
        <f t="shared" si="155"/>
        <v>0.38</v>
      </c>
      <c r="G176" s="24">
        <f t="shared" si="155"/>
        <v>0.10499999999999998</v>
      </c>
      <c r="H176" s="24">
        <f t="shared" si="155"/>
        <v>2.6444399999999999</v>
      </c>
      <c r="J176" s="1137"/>
      <c r="K176" s="24">
        <v>7</v>
      </c>
      <c r="L176" s="24">
        <f t="shared" ref="L176:Q176" si="156">B79</f>
        <v>200.4</v>
      </c>
      <c r="M176" s="24">
        <f t="shared" si="156"/>
        <v>1.5</v>
      </c>
      <c r="N176" s="24">
        <f t="shared" si="156"/>
        <v>0.4</v>
      </c>
      <c r="O176" s="24">
        <f t="shared" si="156"/>
        <v>2.4</v>
      </c>
      <c r="P176" s="24">
        <f t="shared" si="156"/>
        <v>1</v>
      </c>
      <c r="Q176" s="25">
        <f t="shared" si="156"/>
        <v>1.1823600000000001</v>
      </c>
    </row>
    <row r="177" spans="1:17" x14ac:dyDescent="0.2">
      <c r="A177" s="1137"/>
      <c r="B177" s="24">
        <v>8</v>
      </c>
      <c r="C177" s="24">
        <f t="shared" ref="C177:H177" si="157">I71</f>
        <v>220</v>
      </c>
      <c r="D177" s="24">
        <f t="shared" si="157"/>
        <v>-0.16</v>
      </c>
      <c r="E177" s="24">
        <f t="shared" si="157"/>
        <v>-0.45</v>
      </c>
      <c r="F177" s="24" t="str">
        <f t="shared" si="157"/>
        <v>-</v>
      </c>
      <c r="G177" s="24">
        <f t="shared" si="157"/>
        <v>0.14500000000000002</v>
      </c>
      <c r="H177" s="24">
        <f t="shared" si="157"/>
        <v>2.64</v>
      </c>
      <c r="J177" s="1137"/>
      <c r="K177" s="24">
        <v>8</v>
      </c>
      <c r="L177" s="24">
        <f t="shared" ref="L177:Q177" si="158">I79</f>
        <v>200</v>
      </c>
      <c r="M177" s="24">
        <f t="shared" si="158"/>
        <v>-8.1999999999999993</v>
      </c>
      <c r="N177" s="24">
        <f t="shared" si="158"/>
        <v>3.7</v>
      </c>
      <c r="O177" s="24" t="str">
        <f t="shared" si="158"/>
        <v>-</v>
      </c>
      <c r="P177" s="24">
        <f t="shared" si="158"/>
        <v>5.9499999999999993</v>
      </c>
      <c r="Q177" s="25">
        <f t="shared" si="158"/>
        <v>1.18</v>
      </c>
    </row>
    <row r="178" spans="1:17" x14ac:dyDescent="0.2">
      <c r="A178" s="1137"/>
      <c r="B178" s="24">
        <v>9</v>
      </c>
      <c r="C178" s="24">
        <f t="shared" ref="C178:H178" si="159">P71</f>
        <v>219.61</v>
      </c>
      <c r="D178" s="24">
        <f t="shared" si="159"/>
        <v>-0.28999999999999998</v>
      </c>
      <c r="E178" s="24">
        <f t="shared" si="159"/>
        <v>-0.39</v>
      </c>
      <c r="F178" s="24" t="str">
        <f t="shared" si="159"/>
        <v>-</v>
      </c>
      <c r="G178" s="24">
        <f t="shared" si="159"/>
        <v>5.0000000000000017E-2</v>
      </c>
      <c r="H178" s="24">
        <f t="shared" si="159"/>
        <v>2.6353200000000001</v>
      </c>
      <c r="J178" s="1137"/>
      <c r="K178" s="24">
        <v>9</v>
      </c>
      <c r="L178" s="24">
        <f t="shared" ref="L178:Q178" si="160">P79</f>
        <v>103.4</v>
      </c>
      <c r="M178" s="24">
        <f t="shared" si="160"/>
        <v>7.7</v>
      </c>
      <c r="N178" s="24">
        <f t="shared" si="160"/>
        <v>3.4</v>
      </c>
      <c r="O178" s="24" t="str">
        <f t="shared" si="160"/>
        <v>-</v>
      </c>
      <c r="P178" s="24">
        <f t="shared" si="160"/>
        <v>2.1500000000000004</v>
      </c>
      <c r="Q178" s="25">
        <f t="shared" si="160"/>
        <v>0.61006000000000005</v>
      </c>
    </row>
    <row r="179" spans="1:17" x14ac:dyDescent="0.2">
      <c r="A179" s="1137"/>
      <c r="B179" s="24">
        <v>10</v>
      </c>
      <c r="C179" s="24">
        <f>B102</f>
        <v>220</v>
      </c>
      <c r="D179" s="24">
        <f t="shared" ref="D179:F179" si="161">C102</f>
        <v>9.9999999999999995E-7</v>
      </c>
      <c r="E179" s="24" t="str">
        <f t="shared" si="161"/>
        <v>-</v>
      </c>
      <c r="F179" s="24" t="str">
        <f t="shared" si="161"/>
        <v>-</v>
      </c>
      <c r="G179" s="24">
        <f>F102</f>
        <v>0</v>
      </c>
      <c r="H179" s="24" t="str">
        <f>G102</f>
        <v>-</v>
      </c>
      <c r="J179" s="1137"/>
      <c r="K179" s="24">
        <v>10</v>
      </c>
      <c r="L179" s="24">
        <f t="shared" ref="L179:Q179" si="162">B110</f>
        <v>200</v>
      </c>
      <c r="M179" s="24">
        <f t="shared" si="162"/>
        <v>0.4</v>
      </c>
      <c r="N179" s="24" t="str">
        <f t="shared" si="162"/>
        <v>-</v>
      </c>
      <c r="O179" s="24" t="str">
        <f t="shared" si="162"/>
        <v>-</v>
      </c>
      <c r="P179" s="24">
        <f t="shared" si="162"/>
        <v>0</v>
      </c>
      <c r="Q179" s="25" t="str">
        <f t="shared" si="162"/>
        <v>-</v>
      </c>
    </row>
    <row r="180" spans="1:17" x14ac:dyDescent="0.2">
      <c r="A180" s="1137"/>
      <c r="B180" s="24">
        <v>11</v>
      </c>
      <c r="C180" s="24">
        <f>I102</f>
        <v>220</v>
      </c>
      <c r="D180" s="24">
        <f t="shared" ref="D180:F180" si="163">J102</f>
        <v>9.9999999999999995E-7</v>
      </c>
      <c r="E180" s="24" t="str">
        <f t="shared" si="163"/>
        <v>-</v>
      </c>
      <c r="F180" s="24" t="str">
        <f t="shared" si="163"/>
        <v>-</v>
      </c>
      <c r="G180" s="24">
        <f>M102</f>
        <v>0</v>
      </c>
      <c r="H180" s="24" t="str">
        <f>N102</f>
        <v>-</v>
      </c>
      <c r="J180" s="1137"/>
      <c r="K180" s="24">
        <v>11</v>
      </c>
      <c r="L180" s="24">
        <f t="shared" ref="L180:Q180" si="164">I110</f>
        <v>200</v>
      </c>
      <c r="M180" s="24">
        <f t="shared" si="164"/>
        <v>9.9999999999999995E-7</v>
      </c>
      <c r="N180" s="24" t="str">
        <f t="shared" si="164"/>
        <v>-</v>
      </c>
      <c r="O180" s="24" t="str">
        <f t="shared" si="164"/>
        <v>-</v>
      </c>
      <c r="P180" s="24">
        <f t="shared" si="164"/>
        <v>0</v>
      </c>
      <c r="Q180" s="25" t="str">
        <f t="shared" si="164"/>
        <v>-</v>
      </c>
    </row>
    <row r="181" spans="1:17" x14ac:dyDescent="0.2">
      <c r="A181" s="1137"/>
      <c r="B181" s="24">
        <v>12</v>
      </c>
      <c r="C181" s="24">
        <f>P102</f>
        <v>220</v>
      </c>
      <c r="D181" s="24">
        <f t="shared" ref="D181:F181" si="165">Q102</f>
        <v>9.9999999999999995E-7</v>
      </c>
      <c r="E181" s="24" t="str">
        <f t="shared" si="165"/>
        <v>-</v>
      </c>
      <c r="F181" s="24" t="str">
        <f t="shared" si="165"/>
        <v>-</v>
      </c>
      <c r="G181" s="24">
        <f>T102</f>
        <v>0</v>
      </c>
      <c r="H181" s="24" t="str">
        <f>U102</f>
        <v>-</v>
      </c>
      <c r="J181" s="1137"/>
      <c r="K181" s="24">
        <v>12</v>
      </c>
      <c r="L181" s="24">
        <f t="shared" ref="L181:Q181" si="166">P110</f>
        <v>200</v>
      </c>
      <c r="M181" s="24">
        <f t="shared" si="166"/>
        <v>9.9999999999999995E-7</v>
      </c>
      <c r="N181" s="24" t="str">
        <f t="shared" si="166"/>
        <v>-</v>
      </c>
      <c r="O181" s="24" t="str">
        <f t="shared" si="166"/>
        <v>-</v>
      </c>
      <c r="P181" s="24">
        <f t="shared" si="166"/>
        <v>0</v>
      </c>
      <c r="Q181" s="25" t="str">
        <f t="shared" si="166"/>
        <v>-</v>
      </c>
    </row>
    <row r="182" spans="1:17" s="762" customFormat="1" x14ac:dyDescent="0.2">
      <c r="A182" s="143"/>
      <c r="B182" s="143"/>
      <c r="C182" s="143"/>
      <c r="D182" s="143"/>
      <c r="E182" s="143"/>
      <c r="F182" s="788"/>
      <c r="G182" s="143"/>
      <c r="H182" s="143"/>
      <c r="J182" s="143"/>
      <c r="K182" s="143"/>
      <c r="L182" s="143"/>
      <c r="M182" s="143"/>
      <c r="N182" s="143"/>
      <c r="O182" s="788"/>
      <c r="P182" s="143"/>
      <c r="Q182" s="143"/>
    </row>
    <row r="183" spans="1:17" ht="15" x14ac:dyDescent="0.2">
      <c r="A183" s="1137" t="s">
        <v>57</v>
      </c>
      <c r="B183" s="21">
        <v>1</v>
      </c>
      <c r="C183" s="21">
        <f t="shared" ref="C183:H183" si="167">B10</f>
        <v>230</v>
      </c>
      <c r="D183" s="21">
        <f t="shared" si="167"/>
        <v>0.64</v>
      </c>
      <c r="E183" s="21">
        <f t="shared" si="167"/>
        <v>-0.2</v>
      </c>
      <c r="F183" s="21">
        <f t="shared" si="167"/>
        <v>-0.26</v>
      </c>
      <c r="G183" s="21">
        <f t="shared" si="167"/>
        <v>0.45</v>
      </c>
      <c r="H183" s="21">
        <f t="shared" si="167"/>
        <v>2.7600000000000002</v>
      </c>
      <c r="J183" s="1137" t="s">
        <v>57</v>
      </c>
      <c r="K183" s="21">
        <v>1</v>
      </c>
      <c r="L183" s="24">
        <f t="shared" ref="L183:Q183" si="168">B18</f>
        <v>500</v>
      </c>
      <c r="M183" s="24">
        <f t="shared" si="168"/>
        <v>-2</v>
      </c>
      <c r="N183" s="24">
        <f t="shared" si="168"/>
        <v>3.8</v>
      </c>
      <c r="O183" s="24">
        <f t="shared" si="168"/>
        <v>-0.9</v>
      </c>
      <c r="P183" s="24">
        <f t="shared" si="168"/>
        <v>2.9</v>
      </c>
      <c r="Q183" s="24">
        <f t="shared" si="168"/>
        <v>2.9499999999999997</v>
      </c>
    </row>
    <row r="184" spans="1:17" ht="15" x14ac:dyDescent="0.2">
      <c r="A184" s="1137"/>
      <c r="B184" s="21">
        <v>2</v>
      </c>
      <c r="C184" s="25">
        <f t="shared" ref="C184:H184" si="169">I10</f>
        <v>230</v>
      </c>
      <c r="D184" s="25">
        <f t="shared" si="169"/>
        <v>1.08</v>
      </c>
      <c r="E184" s="25">
        <f t="shared" si="169"/>
        <v>9.9999999999999995E-7</v>
      </c>
      <c r="F184" s="25">
        <f t="shared" si="169"/>
        <v>0.05</v>
      </c>
      <c r="G184" s="25">
        <f t="shared" si="169"/>
        <v>0.53999950000000008</v>
      </c>
      <c r="H184" s="25">
        <f t="shared" si="169"/>
        <v>2.7600000000000002</v>
      </c>
      <c r="J184" s="1137"/>
      <c r="K184" s="21">
        <v>2</v>
      </c>
      <c r="L184" s="24">
        <f t="shared" ref="L184:Q184" si="170">I18</f>
        <v>500</v>
      </c>
      <c r="M184" s="24">
        <f t="shared" si="170"/>
        <v>-21.7</v>
      </c>
      <c r="N184" s="24">
        <f t="shared" si="170"/>
        <v>0.8</v>
      </c>
      <c r="O184" s="24">
        <f t="shared" si="170"/>
        <v>2</v>
      </c>
      <c r="P184" s="24">
        <f t="shared" si="170"/>
        <v>11.85</v>
      </c>
      <c r="Q184" s="24">
        <f t="shared" si="170"/>
        <v>2.9499999999999997</v>
      </c>
    </row>
    <row r="185" spans="1:17" x14ac:dyDescent="0.2">
      <c r="A185" s="1137"/>
      <c r="B185" s="25">
        <v>3</v>
      </c>
      <c r="C185" s="25">
        <f t="shared" ref="C185:H185" si="171">P10</f>
        <v>230</v>
      </c>
      <c r="D185" s="25">
        <f t="shared" si="171"/>
        <v>-11.79</v>
      </c>
      <c r="E185" s="25">
        <f t="shared" si="171"/>
        <v>-2.52</v>
      </c>
      <c r="F185" s="25">
        <f t="shared" si="171"/>
        <v>-0.23</v>
      </c>
      <c r="G185" s="25">
        <f t="shared" si="171"/>
        <v>5.7799999999999994</v>
      </c>
      <c r="H185" s="25">
        <f t="shared" si="171"/>
        <v>2.7600000000000002</v>
      </c>
      <c r="J185" s="1137"/>
      <c r="K185" s="25">
        <v>3</v>
      </c>
      <c r="L185" s="24">
        <f t="shared" ref="L185:Q185" si="172">P18</f>
        <v>500</v>
      </c>
      <c r="M185" s="24">
        <f t="shared" si="172"/>
        <v>-18.8</v>
      </c>
      <c r="N185" s="24">
        <f t="shared" si="172"/>
        <v>-1.1000000000000001</v>
      </c>
      <c r="O185" s="24">
        <f t="shared" si="172"/>
        <v>2.9</v>
      </c>
      <c r="P185" s="24">
        <f t="shared" si="172"/>
        <v>10.85</v>
      </c>
      <c r="Q185" s="24">
        <f t="shared" si="172"/>
        <v>2.9499999999999997</v>
      </c>
    </row>
    <row r="186" spans="1:17" x14ac:dyDescent="0.2">
      <c r="A186" s="1137"/>
      <c r="B186" s="25">
        <v>4</v>
      </c>
      <c r="C186" s="25">
        <f t="shared" ref="C186:H186" si="173">B41</f>
        <v>230</v>
      </c>
      <c r="D186" s="25">
        <f t="shared" si="173"/>
        <v>0.11</v>
      </c>
      <c r="E186" s="25">
        <f t="shared" si="173"/>
        <v>-0.11</v>
      </c>
      <c r="F186" s="25">
        <f t="shared" si="173"/>
        <v>1.1100000000000001</v>
      </c>
      <c r="G186" s="25">
        <f t="shared" si="173"/>
        <v>0.6100000000000001</v>
      </c>
      <c r="H186" s="25">
        <f t="shared" si="173"/>
        <v>2.7600000000000002</v>
      </c>
      <c r="J186" s="1137"/>
      <c r="K186" s="25">
        <v>4</v>
      </c>
      <c r="L186" s="24">
        <f t="shared" ref="L186:Q186" si="174">B49</f>
        <v>500</v>
      </c>
      <c r="M186" s="24">
        <f t="shared" si="174"/>
        <v>3.5</v>
      </c>
      <c r="N186" s="24">
        <f t="shared" si="174"/>
        <v>0.2</v>
      </c>
      <c r="O186" s="24">
        <f t="shared" si="174"/>
        <v>1.2</v>
      </c>
      <c r="P186" s="24">
        <f t="shared" si="174"/>
        <v>1.65</v>
      </c>
      <c r="Q186" s="24">
        <f t="shared" si="174"/>
        <v>2.9499999999999997</v>
      </c>
    </row>
    <row r="187" spans="1:17" x14ac:dyDescent="0.2">
      <c r="A187" s="1137"/>
      <c r="B187" s="24">
        <v>5</v>
      </c>
      <c r="C187" s="24">
        <f t="shared" ref="C187:H187" si="175">I41</f>
        <v>230</v>
      </c>
      <c r="D187" s="24">
        <f t="shared" si="175"/>
        <v>-0.14000000000000001</v>
      </c>
      <c r="E187" s="24">
        <f t="shared" si="175"/>
        <v>0.73</v>
      </c>
      <c r="F187" s="24">
        <f t="shared" si="175"/>
        <v>-0.16</v>
      </c>
      <c r="G187" s="24">
        <f t="shared" si="175"/>
        <v>0.44500000000000001</v>
      </c>
      <c r="H187" s="24">
        <f t="shared" si="175"/>
        <v>2.7600000000000002</v>
      </c>
      <c r="J187" s="1137"/>
      <c r="K187" s="24">
        <v>5</v>
      </c>
      <c r="L187" s="24">
        <f t="shared" ref="L187:Q187" si="176">I49</f>
        <v>500</v>
      </c>
      <c r="M187" s="24">
        <f t="shared" si="176"/>
        <v>5.7</v>
      </c>
      <c r="N187" s="24">
        <f t="shared" si="176"/>
        <v>0.7</v>
      </c>
      <c r="O187" s="24">
        <f t="shared" si="176"/>
        <v>0.7</v>
      </c>
      <c r="P187" s="24">
        <f t="shared" si="176"/>
        <v>2.5</v>
      </c>
      <c r="Q187" s="24">
        <f t="shared" si="176"/>
        <v>2.9499999999999997</v>
      </c>
    </row>
    <row r="188" spans="1:17" x14ac:dyDescent="0.2">
      <c r="A188" s="1137"/>
      <c r="B188" s="24">
        <v>6</v>
      </c>
      <c r="C188" s="24">
        <f t="shared" ref="C188:H188" si="177">P41</f>
        <v>230</v>
      </c>
      <c r="D188" s="24">
        <f t="shared" si="177"/>
        <v>0.08</v>
      </c>
      <c r="E188" s="24">
        <f t="shared" si="177"/>
        <v>-0.15</v>
      </c>
      <c r="F188" s="24">
        <f t="shared" si="177"/>
        <v>-0.05</v>
      </c>
      <c r="G188" s="24">
        <f t="shared" si="177"/>
        <v>0.11499999999999999</v>
      </c>
      <c r="H188" s="24">
        <f t="shared" si="177"/>
        <v>2.7600000000000002</v>
      </c>
      <c r="J188" s="1137"/>
      <c r="K188" s="24">
        <v>6</v>
      </c>
      <c r="L188" s="24">
        <f t="shared" ref="L188:Q188" si="178">P49</f>
        <v>500</v>
      </c>
      <c r="M188" s="24">
        <f t="shared" si="178"/>
        <v>6.2</v>
      </c>
      <c r="N188" s="24">
        <f t="shared" si="178"/>
        <v>1.1000000000000001</v>
      </c>
      <c r="O188" s="24">
        <f t="shared" si="178"/>
        <v>0.6</v>
      </c>
      <c r="P188" s="24">
        <f t="shared" si="178"/>
        <v>2.8000000000000003</v>
      </c>
      <c r="Q188" s="24">
        <f t="shared" si="178"/>
        <v>2.9499999999999997</v>
      </c>
    </row>
    <row r="189" spans="1:17" x14ac:dyDescent="0.2">
      <c r="A189" s="1137"/>
      <c r="B189" s="24">
        <v>7</v>
      </c>
      <c r="C189" s="24">
        <f t="shared" ref="C189:H189" si="179">B72</f>
        <v>230.47</v>
      </c>
      <c r="D189" s="24">
        <f t="shared" si="179"/>
        <v>0.47</v>
      </c>
      <c r="E189" s="24">
        <f t="shared" si="179"/>
        <v>0.47</v>
      </c>
      <c r="F189" s="24">
        <f t="shared" si="179"/>
        <v>0.4</v>
      </c>
      <c r="G189" s="24">
        <f t="shared" si="179"/>
        <v>3.4999999999999976E-2</v>
      </c>
      <c r="H189" s="24">
        <f t="shared" si="179"/>
        <v>2.7656399999999999</v>
      </c>
      <c r="J189" s="1137"/>
      <c r="K189" s="24">
        <v>7</v>
      </c>
      <c r="L189" s="24">
        <f t="shared" ref="L189:Q189" si="180">B80</f>
        <v>500</v>
      </c>
      <c r="M189" s="24">
        <f t="shared" si="180"/>
        <v>0.9</v>
      </c>
      <c r="N189" s="24">
        <f t="shared" si="180"/>
        <v>3</v>
      </c>
      <c r="O189" s="24">
        <f t="shared" si="180"/>
        <v>3.3</v>
      </c>
      <c r="P189" s="24">
        <f t="shared" si="180"/>
        <v>1.2</v>
      </c>
      <c r="Q189" s="24">
        <f t="shared" si="180"/>
        <v>2.9499999999999997</v>
      </c>
    </row>
    <row r="190" spans="1:17" x14ac:dyDescent="0.2">
      <c r="A190" s="1137"/>
      <c r="B190" s="24">
        <v>8</v>
      </c>
      <c r="C190" s="24">
        <f t="shared" ref="C190:H190" si="181">I72</f>
        <v>230</v>
      </c>
      <c r="D190" s="24">
        <f t="shared" si="181"/>
        <v>-0.15</v>
      </c>
      <c r="E190" s="24">
        <f t="shared" si="181"/>
        <v>-0.54</v>
      </c>
      <c r="F190" s="24" t="str">
        <f t="shared" si="181"/>
        <v>-</v>
      </c>
      <c r="G190" s="24">
        <f t="shared" si="181"/>
        <v>0.19500000000000001</v>
      </c>
      <c r="H190" s="24">
        <f t="shared" si="181"/>
        <v>2.7600000000000002</v>
      </c>
      <c r="J190" s="1137"/>
      <c r="K190" s="24">
        <v>8</v>
      </c>
      <c r="L190" s="24">
        <f t="shared" ref="L190:Q190" si="182">I80</f>
        <v>500</v>
      </c>
      <c r="M190" s="24">
        <f t="shared" si="182"/>
        <v>-31.8</v>
      </c>
      <c r="N190" s="24">
        <f t="shared" si="182"/>
        <v>8.3000000000000007</v>
      </c>
      <c r="O190" s="24" t="str">
        <f t="shared" si="182"/>
        <v>-</v>
      </c>
      <c r="P190" s="24">
        <f t="shared" si="182"/>
        <v>20.05</v>
      </c>
      <c r="Q190" s="24">
        <f t="shared" si="182"/>
        <v>2.9499999999999997</v>
      </c>
    </row>
    <row r="191" spans="1:17" x14ac:dyDescent="0.2">
      <c r="A191" s="1137"/>
      <c r="B191" s="24">
        <v>9</v>
      </c>
      <c r="C191" s="24">
        <f t="shared" ref="C191:H191" si="183">P72</f>
        <v>229.61</v>
      </c>
      <c r="D191" s="24">
        <f t="shared" si="183"/>
        <v>-0.34</v>
      </c>
      <c r="E191" s="24">
        <f t="shared" si="183"/>
        <v>-0.39</v>
      </c>
      <c r="F191" s="24" t="str">
        <f t="shared" si="183"/>
        <v>-</v>
      </c>
      <c r="G191" s="24">
        <f t="shared" si="183"/>
        <v>2.4999999999999994E-2</v>
      </c>
      <c r="H191" s="24">
        <f t="shared" si="183"/>
        <v>2.7553200000000002</v>
      </c>
      <c r="J191" s="1137"/>
      <c r="K191" s="24">
        <v>9</v>
      </c>
      <c r="L191" s="24">
        <f t="shared" ref="L191:Q191" si="184">P80</f>
        <v>507.2</v>
      </c>
      <c r="M191" s="24">
        <f t="shared" si="184"/>
        <v>-0.2</v>
      </c>
      <c r="N191" s="24">
        <f t="shared" si="184"/>
        <v>7.2</v>
      </c>
      <c r="O191" s="24" t="str">
        <f t="shared" si="184"/>
        <v>-</v>
      </c>
      <c r="P191" s="24">
        <f t="shared" si="184"/>
        <v>3.7</v>
      </c>
      <c r="Q191" s="24">
        <f t="shared" si="184"/>
        <v>2.99248</v>
      </c>
    </row>
    <row r="192" spans="1:17" x14ac:dyDescent="0.2">
      <c r="A192" s="1137"/>
      <c r="B192" s="24">
        <v>10</v>
      </c>
      <c r="C192" s="24">
        <f>B103</f>
        <v>230</v>
      </c>
      <c r="D192" s="24">
        <f t="shared" ref="D192:F192" si="185">C103</f>
        <v>-0.11</v>
      </c>
      <c r="E192" s="24" t="str">
        <f t="shared" si="185"/>
        <v>-</v>
      </c>
      <c r="F192" s="24" t="str">
        <f t="shared" si="185"/>
        <v>-</v>
      </c>
      <c r="G192" s="24">
        <f>F103</f>
        <v>0</v>
      </c>
      <c r="H192" s="24" t="str">
        <f>G103</f>
        <v>-</v>
      </c>
      <c r="J192" s="1137"/>
      <c r="K192" s="24">
        <v>10</v>
      </c>
      <c r="L192" s="24">
        <f t="shared" ref="L192:Q192" si="186">B111</f>
        <v>500</v>
      </c>
      <c r="M192" s="24">
        <f t="shared" si="186"/>
        <v>1.5</v>
      </c>
      <c r="N192" s="24" t="str">
        <f t="shared" si="186"/>
        <v>-</v>
      </c>
      <c r="O192" s="24" t="str">
        <f t="shared" si="186"/>
        <v>-</v>
      </c>
      <c r="P192" s="24">
        <f t="shared" si="186"/>
        <v>0</v>
      </c>
      <c r="Q192" s="24" t="str">
        <f t="shared" si="186"/>
        <v>-</v>
      </c>
    </row>
    <row r="193" spans="1:17" x14ac:dyDescent="0.2">
      <c r="A193" s="1137"/>
      <c r="B193" s="24">
        <v>11</v>
      </c>
      <c r="C193" s="24">
        <f>I103</f>
        <v>230</v>
      </c>
      <c r="D193" s="24">
        <f t="shared" ref="D193:F193" si="187">J103</f>
        <v>9.9999999999999995E-7</v>
      </c>
      <c r="E193" s="24" t="str">
        <f t="shared" si="187"/>
        <v>-</v>
      </c>
      <c r="F193" s="24" t="str">
        <f t="shared" si="187"/>
        <v>-</v>
      </c>
      <c r="G193" s="24">
        <f>M103</f>
        <v>0</v>
      </c>
      <c r="H193" s="24" t="str">
        <f>N103</f>
        <v>-</v>
      </c>
      <c r="J193" s="1137"/>
      <c r="K193" s="24">
        <v>11</v>
      </c>
      <c r="L193" s="24">
        <f t="shared" ref="L193:Q193" si="188">I111</f>
        <v>500</v>
      </c>
      <c r="M193" s="24">
        <f t="shared" si="188"/>
        <v>9.9999999999999995E-7</v>
      </c>
      <c r="N193" s="24" t="str">
        <f t="shared" si="188"/>
        <v>-</v>
      </c>
      <c r="O193" s="24" t="str">
        <f t="shared" si="188"/>
        <v>-</v>
      </c>
      <c r="P193" s="24">
        <f t="shared" si="188"/>
        <v>0</v>
      </c>
      <c r="Q193" s="24" t="str">
        <f t="shared" si="188"/>
        <v>-</v>
      </c>
    </row>
    <row r="194" spans="1:17" x14ac:dyDescent="0.2">
      <c r="A194" s="1137"/>
      <c r="B194" s="24">
        <v>12</v>
      </c>
      <c r="C194" s="24">
        <f>P103</f>
        <v>230</v>
      </c>
      <c r="D194" s="24">
        <f t="shared" ref="D194:F194" si="189">Q103</f>
        <v>9.9999999999999995E-7</v>
      </c>
      <c r="E194" s="24" t="str">
        <f t="shared" si="189"/>
        <v>-</v>
      </c>
      <c r="F194" s="24" t="str">
        <f t="shared" si="189"/>
        <v>-</v>
      </c>
      <c r="G194" s="24">
        <f>T103</f>
        <v>0</v>
      </c>
      <c r="H194" s="24" t="str">
        <f>U103</f>
        <v>-</v>
      </c>
      <c r="J194" s="1137"/>
      <c r="K194" s="24">
        <v>12</v>
      </c>
      <c r="L194" s="24">
        <f t="shared" ref="L194:Q194" si="190">P111</f>
        <v>500</v>
      </c>
      <c r="M194" s="24">
        <f t="shared" si="190"/>
        <v>9.9999999999999995E-7</v>
      </c>
      <c r="N194" s="24" t="str">
        <f t="shared" si="190"/>
        <v>-</v>
      </c>
      <c r="O194" s="24" t="str">
        <f t="shared" si="190"/>
        <v>-</v>
      </c>
      <c r="P194" s="24">
        <f t="shared" si="190"/>
        <v>0</v>
      </c>
      <c r="Q194" s="24" t="str">
        <f t="shared" si="190"/>
        <v>-</v>
      </c>
    </row>
    <row r="195" spans="1:17" s="762" customFormat="1" x14ac:dyDescent="0.2">
      <c r="A195" s="143"/>
      <c r="B195" s="143"/>
      <c r="C195" s="143"/>
      <c r="D195" s="143"/>
      <c r="E195" s="143"/>
      <c r="F195" s="788"/>
      <c r="G195" s="143"/>
      <c r="H195" s="143"/>
      <c r="J195" s="143"/>
      <c r="K195" s="143"/>
      <c r="L195" s="143"/>
      <c r="M195" s="143"/>
      <c r="N195" s="143"/>
      <c r="O195" s="788"/>
      <c r="P195" s="143"/>
      <c r="Q195" s="143"/>
    </row>
    <row r="196" spans="1:17" ht="15" x14ac:dyDescent="0.2">
      <c r="A196" s="1137" t="s">
        <v>285</v>
      </c>
      <c r="B196" s="21">
        <v>1</v>
      </c>
      <c r="C196" s="21">
        <f t="shared" ref="C196:H196" si="191">B11</f>
        <v>250</v>
      </c>
      <c r="D196" s="21">
        <f t="shared" si="191"/>
        <v>-0.36</v>
      </c>
      <c r="E196" s="21">
        <f t="shared" si="191"/>
        <v>-0.32</v>
      </c>
      <c r="F196" s="21">
        <f t="shared" si="191"/>
        <v>9.9999999999999995E-7</v>
      </c>
      <c r="G196" s="21">
        <f t="shared" si="191"/>
        <v>0.18000049999999998</v>
      </c>
      <c r="H196" s="21">
        <f t="shared" si="191"/>
        <v>3</v>
      </c>
      <c r="J196" s="1137" t="s">
        <v>285</v>
      </c>
      <c r="K196" s="21">
        <v>1</v>
      </c>
      <c r="L196" s="24">
        <f t="shared" ref="L196:Q196" si="192">B19</f>
        <v>1000</v>
      </c>
      <c r="M196" s="24">
        <f t="shared" si="192"/>
        <v>-26</v>
      </c>
      <c r="N196" s="24">
        <f t="shared" si="192"/>
        <v>9.9999999999999995E-7</v>
      </c>
      <c r="O196" s="24">
        <f t="shared" si="192"/>
        <v>9.9999999999999995E-7</v>
      </c>
      <c r="P196" s="24">
        <f t="shared" si="192"/>
        <v>13.000000500000001</v>
      </c>
      <c r="Q196" s="24">
        <f t="shared" si="192"/>
        <v>5.8999999999999995</v>
      </c>
    </row>
    <row r="197" spans="1:17" ht="15" x14ac:dyDescent="0.2">
      <c r="A197" s="1137"/>
      <c r="B197" s="21">
        <v>2</v>
      </c>
      <c r="C197" s="25">
        <f t="shared" ref="C197:H197" si="193">I11</f>
        <v>250</v>
      </c>
      <c r="D197" s="25">
        <f t="shared" si="193"/>
        <v>9.9999999999999995E-7</v>
      </c>
      <c r="E197" s="25">
        <f t="shared" si="193"/>
        <v>9.9999999999999995E-7</v>
      </c>
      <c r="F197" s="25">
        <f t="shared" si="193"/>
        <v>9.9999999999999995E-7</v>
      </c>
      <c r="G197" s="25">
        <f t="shared" si="193"/>
        <v>0</v>
      </c>
      <c r="H197" s="25">
        <f t="shared" si="193"/>
        <v>3</v>
      </c>
      <c r="J197" s="1137"/>
      <c r="K197" s="21">
        <v>2</v>
      </c>
      <c r="L197" s="24">
        <f t="shared" ref="L197:Q197" si="194">I19</f>
        <v>1000</v>
      </c>
      <c r="M197" s="24">
        <f t="shared" si="194"/>
        <v>-67</v>
      </c>
      <c r="N197" s="24">
        <f t="shared" si="194"/>
        <v>9.9999999999999995E-7</v>
      </c>
      <c r="O197" s="24">
        <f t="shared" si="194"/>
        <v>9.9999999999999995E-7</v>
      </c>
      <c r="P197" s="24">
        <f t="shared" si="194"/>
        <v>33.500000499999999</v>
      </c>
      <c r="Q197" s="24">
        <f t="shared" si="194"/>
        <v>5.8999999999999995</v>
      </c>
    </row>
    <row r="198" spans="1:17" x14ac:dyDescent="0.2">
      <c r="A198" s="1137"/>
      <c r="B198" s="25">
        <v>3</v>
      </c>
      <c r="C198" s="25">
        <f t="shared" ref="C198:H198" si="195">P11</f>
        <v>250</v>
      </c>
      <c r="D198" s="25">
        <f t="shared" si="195"/>
        <v>9.9999999999999995E-7</v>
      </c>
      <c r="E198" s="25">
        <f t="shared" si="195"/>
        <v>9.9999999999999995E-7</v>
      </c>
      <c r="F198" s="25">
        <f t="shared" si="195"/>
        <v>9.9999999999999995E-7</v>
      </c>
      <c r="G198" s="25">
        <f t="shared" si="195"/>
        <v>0</v>
      </c>
      <c r="H198" s="25">
        <f t="shared" si="195"/>
        <v>3</v>
      </c>
      <c r="J198" s="1137"/>
      <c r="K198" s="25">
        <v>3</v>
      </c>
      <c r="L198" s="24">
        <f t="shared" ref="L198:Q198" si="196">P19</f>
        <v>1000</v>
      </c>
      <c r="M198" s="24">
        <f t="shared" si="196"/>
        <v>-47</v>
      </c>
      <c r="N198" s="24">
        <f t="shared" si="196"/>
        <v>3</v>
      </c>
      <c r="O198" s="24">
        <f t="shared" si="196"/>
        <v>3</v>
      </c>
      <c r="P198" s="24">
        <f t="shared" si="196"/>
        <v>25</v>
      </c>
      <c r="Q198" s="24">
        <f t="shared" si="196"/>
        <v>5.8999999999999995</v>
      </c>
    </row>
    <row r="199" spans="1:17" x14ac:dyDescent="0.2">
      <c r="A199" s="1137"/>
      <c r="B199" s="25">
        <v>4</v>
      </c>
      <c r="C199" s="25">
        <f t="shared" ref="C199:H199" si="197">B42</f>
        <v>250</v>
      </c>
      <c r="D199" s="25">
        <f t="shared" si="197"/>
        <v>9.9999999999999995E-7</v>
      </c>
      <c r="E199" s="25">
        <f t="shared" si="197"/>
        <v>9.9999999999999995E-7</v>
      </c>
      <c r="F199" s="25">
        <f t="shared" si="197"/>
        <v>9.9999999999999995E-7</v>
      </c>
      <c r="G199" s="25">
        <f t="shared" si="197"/>
        <v>0</v>
      </c>
      <c r="H199" s="25">
        <f t="shared" si="197"/>
        <v>3</v>
      </c>
      <c r="J199" s="1137"/>
      <c r="K199" s="25">
        <v>4</v>
      </c>
      <c r="L199" s="24">
        <f t="shared" ref="L199:Q199" si="198">B50</f>
        <v>1000</v>
      </c>
      <c r="M199" s="24">
        <f t="shared" si="198"/>
        <v>-100</v>
      </c>
      <c r="N199" s="24">
        <f t="shared" si="198"/>
        <v>2</v>
      </c>
      <c r="O199" s="24">
        <f t="shared" si="198"/>
        <v>2</v>
      </c>
      <c r="P199" s="24">
        <f t="shared" si="198"/>
        <v>51</v>
      </c>
      <c r="Q199" s="24">
        <f t="shared" si="198"/>
        <v>5.8999999999999995</v>
      </c>
    </row>
    <row r="200" spans="1:17" x14ac:dyDescent="0.2">
      <c r="A200" s="1137"/>
      <c r="B200" s="24">
        <v>5</v>
      </c>
      <c r="C200" s="24">
        <f t="shared" ref="C200:H200" si="199">I42</f>
        <v>250</v>
      </c>
      <c r="D200" s="24">
        <f t="shared" si="199"/>
        <v>9.9999999999999995E-7</v>
      </c>
      <c r="E200" s="24">
        <f t="shared" si="199"/>
        <v>9.9999999999999995E-7</v>
      </c>
      <c r="F200" s="24">
        <f t="shared" si="199"/>
        <v>9.9999999999999995E-7</v>
      </c>
      <c r="G200" s="24">
        <f t="shared" si="199"/>
        <v>0</v>
      </c>
      <c r="H200" s="24">
        <f t="shared" si="199"/>
        <v>3</v>
      </c>
      <c r="J200" s="1137"/>
      <c r="K200" s="24">
        <v>5</v>
      </c>
      <c r="L200" s="24">
        <f t="shared" ref="L200:Q200" si="200">I50</f>
        <v>850</v>
      </c>
      <c r="M200" s="24">
        <f t="shared" si="200"/>
        <v>-88</v>
      </c>
      <c r="N200" s="24">
        <f t="shared" si="200"/>
        <v>9.9999999999999995E-7</v>
      </c>
      <c r="O200" s="24">
        <f t="shared" si="200"/>
        <v>9.9999999999999995E-7</v>
      </c>
      <c r="P200" s="24">
        <f t="shared" si="200"/>
        <v>44.000000499999999</v>
      </c>
      <c r="Q200" s="24">
        <f t="shared" si="200"/>
        <v>5.0149999999999997</v>
      </c>
    </row>
    <row r="201" spans="1:17" x14ac:dyDescent="0.2">
      <c r="A201" s="1137"/>
      <c r="B201" s="24">
        <v>6</v>
      </c>
      <c r="C201" s="24">
        <f t="shared" ref="C201:H201" si="201">P42</f>
        <v>250</v>
      </c>
      <c r="D201" s="24">
        <f t="shared" si="201"/>
        <v>9.9999999999999995E-7</v>
      </c>
      <c r="E201" s="24">
        <f t="shared" si="201"/>
        <v>9.9999999999999995E-7</v>
      </c>
      <c r="F201" s="24">
        <f t="shared" si="201"/>
        <v>9.9999999999999995E-7</v>
      </c>
      <c r="G201" s="24">
        <f t="shared" si="201"/>
        <v>0</v>
      </c>
      <c r="H201" s="24">
        <f t="shared" si="201"/>
        <v>3</v>
      </c>
      <c r="J201" s="1137"/>
      <c r="K201" s="24">
        <v>6</v>
      </c>
      <c r="L201" s="24">
        <f t="shared" ref="L201:Q201" si="202">P50</f>
        <v>1000</v>
      </c>
      <c r="M201" s="24">
        <f t="shared" si="202"/>
        <v>-11</v>
      </c>
      <c r="N201" s="24">
        <f t="shared" si="202"/>
        <v>9.9999999999999995E-7</v>
      </c>
      <c r="O201" s="24">
        <f t="shared" si="202"/>
        <v>9.9999999999999995E-7</v>
      </c>
      <c r="P201" s="24">
        <f t="shared" si="202"/>
        <v>5.5000004999999996</v>
      </c>
      <c r="Q201" s="24">
        <f t="shared" si="202"/>
        <v>5.8999999999999995</v>
      </c>
    </row>
    <row r="202" spans="1:17" x14ac:dyDescent="0.2">
      <c r="A202" s="1137"/>
      <c r="B202" s="24">
        <v>7</v>
      </c>
      <c r="C202" s="24">
        <f t="shared" ref="C202:H202" si="203">B73</f>
        <v>240.38</v>
      </c>
      <c r="D202" s="24">
        <f t="shared" si="203"/>
        <v>9.9999999999999995E-7</v>
      </c>
      <c r="E202" s="24">
        <f t="shared" si="203"/>
        <v>0.38</v>
      </c>
      <c r="F202" s="24">
        <f t="shared" si="203"/>
        <v>9.9999999999999995E-7</v>
      </c>
      <c r="G202" s="24">
        <f t="shared" si="203"/>
        <v>0.18999950000000002</v>
      </c>
      <c r="H202" s="24">
        <f t="shared" si="203"/>
        <v>2.88456</v>
      </c>
      <c r="J202" s="1137"/>
      <c r="K202" s="24">
        <v>7</v>
      </c>
      <c r="L202" s="24">
        <f t="shared" ref="L202:Q202" si="204">B81</f>
        <v>1000</v>
      </c>
      <c r="M202" s="24">
        <f t="shared" si="204"/>
        <v>-10</v>
      </c>
      <c r="N202" s="24">
        <f t="shared" si="204"/>
        <v>9.9999999999999995E-7</v>
      </c>
      <c r="O202" s="24">
        <f t="shared" si="204"/>
        <v>9.9999999999999995E-7</v>
      </c>
      <c r="P202" s="24">
        <f t="shared" si="204"/>
        <v>5.0000004999999996</v>
      </c>
      <c r="Q202" s="24">
        <f t="shared" si="204"/>
        <v>5.8999999999999995</v>
      </c>
    </row>
    <row r="203" spans="1:17" x14ac:dyDescent="0.2">
      <c r="A203" s="1137"/>
      <c r="B203" s="24">
        <v>8</v>
      </c>
      <c r="C203" s="24">
        <f t="shared" ref="C203:H203" si="205">I73</f>
        <v>250</v>
      </c>
      <c r="D203" s="24">
        <f t="shared" si="205"/>
        <v>9.9999999999999995E-7</v>
      </c>
      <c r="E203" s="24">
        <f t="shared" si="205"/>
        <v>-0.49</v>
      </c>
      <c r="F203" s="24" t="str">
        <f t="shared" si="205"/>
        <v>-</v>
      </c>
      <c r="G203" s="24">
        <f t="shared" si="205"/>
        <v>0.24500049999999998</v>
      </c>
      <c r="H203" s="24">
        <f t="shared" si="205"/>
        <v>3</v>
      </c>
      <c r="J203" s="1137"/>
      <c r="K203" s="24">
        <v>8</v>
      </c>
      <c r="L203" s="24">
        <f t="shared" ref="L203:Q203" si="206">I81</f>
        <v>1000</v>
      </c>
      <c r="M203" s="24">
        <f t="shared" si="206"/>
        <v>-74</v>
      </c>
      <c r="N203" s="24">
        <f t="shared" si="206"/>
        <v>9.9999999999999995E-7</v>
      </c>
      <c r="O203" s="24" t="str">
        <f t="shared" si="206"/>
        <v>-</v>
      </c>
      <c r="P203" s="24">
        <f t="shared" si="206"/>
        <v>37.000000499999999</v>
      </c>
      <c r="Q203" s="24">
        <f t="shared" si="206"/>
        <v>5.8999999999999995</v>
      </c>
    </row>
    <row r="204" spans="1:17" x14ac:dyDescent="0.2">
      <c r="A204" s="1137"/>
      <c r="B204" s="24">
        <v>9</v>
      </c>
      <c r="C204" s="24">
        <f t="shared" ref="C204:H204" si="207">P73</f>
        <v>239.61</v>
      </c>
      <c r="D204" s="24">
        <f t="shared" si="207"/>
        <v>9.9999999999999995E-7</v>
      </c>
      <c r="E204" s="24">
        <f t="shared" si="207"/>
        <v>-0.39</v>
      </c>
      <c r="F204" s="24" t="str">
        <f t="shared" si="207"/>
        <v>-</v>
      </c>
      <c r="G204" s="24">
        <f t="shared" si="207"/>
        <v>0.19500049999999999</v>
      </c>
      <c r="H204" s="24">
        <f t="shared" si="207"/>
        <v>2.8753200000000003</v>
      </c>
      <c r="J204" s="1137"/>
      <c r="K204" s="24">
        <v>9</v>
      </c>
      <c r="L204" s="24">
        <f t="shared" ref="L204:Q204" si="208">P81</f>
        <v>920</v>
      </c>
      <c r="M204" s="24">
        <f t="shared" si="208"/>
        <v>-66</v>
      </c>
      <c r="N204" s="24">
        <f t="shared" si="208"/>
        <v>9.9999999999999995E-7</v>
      </c>
      <c r="O204" s="24" t="str">
        <f t="shared" si="208"/>
        <v>-</v>
      </c>
      <c r="P204" s="24">
        <f t="shared" si="208"/>
        <v>33.000000499999999</v>
      </c>
      <c r="Q204" s="24">
        <f t="shared" si="208"/>
        <v>5.4279999999999999</v>
      </c>
    </row>
    <row r="205" spans="1:17" x14ac:dyDescent="0.2">
      <c r="A205" s="1137"/>
      <c r="B205" s="24">
        <v>10</v>
      </c>
      <c r="C205" s="24">
        <f>B104</f>
        <v>250</v>
      </c>
      <c r="D205" s="24">
        <f t="shared" ref="D205:F205" si="209">C104</f>
        <v>-0.11</v>
      </c>
      <c r="E205" s="24" t="str">
        <f t="shared" si="209"/>
        <v>-</v>
      </c>
      <c r="F205" s="24" t="str">
        <f t="shared" si="209"/>
        <v>-</v>
      </c>
      <c r="G205" s="24">
        <f>F104</f>
        <v>0</v>
      </c>
      <c r="H205" s="24" t="str">
        <f>G104</f>
        <v>-</v>
      </c>
      <c r="J205" s="1137"/>
      <c r="K205" s="24">
        <v>10</v>
      </c>
      <c r="L205" s="24">
        <f t="shared" ref="L205:Q205" si="210">B112</f>
        <v>1000</v>
      </c>
      <c r="M205" s="24">
        <f t="shared" si="210"/>
        <v>2</v>
      </c>
      <c r="N205" s="24" t="str">
        <f t="shared" si="210"/>
        <v>-</v>
      </c>
      <c r="O205" s="24" t="str">
        <f t="shared" si="210"/>
        <v>-</v>
      </c>
      <c r="P205" s="24">
        <f t="shared" si="210"/>
        <v>0</v>
      </c>
      <c r="Q205" s="24" t="str">
        <f t="shared" si="210"/>
        <v>-</v>
      </c>
    </row>
    <row r="206" spans="1:17" x14ac:dyDescent="0.2">
      <c r="A206" s="1137"/>
      <c r="B206" s="24">
        <v>11</v>
      </c>
      <c r="C206" s="24">
        <f>I104</f>
        <v>250</v>
      </c>
      <c r="D206" s="24">
        <f t="shared" ref="D206:F206" si="211">J104</f>
        <v>9.9999999999999995E-7</v>
      </c>
      <c r="E206" s="24" t="str">
        <f t="shared" si="211"/>
        <v>-</v>
      </c>
      <c r="F206" s="24" t="str">
        <f t="shared" si="211"/>
        <v>-</v>
      </c>
      <c r="G206" s="24">
        <f>M104</f>
        <v>0</v>
      </c>
      <c r="H206" s="24" t="str">
        <f>N104</f>
        <v>-</v>
      </c>
      <c r="J206" s="1137"/>
      <c r="K206" s="24">
        <v>11</v>
      </c>
      <c r="L206" s="24">
        <f t="shared" ref="L206:Q206" si="212">I112</f>
        <v>1000</v>
      </c>
      <c r="M206" s="24">
        <f t="shared" si="212"/>
        <v>9.9999999999999995E-7</v>
      </c>
      <c r="N206" s="24" t="str">
        <f t="shared" si="212"/>
        <v>-</v>
      </c>
      <c r="O206" s="24" t="str">
        <f t="shared" si="212"/>
        <v>-</v>
      </c>
      <c r="P206" s="24">
        <f t="shared" si="212"/>
        <v>0</v>
      </c>
      <c r="Q206" s="24" t="str">
        <f t="shared" si="212"/>
        <v>-</v>
      </c>
    </row>
    <row r="207" spans="1:17" x14ac:dyDescent="0.2">
      <c r="A207" s="1137"/>
      <c r="B207" s="24">
        <v>12</v>
      </c>
      <c r="C207" s="24">
        <f>P104</f>
        <v>250</v>
      </c>
      <c r="D207" s="24">
        <f t="shared" ref="D207:F207" si="213">Q104</f>
        <v>9.9999999999999995E-7</v>
      </c>
      <c r="E207" s="24" t="str">
        <f t="shared" si="213"/>
        <v>-</v>
      </c>
      <c r="F207" s="24" t="str">
        <f t="shared" si="213"/>
        <v>-</v>
      </c>
      <c r="G207" s="24">
        <f>T104</f>
        <v>0</v>
      </c>
      <c r="H207" s="24" t="str">
        <f>U104</f>
        <v>-</v>
      </c>
      <c r="J207" s="1137"/>
      <c r="K207" s="24">
        <v>12</v>
      </c>
      <c r="L207" s="24">
        <f t="shared" ref="L207:Q207" si="214">P112</f>
        <v>1000</v>
      </c>
      <c r="M207" s="24">
        <f t="shared" si="214"/>
        <v>9.9999999999999995E-7</v>
      </c>
      <c r="N207" s="24" t="str">
        <f t="shared" si="214"/>
        <v>-</v>
      </c>
      <c r="O207" s="24" t="str">
        <f t="shared" si="214"/>
        <v>-</v>
      </c>
      <c r="P207" s="24">
        <f t="shared" si="214"/>
        <v>0</v>
      </c>
      <c r="Q207" s="24" t="str">
        <f t="shared" si="214"/>
        <v>-</v>
      </c>
    </row>
    <row r="208" spans="1:17" x14ac:dyDescent="0.2">
      <c r="A208" s="786"/>
      <c r="B208" s="764"/>
      <c r="C208" s="764"/>
      <c r="D208" s="786"/>
      <c r="E208" s="786"/>
      <c r="F208" s="786"/>
      <c r="G208" s="786"/>
      <c r="H208" s="786"/>
      <c r="J208" s="786"/>
      <c r="K208" s="786"/>
      <c r="L208" s="786"/>
      <c r="M208" s="786"/>
      <c r="N208" s="786"/>
      <c r="O208" s="786"/>
      <c r="P208" s="786"/>
      <c r="Q208" s="786"/>
    </row>
    <row r="209" spans="1:17" ht="15" x14ac:dyDescent="0.25">
      <c r="A209" s="1137" t="s">
        <v>284</v>
      </c>
      <c r="B209" s="1106"/>
      <c r="C209" s="1141" t="s">
        <v>262</v>
      </c>
      <c r="D209" s="1141"/>
      <c r="E209" s="1141"/>
      <c r="F209" s="1141"/>
      <c r="G209" s="1141"/>
      <c r="H209" s="1141"/>
      <c r="J209" s="1137" t="s">
        <v>284</v>
      </c>
      <c r="K209" s="1106"/>
      <c r="L209" s="1107" t="s">
        <v>262</v>
      </c>
      <c r="M209" s="1107"/>
      <c r="N209" s="1107"/>
      <c r="O209" s="1107"/>
      <c r="P209" s="1107"/>
      <c r="Q209" s="1107"/>
    </row>
    <row r="210" spans="1:17" ht="12.95" customHeight="1" x14ac:dyDescent="0.2">
      <c r="A210" s="1137"/>
      <c r="B210" s="1106"/>
      <c r="C210" s="1108" t="str">
        <f>B20</f>
        <v>Main-PE</v>
      </c>
      <c r="D210" s="1108"/>
      <c r="E210" s="1108"/>
      <c r="F210" s="1108"/>
      <c r="G210" s="790" t="s">
        <v>264</v>
      </c>
      <c r="H210" s="790" t="s">
        <v>195</v>
      </c>
      <c r="J210" s="1137"/>
      <c r="K210" s="1106"/>
      <c r="L210" s="1108" t="str">
        <f>B26</f>
        <v>Resistance</v>
      </c>
      <c r="M210" s="1108"/>
      <c r="N210" s="1108"/>
      <c r="O210" s="1108"/>
      <c r="P210" s="790" t="s">
        <v>264</v>
      </c>
      <c r="Q210" s="790" t="s">
        <v>195</v>
      </c>
    </row>
    <row r="211" spans="1:17" ht="15" x14ac:dyDescent="0.2">
      <c r="A211" s="1137"/>
      <c r="B211" s="1106"/>
      <c r="C211" s="791" t="s">
        <v>383</v>
      </c>
      <c r="D211" s="790"/>
      <c r="E211" s="790"/>
      <c r="F211" s="786"/>
      <c r="G211" s="790"/>
      <c r="H211" s="790"/>
      <c r="J211" s="1137"/>
      <c r="K211" s="1106"/>
      <c r="L211" s="791" t="s">
        <v>384</v>
      </c>
      <c r="M211" s="790"/>
      <c r="N211" s="790"/>
      <c r="O211" s="786"/>
      <c r="P211" s="790"/>
      <c r="Q211" s="790"/>
    </row>
    <row r="212" spans="1:17" ht="15" x14ac:dyDescent="0.2">
      <c r="A212" s="1125" t="s">
        <v>53</v>
      </c>
      <c r="B212" s="24">
        <v>1</v>
      </c>
      <c r="C212" s="24">
        <f t="shared" ref="C212:H212" si="215">B22</f>
        <v>10</v>
      </c>
      <c r="D212" s="24">
        <f t="shared" si="215"/>
        <v>9.9999999999999995E-7</v>
      </c>
      <c r="E212" s="24">
        <f t="shared" si="215"/>
        <v>-1E-3</v>
      </c>
      <c r="F212" s="24">
        <f t="shared" si="215"/>
        <v>9.9999999999999995E-7</v>
      </c>
      <c r="G212" s="24">
        <f t="shared" si="215"/>
        <v>5.0049999999999997E-4</v>
      </c>
      <c r="H212" s="24">
        <f t="shared" si="215"/>
        <v>0.17</v>
      </c>
      <c r="J212" s="1125" t="s">
        <v>53</v>
      </c>
      <c r="K212" s="24">
        <v>1</v>
      </c>
      <c r="L212" s="21">
        <f t="shared" ref="L212:Q212" si="216">B28</f>
        <v>9.9999999999999995E-7</v>
      </c>
      <c r="M212" s="21">
        <f t="shared" si="216"/>
        <v>-2E-3</v>
      </c>
      <c r="N212" s="21">
        <f t="shared" si="216"/>
        <v>9.9999999999999995E-7</v>
      </c>
      <c r="O212" s="21">
        <f t="shared" si="216"/>
        <v>9.9999999999999995E-7</v>
      </c>
      <c r="P212" s="21">
        <f t="shared" si="216"/>
        <v>1.0005000000000001E-3</v>
      </c>
      <c r="Q212" s="21">
        <f t="shared" si="216"/>
        <v>1.2E-8</v>
      </c>
    </row>
    <row r="213" spans="1:17" x14ac:dyDescent="0.2">
      <c r="A213" s="1125"/>
      <c r="B213" s="24">
        <v>2</v>
      </c>
      <c r="C213" s="24">
        <f t="shared" ref="C213:H213" si="217">I22</f>
        <v>10</v>
      </c>
      <c r="D213" s="24">
        <f t="shared" si="217"/>
        <v>9.9999999999999995E-7</v>
      </c>
      <c r="E213" s="24">
        <f t="shared" si="217"/>
        <v>0.1</v>
      </c>
      <c r="F213" s="24">
        <f t="shared" si="217"/>
        <v>9.9999999999999995E-7</v>
      </c>
      <c r="G213" s="24">
        <f t="shared" si="217"/>
        <v>4.9999500000000002E-2</v>
      </c>
      <c r="H213" s="24">
        <f t="shared" si="217"/>
        <v>0.17</v>
      </c>
      <c r="J213" s="1125"/>
      <c r="K213" s="24">
        <v>2</v>
      </c>
      <c r="L213" s="24">
        <f t="shared" ref="L213:Q213" si="218">I28</f>
        <v>0.01</v>
      </c>
      <c r="M213" s="24">
        <f t="shared" si="218"/>
        <v>9.9999999999999995E-7</v>
      </c>
      <c r="N213" s="24">
        <f t="shared" si="218"/>
        <v>9.9999999999999995E-7</v>
      </c>
      <c r="O213" s="24">
        <f t="shared" si="218"/>
        <v>9.9999999999999995E-7</v>
      </c>
      <c r="P213" s="24">
        <f t="shared" si="218"/>
        <v>0</v>
      </c>
      <c r="Q213" s="24">
        <f t="shared" si="218"/>
        <v>1.2E-4</v>
      </c>
    </row>
    <row r="214" spans="1:17" x14ac:dyDescent="0.2">
      <c r="A214" s="1125"/>
      <c r="B214" s="24">
        <v>3</v>
      </c>
      <c r="C214" s="24">
        <f t="shared" ref="C214:H214" si="219">P22</f>
        <v>5</v>
      </c>
      <c r="D214" s="24">
        <f t="shared" si="219"/>
        <v>9.9999999999999995E-7</v>
      </c>
      <c r="E214" s="24">
        <f t="shared" si="219"/>
        <v>9.9999999999999995E-7</v>
      </c>
      <c r="F214" s="24">
        <f t="shared" si="219"/>
        <v>9.9999999999999995E-7</v>
      </c>
      <c r="G214" s="24">
        <f t="shared" si="219"/>
        <v>0</v>
      </c>
      <c r="H214" s="24">
        <f t="shared" si="219"/>
        <v>8.5000000000000006E-2</v>
      </c>
      <c r="J214" s="1125"/>
      <c r="K214" s="24">
        <v>3</v>
      </c>
      <c r="L214" s="24">
        <f t="shared" ref="L214:Q214" si="220">P28</f>
        <v>9.9999999999999995E-7</v>
      </c>
      <c r="M214" s="24">
        <f t="shared" si="220"/>
        <v>-1E-3</v>
      </c>
      <c r="N214" s="24">
        <f t="shared" si="220"/>
        <v>9.9999999999999995E-7</v>
      </c>
      <c r="O214" s="24">
        <f t="shared" si="220"/>
        <v>9.9999999999999995E-7</v>
      </c>
      <c r="P214" s="24">
        <f t="shared" si="220"/>
        <v>5.0049999999999997E-4</v>
      </c>
      <c r="Q214" s="24">
        <f t="shared" si="220"/>
        <v>1.2E-8</v>
      </c>
    </row>
    <row r="215" spans="1:17" x14ac:dyDescent="0.2">
      <c r="A215" s="1125"/>
      <c r="B215" s="24">
        <v>4</v>
      </c>
      <c r="C215" s="24">
        <f t="shared" ref="C215:H215" si="221">B53</f>
        <v>10</v>
      </c>
      <c r="D215" s="24">
        <f t="shared" si="221"/>
        <v>9.9999999999999995E-7</v>
      </c>
      <c r="E215" s="24">
        <f t="shared" si="221"/>
        <v>9.9999999999999995E-7</v>
      </c>
      <c r="F215" s="24">
        <f t="shared" si="221"/>
        <v>0.1</v>
      </c>
      <c r="G215" s="24">
        <f t="shared" si="221"/>
        <v>4.9999500000000002E-2</v>
      </c>
      <c r="H215" s="24">
        <f t="shared" si="221"/>
        <v>0.17</v>
      </c>
      <c r="J215" s="1125"/>
      <c r="K215" s="24">
        <v>4</v>
      </c>
      <c r="L215" s="24">
        <f t="shared" ref="L215:Q215" si="222">B59</f>
        <v>0.01</v>
      </c>
      <c r="M215" s="24">
        <f t="shared" si="222"/>
        <v>9.9999999999999995E-7</v>
      </c>
      <c r="N215" s="24">
        <f t="shared" si="222"/>
        <v>9.9999999999999995E-7</v>
      </c>
      <c r="O215" s="24">
        <f t="shared" si="222"/>
        <v>9.9999999999999995E-7</v>
      </c>
      <c r="P215" s="24">
        <f t="shared" si="222"/>
        <v>0</v>
      </c>
      <c r="Q215" s="24">
        <f t="shared" si="222"/>
        <v>1.2E-4</v>
      </c>
    </row>
    <row r="216" spans="1:17" x14ac:dyDescent="0.2">
      <c r="A216" s="1125"/>
      <c r="B216" s="24">
        <v>5</v>
      </c>
      <c r="C216" s="24">
        <f t="shared" ref="C216:H216" si="223">I53</f>
        <v>10</v>
      </c>
      <c r="D216" s="24">
        <f t="shared" si="223"/>
        <v>9.9999999999999995E-7</v>
      </c>
      <c r="E216" s="24">
        <f t="shared" si="223"/>
        <v>9.9999999999999995E-7</v>
      </c>
      <c r="F216" s="24">
        <f t="shared" si="223"/>
        <v>0.1</v>
      </c>
      <c r="G216" s="24">
        <f t="shared" si="223"/>
        <v>4.9999500000000002E-2</v>
      </c>
      <c r="H216" s="24">
        <f t="shared" si="223"/>
        <v>0.17</v>
      </c>
      <c r="J216" s="1125"/>
      <c r="K216" s="24">
        <v>5</v>
      </c>
      <c r="L216" s="24">
        <f t="shared" ref="L216:Q216" si="224">I59</f>
        <v>0.01</v>
      </c>
      <c r="M216" s="24">
        <f t="shared" si="224"/>
        <v>9.9999999999999995E-7</v>
      </c>
      <c r="N216" s="24">
        <f t="shared" si="224"/>
        <v>9.9999999999999995E-7</v>
      </c>
      <c r="O216" s="24">
        <f t="shared" si="224"/>
        <v>9.9999999999999995E-7</v>
      </c>
      <c r="P216" s="24">
        <f t="shared" si="224"/>
        <v>0</v>
      </c>
      <c r="Q216" s="24">
        <f t="shared" si="224"/>
        <v>1.2E-4</v>
      </c>
    </row>
    <row r="217" spans="1:17" x14ac:dyDescent="0.2">
      <c r="A217" s="1125"/>
      <c r="B217" s="24">
        <v>6</v>
      </c>
      <c r="C217" s="24">
        <f t="shared" ref="C217:H217" si="225">P53</f>
        <v>10</v>
      </c>
      <c r="D217" s="24">
        <f t="shared" si="225"/>
        <v>0.1</v>
      </c>
      <c r="E217" s="24">
        <f t="shared" si="225"/>
        <v>0.1</v>
      </c>
      <c r="F217" s="24">
        <f t="shared" si="225"/>
        <v>9.9999999999999995E-7</v>
      </c>
      <c r="G217" s="24">
        <f t="shared" si="225"/>
        <v>4.9999500000000002E-2</v>
      </c>
      <c r="H217" s="24">
        <f t="shared" si="225"/>
        <v>0.17</v>
      </c>
      <c r="J217" s="1125"/>
      <c r="K217" s="24">
        <v>6</v>
      </c>
      <c r="L217" s="24">
        <f t="shared" ref="L217:Q217" si="226">P59</f>
        <v>0.01</v>
      </c>
      <c r="M217" s="24">
        <f t="shared" si="226"/>
        <v>9.9999999999999995E-7</v>
      </c>
      <c r="N217" s="24">
        <f t="shared" si="226"/>
        <v>9.9999999999999995E-7</v>
      </c>
      <c r="O217" s="24">
        <f t="shared" si="226"/>
        <v>9.9999999999999995E-7</v>
      </c>
      <c r="P217" s="24">
        <f t="shared" si="226"/>
        <v>0</v>
      </c>
      <c r="Q217" s="24">
        <f t="shared" si="226"/>
        <v>1.2E-4</v>
      </c>
    </row>
    <row r="218" spans="1:17" x14ac:dyDescent="0.2">
      <c r="A218" s="1125"/>
      <c r="B218" s="24">
        <v>7</v>
      </c>
      <c r="C218" s="24">
        <f t="shared" ref="C218:H218" si="227">B84</f>
        <v>10</v>
      </c>
      <c r="D218" s="24">
        <f t="shared" si="227"/>
        <v>9.9999999999999995E-7</v>
      </c>
      <c r="E218" s="24">
        <f t="shared" si="227"/>
        <v>9.9999999999999995E-7</v>
      </c>
      <c r="F218" s="24">
        <f t="shared" si="227"/>
        <v>9.9999999999999995E-7</v>
      </c>
      <c r="G218" s="24">
        <f t="shared" si="227"/>
        <v>0</v>
      </c>
      <c r="H218" s="24">
        <f t="shared" si="227"/>
        <v>0.17</v>
      </c>
      <c r="J218" s="1125"/>
      <c r="K218" s="24">
        <v>7</v>
      </c>
      <c r="L218" s="24">
        <f t="shared" ref="L218:Q218" si="228">B90</f>
        <v>0.01</v>
      </c>
      <c r="M218" s="24">
        <f t="shared" si="228"/>
        <v>9.9999999999999995E-7</v>
      </c>
      <c r="N218" s="24">
        <f t="shared" si="228"/>
        <v>9.9999999999999995E-7</v>
      </c>
      <c r="O218" s="24">
        <f t="shared" si="228"/>
        <v>9.9999999999999995E-7</v>
      </c>
      <c r="P218" s="24">
        <f t="shared" si="228"/>
        <v>0</v>
      </c>
      <c r="Q218" s="24">
        <f t="shared" si="228"/>
        <v>1.2E-4</v>
      </c>
    </row>
    <row r="219" spans="1:17" x14ac:dyDescent="0.2">
      <c r="A219" s="1125"/>
      <c r="B219" s="24">
        <v>8</v>
      </c>
      <c r="C219" s="24">
        <f t="shared" ref="C219:H219" si="229">I84</f>
        <v>10</v>
      </c>
      <c r="D219" s="24">
        <f t="shared" si="229"/>
        <v>9.9999999999999995E-7</v>
      </c>
      <c r="E219" s="24">
        <f t="shared" si="229"/>
        <v>9.9999999999999995E-7</v>
      </c>
      <c r="F219" s="24" t="str">
        <f t="shared" si="229"/>
        <v>-</v>
      </c>
      <c r="G219" s="24">
        <f t="shared" si="229"/>
        <v>0</v>
      </c>
      <c r="H219" s="24">
        <f t="shared" si="229"/>
        <v>0.17</v>
      </c>
      <c r="J219" s="1125"/>
      <c r="K219" s="24">
        <v>8</v>
      </c>
      <c r="L219" s="24">
        <f t="shared" ref="L219:Q219" si="230">I90</f>
        <v>0.1</v>
      </c>
      <c r="M219" s="24">
        <f t="shared" si="230"/>
        <v>-1E-3</v>
      </c>
      <c r="N219" s="24">
        <f t="shared" si="230"/>
        <v>-1E-3</v>
      </c>
      <c r="O219" s="24" t="str">
        <f t="shared" si="230"/>
        <v>-</v>
      </c>
      <c r="P219" s="24">
        <f t="shared" si="230"/>
        <v>0</v>
      </c>
      <c r="Q219" s="24">
        <f t="shared" si="230"/>
        <v>1.2000000000000001E-3</v>
      </c>
    </row>
    <row r="220" spans="1:17" x14ac:dyDescent="0.2">
      <c r="A220" s="1125"/>
      <c r="B220" s="24">
        <v>9</v>
      </c>
      <c r="C220" s="24">
        <f t="shared" ref="C220:H220" si="231">P84</f>
        <v>10</v>
      </c>
      <c r="D220" s="24">
        <f t="shared" si="231"/>
        <v>9.9999999999999995E-7</v>
      </c>
      <c r="E220" s="24">
        <f t="shared" si="231"/>
        <v>9.9999999999999995E-7</v>
      </c>
      <c r="F220" s="24" t="str">
        <f t="shared" si="231"/>
        <v>-</v>
      </c>
      <c r="G220" s="24">
        <f t="shared" si="231"/>
        <v>0</v>
      </c>
      <c r="H220" s="24">
        <f t="shared" si="231"/>
        <v>0.17</v>
      </c>
      <c r="J220" s="1125"/>
      <c r="K220" s="24">
        <v>9</v>
      </c>
      <c r="L220" s="24">
        <f t="shared" ref="L220:Q220" si="232">P90</f>
        <v>1E-3</v>
      </c>
      <c r="M220" s="24">
        <f t="shared" si="232"/>
        <v>-2E-3</v>
      </c>
      <c r="N220" s="24">
        <f t="shared" si="232"/>
        <v>-1E-3</v>
      </c>
      <c r="O220" s="24" t="str">
        <f t="shared" si="232"/>
        <v>-</v>
      </c>
      <c r="P220" s="24">
        <f t="shared" si="232"/>
        <v>5.0000000000000001E-4</v>
      </c>
      <c r="Q220" s="24">
        <f t="shared" si="232"/>
        <v>1.2E-5</v>
      </c>
    </row>
    <row r="221" spans="1:17" x14ac:dyDescent="0.2">
      <c r="A221" s="1125"/>
      <c r="B221" s="24">
        <v>10</v>
      </c>
      <c r="C221" s="24">
        <f>B115</f>
        <v>10</v>
      </c>
      <c r="D221" s="24">
        <f t="shared" ref="D221:F221" si="233">C115</f>
        <v>9.9999999999999995E-7</v>
      </c>
      <c r="E221" s="24" t="str">
        <f t="shared" si="233"/>
        <v>-</v>
      </c>
      <c r="F221" s="24" t="str">
        <f t="shared" si="233"/>
        <v>-</v>
      </c>
      <c r="G221" s="24">
        <f>F115</f>
        <v>0</v>
      </c>
      <c r="H221" s="24" t="str">
        <f>G115</f>
        <v>-</v>
      </c>
      <c r="J221" s="1125"/>
      <c r="K221" s="24">
        <v>10</v>
      </c>
      <c r="L221" s="24">
        <f t="shared" ref="L221:Q221" si="234">B121</f>
        <v>0</v>
      </c>
      <c r="M221" s="24">
        <f t="shared" si="234"/>
        <v>9.9999999999999995E-7</v>
      </c>
      <c r="N221" s="24" t="str">
        <f t="shared" si="234"/>
        <v>-</v>
      </c>
      <c r="O221" s="24" t="str">
        <f t="shared" si="234"/>
        <v>-</v>
      </c>
      <c r="P221" s="24">
        <f t="shared" si="234"/>
        <v>0</v>
      </c>
      <c r="Q221" s="24" t="str">
        <f t="shared" si="234"/>
        <v>-</v>
      </c>
    </row>
    <row r="222" spans="1:17" x14ac:dyDescent="0.2">
      <c r="A222" s="1125"/>
      <c r="B222" s="24">
        <v>11</v>
      </c>
      <c r="C222" s="24">
        <f>I115</f>
        <v>10</v>
      </c>
      <c r="D222" s="24">
        <f t="shared" ref="D222:F222" si="235">J115</f>
        <v>9.9999999999999995E-7</v>
      </c>
      <c r="E222" s="24" t="str">
        <f t="shared" si="235"/>
        <v>-</v>
      </c>
      <c r="F222" s="24" t="str">
        <f t="shared" si="235"/>
        <v>-</v>
      </c>
      <c r="G222" s="24">
        <f>M115</f>
        <v>0</v>
      </c>
      <c r="H222" s="24" t="str">
        <f>N115</f>
        <v>-</v>
      </c>
      <c r="J222" s="1125"/>
      <c r="K222" s="24">
        <v>11</v>
      </c>
      <c r="L222" s="24">
        <f t="shared" ref="L222:Q222" si="236">I121</f>
        <v>0.01</v>
      </c>
      <c r="M222" s="24">
        <f t="shared" si="236"/>
        <v>9.9999999999999995E-7</v>
      </c>
      <c r="N222" s="24" t="str">
        <f t="shared" si="236"/>
        <v>-</v>
      </c>
      <c r="O222" s="24" t="str">
        <f t="shared" si="236"/>
        <v>-</v>
      </c>
      <c r="P222" s="24">
        <f t="shared" si="236"/>
        <v>0</v>
      </c>
      <c r="Q222" s="24" t="str">
        <f t="shared" si="236"/>
        <v>-</v>
      </c>
    </row>
    <row r="223" spans="1:17" x14ac:dyDescent="0.2">
      <c r="A223" s="1125"/>
      <c r="B223" s="24">
        <v>12</v>
      </c>
      <c r="C223" s="24">
        <f>P115</f>
        <v>10</v>
      </c>
      <c r="D223" s="24">
        <f t="shared" ref="D223:F223" si="237">Q115</f>
        <v>9.9999999999999995E-7</v>
      </c>
      <c r="E223" s="24" t="str">
        <f t="shared" si="237"/>
        <v>-</v>
      </c>
      <c r="F223" s="24" t="str">
        <f t="shared" si="237"/>
        <v>-</v>
      </c>
      <c r="G223" s="24">
        <f>T115</f>
        <v>0</v>
      </c>
      <c r="H223" s="24" t="str">
        <f>U115</f>
        <v>-</v>
      </c>
      <c r="J223" s="1125"/>
      <c r="K223" s="24">
        <v>12</v>
      </c>
      <c r="L223" s="24">
        <f t="shared" ref="L223:Q223" si="238">P121</f>
        <v>0.01</v>
      </c>
      <c r="M223" s="24">
        <f t="shared" si="238"/>
        <v>9.9999999999999995E-7</v>
      </c>
      <c r="N223" s="24" t="str">
        <f t="shared" si="238"/>
        <v>-</v>
      </c>
      <c r="O223" s="24" t="str">
        <f t="shared" si="238"/>
        <v>-</v>
      </c>
      <c r="P223" s="24">
        <f t="shared" si="238"/>
        <v>0</v>
      </c>
      <c r="Q223" s="24" t="str">
        <f t="shared" si="238"/>
        <v>-</v>
      </c>
    </row>
    <row r="224" spans="1:17" s="762" customFormat="1" x14ac:dyDescent="0.2">
      <c r="A224" s="785"/>
      <c r="B224" s="143"/>
      <c r="C224" s="143"/>
      <c r="D224" s="143"/>
      <c r="E224" s="143"/>
      <c r="F224" s="788"/>
      <c r="G224" s="143"/>
      <c r="H224" s="143"/>
      <c r="J224" s="785"/>
      <c r="K224" s="143"/>
      <c r="L224" s="143"/>
      <c r="M224" s="143"/>
      <c r="N224" s="143"/>
      <c r="O224" s="788"/>
      <c r="P224" s="143"/>
      <c r="Q224" s="143"/>
    </row>
    <row r="225" spans="1:17" x14ac:dyDescent="0.2">
      <c r="A225" s="1125" t="s">
        <v>54</v>
      </c>
      <c r="B225" s="24">
        <v>1</v>
      </c>
      <c r="C225" s="24">
        <f t="shared" ref="C225:H225" si="239">B23</f>
        <v>20</v>
      </c>
      <c r="D225" s="24">
        <f t="shared" si="239"/>
        <v>0.1</v>
      </c>
      <c r="E225" s="24">
        <f t="shared" si="239"/>
        <v>9.9999999999999995E-7</v>
      </c>
      <c r="F225" s="24">
        <f t="shared" si="239"/>
        <v>9.9999999999999995E-7</v>
      </c>
      <c r="G225" s="24">
        <f t="shared" si="239"/>
        <v>4.9999500000000002E-2</v>
      </c>
      <c r="H225" s="24">
        <f t="shared" si="239"/>
        <v>0.34</v>
      </c>
      <c r="J225" s="1125" t="s">
        <v>54</v>
      </c>
      <c r="K225" s="24">
        <v>1</v>
      </c>
      <c r="L225" s="24">
        <f t="shared" ref="L225:Q225" si="240">B29</f>
        <v>0.1</v>
      </c>
      <c r="M225" s="24">
        <f t="shared" si="240"/>
        <v>1E-3</v>
      </c>
      <c r="N225" s="24">
        <f t="shared" si="240"/>
        <v>-1E-3</v>
      </c>
      <c r="O225" s="24">
        <f t="shared" si="240"/>
        <v>2E-3</v>
      </c>
      <c r="P225" s="24">
        <f t="shared" si="240"/>
        <v>1.5E-3</v>
      </c>
      <c r="Q225" s="24">
        <f t="shared" si="240"/>
        <v>1.2000000000000001E-3</v>
      </c>
    </row>
    <row r="226" spans="1:17" x14ac:dyDescent="0.2">
      <c r="A226" s="1125"/>
      <c r="B226" s="24">
        <v>2</v>
      </c>
      <c r="C226" s="24">
        <f t="shared" ref="C226:H226" si="241">I23</f>
        <v>20</v>
      </c>
      <c r="D226" s="24">
        <f t="shared" si="241"/>
        <v>0.1</v>
      </c>
      <c r="E226" s="24">
        <f t="shared" si="241"/>
        <v>0.2</v>
      </c>
      <c r="F226" s="24">
        <f t="shared" si="241"/>
        <v>0.1</v>
      </c>
      <c r="G226" s="24">
        <f t="shared" si="241"/>
        <v>0.05</v>
      </c>
      <c r="H226" s="24">
        <f t="shared" si="241"/>
        <v>0.34</v>
      </c>
      <c r="J226" s="1125"/>
      <c r="K226" s="24">
        <v>2</v>
      </c>
      <c r="L226" s="24">
        <f t="shared" ref="L226:Q226" si="242">I29</f>
        <v>0.1</v>
      </c>
      <c r="M226" s="24">
        <f t="shared" si="242"/>
        <v>5.0000000000000001E-3</v>
      </c>
      <c r="N226" s="24">
        <f t="shared" si="242"/>
        <v>6.0000000000000001E-3</v>
      </c>
      <c r="O226" s="24">
        <f t="shared" si="242"/>
        <v>5.0000000000000001E-3</v>
      </c>
      <c r="P226" s="24">
        <f t="shared" si="242"/>
        <v>5.0000000000000001E-4</v>
      </c>
      <c r="Q226" s="24">
        <f t="shared" si="242"/>
        <v>1.2000000000000001E-3</v>
      </c>
    </row>
    <row r="227" spans="1:17" x14ac:dyDescent="0.2">
      <c r="A227" s="1125"/>
      <c r="B227" s="24">
        <v>3</v>
      </c>
      <c r="C227" s="24">
        <f t="shared" ref="C227:H227" si="243">P23</f>
        <v>10</v>
      </c>
      <c r="D227" s="24">
        <f t="shared" si="243"/>
        <v>9.9999999999999995E-7</v>
      </c>
      <c r="E227" s="24">
        <f t="shared" si="243"/>
        <v>9.9999999999999995E-7</v>
      </c>
      <c r="F227" s="24">
        <f t="shared" si="243"/>
        <v>9.9999999999999995E-7</v>
      </c>
      <c r="G227" s="24">
        <f t="shared" si="243"/>
        <v>0</v>
      </c>
      <c r="H227" s="24">
        <f t="shared" si="243"/>
        <v>0.17</v>
      </c>
      <c r="J227" s="1125"/>
      <c r="K227" s="24">
        <v>3</v>
      </c>
      <c r="L227" s="24">
        <f t="shared" ref="L227:Q227" si="244">P29</f>
        <v>0.5</v>
      </c>
      <c r="M227" s="24">
        <f t="shared" si="244"/>
        <v>-2E-3</v>
      </c>
      <c r="N227" s="24">
        <f t="shared" si="244"/>
        <v>-1E-3</v>
      </c>
      <c r="O227" s="24">
        <f t="shared" si="244"/>
        <v>9.9999999999999995E-7</v>
      </c>
      <c r="P227" s="24">
        <f t="shared" si="244"/>
        <v>1.0005000000000001E-3</v>
      </c>
      <c r="Q227" s="24">
        <f t="shared" si="244"/>
        <v>6.0000000000000001E-3</v>
      </c>
    </row>
    <row r="228" spans="1:17" x14ac:dyDescent="0.2">
      <c r="A228" s="1125"/>
      <c r="B228" s="24">
        <v>4</v>
      </c>
      <c r="C228" s="24">
        <f t="shared" ref="C228:H228" si="245">B54</f>
        <v>20</v>
      </c>
      <c r="D228" s="24">
        <f t="shared" si="245"/>
        <v>0.1</v>
      </c>
      <c r="E228" s="24">
        <f t="shared" si="245"/>
        <v>0.1</v>
      </c>
      <c r="F228" s="24">
        <f t="shared" si="245"/>
        <v>0.2</v>
      </c>
      <c r="G228" s="24">
        <f t="shared" si="245"/>
        <v>0.05</v>
      </c>
      <c r="H228" s="24">
        <f t="shared" si="245"/>
        <v>0.34</v>
      </c>
      <c r="J228" s="1125"/>
      <c r="K228" s="24">
        <v>4</v>
      </c>
      <c r="L228" s="24">
        <f t="shared" ref="L228:Q228" si="246">B60</f>
        <v>0.1</v>
      </c>
      <c r="M228" s="24">
        <f t="shared" si="246"/>
        <v>9.9999999999999995E-7</v>
      </c>
      <c r="N228" s="24">
        <f t="shared" si="246"/>
        <v>-2E-3</v>
      </c>
      <c r="O228" s="24">
        <f t="shared" si="246"/>
        <v>9.9999999999999995E-7</v>
      </c>
      <c r="P228" s="24">
        <f t="shared" si="246"/>
        <v>1.0005000000000001E-3</v>
      </c>
      <c r="Q228" s="24">
        <f t="shared" si="246"/>
        <v>1.2000000000000001E-3</v>
      </c>
    </row>
    <row r="229" spans="1:17" x14ac:dyDescent="0.2">
      <c r="A229" s="1125"/>
      <c r="B229" s="24">
        <v>5</v>
      </c>
      <c r="C229" s="24">
        <f t="shared" ref="C229:H229" si="247">I54</f>
        <v>20</v>
      </c>
      <c r="D229" s="24">
        <f t="shared" si="247"/>
        <v>0.1</v>
      </c>
      <c r="E229" s="24">
        <f t="shared" si="247"/>
        <v>0.1</v>
      </c>
      <c r="F229" s="24">
        <f t="shared" si="247"/>
        <v>0.1</v>
      </c>
      <c r="G229" s="24">
        <f t="shared" si="247"/>
        <v>0</v>
      </c>
      <c r="H229" s="24">
        <f t="shared" si="247"/>
        <v>0.34</v>
      </c>
      <c r="J229" s="1125"/>
      <c r="K229" s="24">
        <v>5</v>
      </c>
      <c r="L229" s="24">
        <f t="shared" ref="L229:Q229" si="248">I60</f>
        <v>0.1</v>
      </c>
      <c r="M229" s="24">
        <f t="shared" si="248"/>
        <v>-6.0000000000000001E-3</v>
      </c>
      <c r="N229" s="24">
        <f t="shared" si="248"/>
        <v>5.0000000000000001E-3</v>
      </c>
      <c r="O229" s="24">
        <f t="shared" si="248"/>
        <v>2E-3</v>
      </c>
      <c r="P229" s="24">
        <f t="shared" si="248"/>
        <v>5.4999999999999997E-3</v>
      </c>
      <c r="Q229" s="24">
        <f t="shared" si="248"/>
        <v>1.2000000000000001E-3</v>
      </c>
    </row>
    <row r="230" spans="1:17" x14ac:dyDescent="0.2">
      <c r="A230" s="1125"/>
      <c r="B230" s="24">
        <v>6</v>
      </c>
      <c r="C230" s="24">
        <f t="shared" ref="C230:H230" si="249">P54</f>
        <v>20</v>
      </c>
      <c r="D230" s="24">
        <f t="shared" si="249"/>
        <v>0.1</v>
      </c>
      <c r="E230" s="24">
        <f t="shared" si="249"/>
        <v>0.1</v>
      </c>
      <c r="F230" s="24">
        <f t="shared" si="249"/>
        <v>9.9999999999999995E-7</v>
      </c>
      <c r="G230" s="24">
        <f t="shared" si="249"/>
        <v>4.9999500000000002E-2</v>
      </c>
      <c r="H230" s="24">
        <f t="shared" si="249"/>
        <v>0.34</v>
      </c>
      <c r="J230" s="1125"/>
      <c r="K230" s="24">
        <v>6</v>
      </c>
      <c r="L230" s="24">
        <f t="shared" ref="L230:Q230" si="250">P60</f>
        <v>0.1</v>
      </c>
      <c r="M230" s="24">
        <f t="shared" si="250"/>
        <v>-3.0000000000000001E-3</v>
      </c>
      <c r="N230" s="24">
        <f t="shared" si="250"/>
        <v>-2E-3</v>
      </c>
      <c r="O230" s="24">
        <f t="shared" si="250"/>
        <v>6.0000000000000001E-3</v>
      </c>
      <c r="P230" s="24">
        <f t="shared" si="250"/>
        <v>4.5000000000000005E-3</v>
      </c>
      <c r="Q230" s="24">
        <f t="shared" si="250"/>
        <v>1.2000000000000001E-3</v>
      </c>
    </row>
    <row r="231" spans="1:17" x14ac:dyDescent="0.2">
      <c r="A231" s="1125"/>
      <c r="B231" s="24">
        <v>7</v>
      </c>
      <c r="C231" s="24">
        <f t="shared" ref="C231:H231" si="251">B85</f>
        <v>20</v>
      </c>
      <c r="D231" s="24">
        <f t="shared" si="251"/>
        <v>0.1</v>
      </c>
      <c r="E231" s="24">
        <f t="shared" si="251"/>
        <v>9.9999999999999995E-7</v>
      </c>
      <c r="F231" s="24">
        <f t="shared" si="251"/>
        <v>0.1</v>
      </c>
      <c r="G231" s="24">
        <f t="shared" si="251"/>
        <v>4.9999500000000002E-2</v>
      </c>
      <c r="H231" s="24">
        <f t="shared" si="251"/>
        <v>0.34</v>
      </c>
      <c r="J231" s="1125"/>
      <c r="K231" s="24">
        <v>7</v>
      </c>
      <c r="L231" s="24">
        <f t="shared" ref="L231:Q231" si="252">B91</f>
        <v>0.5</v>
      </c>
      <c r="M231" s="24">
        <f t="shared" si="252"/>
        <v>3.0000000000000001E-3</v>
      </c>
      <c r="N231" s="24">
        <f t="shared" si="252"/>
        <v>9.9999999999999995E-7</v>
      </c>
      <c r="O231" s="24">
        <f t="shared" si="252"/>
        <v>1E-3</v>
      </c>
      <c r="P231" s="24">
        <f t="shared" si="252"/>
        <v>1.4995E-3</v>
      </c>
      <c r="Q231" s="24">
        <f t="shared" si="252"/>
        <v>6.0000000000000001E-3</v>
      </c>
    </row>
    <row r="232" spans="1:17" x14ac:dyDescent="0.2">
      <c r="A232" s="1125"/>
      <c r="B232" s="24">
        <v>8</v>
      </c>
      <c r="C232" s="24">
        <f t="shared" ref="C232:H232" si="253">I85</f>
        <v>20</v>
      </c>
      <c r="D232" s="24">
        <f t="shared" si="253"/>
        <v>9.9999999999999995E-7</v>
      </c>
      <c r="E232" s="24">
        <f t="shared" si="253"/>
        <v>9.9999999999999995E-7</v>
      </c>
      <c r="F232" s="24" t="str">
        <f t="shared" si="253"/>
        <v>-</v>
      </c>
      <c r="G232" s="24">
        <f t="shared" si="253"/>
        <v>0</v>
      </c>
      <c r="H232" s="24">
        <f t="shared" si="253"/>
        <v>0.34</v>
      </c>
      <c r="J232" s="1125"/>
      <c r="K232" s="24">
        <v>8</v>
      </c>
      <c r="L232" s="24">
        <f t="shared" ref="L232:Q232" si="254">I91</f>
        <v>0.5</v>
      </c>
      <c r="M232" s="24">
        <f t="shared" si="254"/>
        <v>4.0000000000000001E-3</v>
      </c>
      <c r="N232" s="24">
        <f t="shared" si="254"/>
        <v>-3.0000000000000001E-3</v>
      </c>
      <c r="O232" s="24" t="str">
        <f t="shared" si="254"/>
        <v>-</v>
      </c>
      <c r="P232" s="24">
        <f t="shared" si="254"/>
        <v>3.5000000000000001E-3</v>
      </c>
      <c r="Q232" s="24">
        <f t="shared" si="254"/>
        <v>6.0000000000000001E-3</v>
      </c>
    </row>
    <row r="233" spans="1:17" x14ac:dyDescent="0.2">
      <c r="A233" s="1125"/>
      <c r="B233" s="24">
        <v>9</v>
      </c>
      <c r="C233" s="24">
        <f t="shared" ref="C233:H233" si="255">P85</f>
        <v>20</v>
      </c>
      <c r="D233" s="24">
        <f t="shared" si="255"/>
        <v>9.9999999999999995E-7</v>
      </c>
      <c r="E233" s="24">
        <f t="shared" si="255"/>
        <v>9.9999999999999995E-7</v>
      </c>
      <c r="F233" s="24" t="str">
        <f t="shared" si="255"/>
        <v>-</v>
      </c>
      <c r="G233" s="24">
        <f t="shared" si="255"/>
        <v>0</v>
      </c>
      <c r="H233" s="24">
        <f t="shared" si="255"/>
        <v>0.34</v>
      </c>
      <c r="J233" s="1125"/>
      <c r="K233" s="24">
        <v>9</v>
      </c>
      <c r="L233" s="24">
        <f t="shared" ref="L233:Q233" si="256">P91</f>
        <v>0.10199999999999999</v>
      </c>
      <c r="M233" s="24">
        <f t="shared" si="256"/>
        <v>1E-3</v>
      </c>
      <c r="N233" s="24">
        <f t="shared" si="256"/>
        <v>-2E-3</v>
      </c>
      <c r="O233" s="24" t="str">
        <f t="shared" si="256"/>
        <v>-</v>
      </c>
      <c r="P233" s="24">
        <f t="shared" si="256"/>
        <v>1.5E-3</v>
      </c>
      <c r="Q233" s="24">
        <f t="shared" si="256"/>
        <v>1.224E-3</v>
      </c>
    </row>
    <row r="234" spans="1:17" x14ac:dyDescent="0.2">
      <c r="A234" s="1125"/>
      <c r="B234" s="24">
        <v>10</v>
      </c>
      <c r="C234" s="24">
        <f>B116</f>
        <v>20</v>
      </c>
      <c r="D234" s="24">
        <f t="shared" ref="D234:F234" si="257">C116</f>
        <v>0.1</v>
      </c>
      <c r="E234" s="24" t="str">
        <f t="shared" si="257"/>
        <v>-</v>
      </c>
      <c r="F234" s="24" t="str">
        <f t="shared" si="257"/>
        <v>-</v>
      </c>
      <c r="G234" s="24">
        <f>F116</f>
        <v>0</v>
      </c>
      <c r="H234" s="24" t="str">
        <f>G116</f>
        <v>-</v>
      </c>
      <c r="J234" s="1125"/>
      <c r="K234" s="24">
        <v>10</v>
      </c>
      <c r="L234" s="24">
        <f t="shared" ref="L234:Q234" si="258">B122</f>
        <v>0.1</v>
      </c>
      <c r="M234" s="24">
        <f t="shared" si="258"/>
        <v>-2E-3</v>
      </c>
      <c r="N234" s="24" t="str">
        <f t="shared" si="258"/>
        <v>-</v>
      </c>
      <c r="O234" s="24" t="str">
        <f t="shared" si="258"/>
        <v>-</v>
      </c>
      <c r="P234" s="24">
        <f t="shared" si="258"/>
        <v>0</v>
      </c>
      <c r="Q234" s="24" t="str">
        <f t="shared" si="258"/>
        <v>-</v>
      </c>
    </row>
    <row r="235" spans="1:17" x14ac:dyDescent="0.2">
      <c r="A235" s="1125"/>
      <c r="B235" s="24">
        <v>11</v>
      </c>
      <c r="C235" s="24">
        <f>I116</f>
        <v>20</v>
      </c>
      <c r="D235" s="24">
        <f t="shared" ref="D235:F235" si="259">J116</f>
        <v>9.9999999999999995E-7</v>
      </c>
      <c r="E235" s="24" t="str">
        <f t="shared" si="259"/>
        <v>-</v>
      </c>
      <c r="F235" s="24" t="str">
        <f t="shared" si="259"/>
        <v>-</v>
      </c>
      <c r="G235" s="24">
        <f>M116</f>
        <v>0</v>
      </c>
      <c r="H235" s="24" t="str">
        <f>N116</f>
        <v>-</v>
      </c>
      <c r="J235" s="1125"/>
      <c r="K235" s="24">
        <v>11</v>
      </c>
      <c r="L235" s="24">
        <f t="shared" ref="L235:Q235" si="260">I122</f>
        <v>0.1</v>
      </c>
      <c r="M235" s="24">
        <f t="shared" si="260"/>
        <v>9.9999999999999995E-7</v>
      </c>
      <c r="N235" s="24" t="str">
        <f t="shared" si="260"/>
        <v>-</v>
      </c>
      <c r="O235" s="24" t="str">
        <f t="shared" si="260"/>
        <v>-</v>
      </c>
      <c r="P235" s="24">
        <f t="shared" si="260"/>
        <v>0</v>
      </c>
      <c r="Q235" s="24" t="str">
        <f t="shared" si="260"/>
        <v>-</v>
      </c>
    </row>
    <row r="236" spans="1:17" x14ac:dyDescent="0.2">
      <c r="A236" s="1125"/>
      <c r="B236" s="24">
        <v>12</v>
      </c>
      <c r="C236" s="24">
        <f>P116</f>
        <v>20</v>
      </c>
      <c r="D236" s="24">
        <f t="shared" ref="D236:F236" si="261">Q116</f>
        <v>9.9999999999999995E-7</v>
      </c>
      <c r="E236" s="24" t="str">
        <f t="shared" si="261"/>
        <v>-</v>
      </c>
      <c r="F236" s="24" t="str">
        <f t="shared" si="261"/>
        <v>-</v>
      </c>
      <c r="G236" s="24">
        <f>T116</f>
        <v>0</v>
      </c>
      <c r="H236" s="24" t="str">
        <f>U116</f>
        <v>-</v>
      </c>
      <c r="J236" s="1125"/>
      <c r="K236" s="24">
        <v>12</v>
      </c>
      <c r="L236" s="24">
        <f t="shared" ref="L236:Q236" si="262">P122</f>
        <v>0.1</v>
      </c>
      <c r="M236" s="24">
        <f t="shared" si="262"/>
        <v>9.9999999999999995E-7</v>
      </c>
      <c r="N236" s="24" t="str">
        <f t="shared" si="262"/>
        <v>-</v>
      </c>
      <c r="O236" s="24" t="str">
        <f t="shared" si="262"/>
        <v>-</v>
      </c>
      <c r="P236" s="24">
        <f t="shared" si="262"/>
        <v>0</v>
      </c>
      <c r="Q236" s="24" t="str">
        <f t="shared" si="262"/>
        <v>-</v>
      </c>
    </row>
    <row r="237" spans="1:17" s="762" customFormat="1" x14ac:dyDescent="0.2">
      <c r="A237" s="785"/>
      <c r="B237" s="143"/>
      <c r="C237" s="143"/>
      <c r="D237" s="143"/>
      <c r="E237" s="143"/>
      <c r="F237" s="788"/>
      <c r="G237" s="143"/>
      <c r="H237" s="143"/>
      <c r="J237" s="785"/>
      <c r="K237" s="143"/>
      <c r="L237" s="143"/>
      <c r="M237" s="143"/>
      <c r="N237" s="143"/>
      <c r="O237" s="788"/>
      <c r="P237" s="143"/>
      <c r="Q237" s="143"/>
    </row>
    <row r="238" spans="1:17" x14ac:dyDescent="0.2">
      <c r="A238" s="1125" t="s">
        <v>55</v>
      </c>
      <c r="B238" s="24">
        <v>1</v>
      </c>
      <c r="C238" s="24">
        <f t="shared" ref="C238:H238" si="263">B24</f>
        <v>50</v>
      </c>
      <c r="D238" s="24">
        <f t="shared" si="263"/>
        <v>0.3</v>
      </c>
      <c r="E238" s="24">
        <f t="shared" si="263"/>
        <v>9.9999999999999995E-7</v>
      </c>
      <c r="F238" s="24">
        <f t="shared" si="263"/>
        <v>9.9999999999999995E-7</v>
      </c>
      <c r="G238" s="24">
        <f t="shared" si="263"/>
        <v>0.14999950000000001</v>
      </c>
      <c r="H238" s="24">
        <f t="shared" si="263"/>
        <v>0.85000000000000009</v>
      </c>
      <c r="J238" s="1125" t="s">
        <v>55</v>
      </c>
      <c r="K238" s="24">
        <v>1</v>
      </c>
      <c r="L238" s="24">
        <f t="shared" ref="L238:Q238" si="264">B30</f>
        <v>1</v>
      </c>
      <c r="M238" s="24">
        <f t="shared" si="264"/>
        <v>4.0000000000000001E-3</v>
      </c>
      <c r="N238" s="24">
        <f t="shared" si="264"/>
        <v>4.0000000000000001E-3</v>
      </c>
      <c r="O238" s="24">
        <f t="shared" si="264"/>
        <v>1.2E-2</v>
      </c>
      <c r="P238" s="24">
        <f t="shared" si="264"/>
        <v>4.0000000000000001E-3</v>
      </c>
      <c r="Q238" s="24">
        <f t="shared" si="264"/>
        <v>1.2E-2</v>
      </c>
    </row>
    <row r="239" spans="1:17" x14ac:dyDescent="0.2">
      <c r="A239" s="1125"/>
      <c r="B239" s="24">
        <v>2</v>
      </c>
      <c r="C239" s="24">
        <f t="shared" ref="C239:H239" si="265">I24</f>
        <v>50</v>
      </c>
      <c r="D239" s="24">
        <f t="shared" si="265"/>
        <v>0.2</v>
      </c>
      <c r="E239" s="24">
        <f t="shared" si="265"/>
        <v>0.3</v>
      </c>
      <c r="F239" s="24">
        <f t="shared" si="265"/>
        <v>0.1</v>
      </c>
      <c r="G239" s="24">
        <f t="shared" si="265"/>
        <v>9.9999999999999992E-2</v>
      </c>
      <c r="H239" s="24">
        <f t="shared" si="265"/>
        <v>0.85000000000000009</v>
      </c>
      <c r="J239" s="1125"/>
      <c r="K239" s="24">
        <v>2</v>
      </c>
      <c r="L239" s="24">
        <f t="shared" ref="L239:Q239" si="266">I30</f>
        <v>1</v>
      </c>
      <c r="M239" s="24">
        <f t="shared" si="266"/>
        <v>5.8000000000000003E-2</v>
      </c>
      <c r="N239" s="24">
        <f t="shared" si="266"/>
        <v>4.4999999999999998E-2</v>
      </c>
      <c r="O239" s="24">
        <f t="shared" si="266"/>
        <v>5.5E-2</v>
      </c>
      <c r="P239" s="24">
        <f t="shared" si="266"/>
        <v>6.5000000000000023E-3</v>
      </c>
      <c r="Q239" s="24">
        <f t="shared" si="266"/>
        <v>1.2E-2</v>
      </c>
    </row>
    <row r="240" spans="1:17" x14ac:dyDescent="0.2">
      <c r="A240" s="1125"/>
      <c r="B240" s="24">
        <v>3</v>
      </c>
      <c r="C240" s="24">
        <f t="shared" ref="C240:H240" si="267">P24</f>
        <v>20</v>
      </c>
      <c r="D240" s="24">
        <f t="shared" si="267"/>
        <v>9.9999999999999995E-7</v>
      </c>
      <c r="E240" s="24">
        <f t="shared" si="267"/>
        <v>0.4</v>
      </c>
      <c r="F240" s="24">
        <f t="shared" si="267"/>
        <v>0.3</v>
      </c>
      <c r="G240" s="24">
        <f t="shared" si="267"/>
        <v>0.19999950000000002</v>
      </c>
      <c r="H240" s="24">
        <f t="shared" si="267"/>
        <v>0.34</v>
      </c>
      <c r="J240" s="1125"/>
      <c r="K240" s="24">
        <v>3</v>
      </c>
      <c r="L240" s="24">
        <f t="shared" ref="L240:Q240" si="268">P30</f>
        <v>1</v>
      </c>
      <c r="M240" s="24">
        <f t="shared" si="268"/>
        <v>-1.2E-2</v>
      </c>
      <c r="N240" s="24">
        <f t="shared" si="268"/>
        <v>5.0000000000000001E-3</v>
      </c>
      <c r="O240" s="24">
        <f t="shared" si="268"/>
        <v>9.9999999999999995E-7</v>
      </c>
      <c r="P240" s="24">
        <f t="shared" si="268"/>
        <v>8.5000000000000006E-3</v>
      </c>
      <c r="Q240" s="24">
        <f t="shared" si="268"/>
        <v>1.2E-2</v>
      </c>
    </row>
    <row r="241" spans="1:17" x14ac:dyDescent="0.2">
      <c r="A241" s="1125"/>
      <c r="B241" s="24">
        <v>4</v>
      </c>
      <c r="C241" s="24">
        <f t="shared" ref="C241:H241" si="269">B55</f>
        <v>50</v>
      </c>
      <c r="D241" s="24">
        <f t="shared" si="269"/>
        <v>0.4</v>
      </c>
      <c r="E241" s="24">
        <f t="shared" si="269"/>
        <v>0.4</v>
      </c>
      <c r="F241" s="24">
        <f t="shared" si="269"/>
        <v>0.5</v>
      </c>
      <c r="G241" s="24">
        <f t="shared" si="269"/>
        <v>4.9999999999999989E-2</v>
      </c>
      <c r="H241" s="24">
        <f t="shared" si="269"/>
        <v>0.85000000000000009</v>
      </c>
      <c r="J241" s="1125"/>
      <c r="K241" s="24">
        <v>4</v>
      </c>
      <c r="L241" s="24">
        <f t="shared" ref="L241:Q241" si="270">B61</f>
        <v>1</v>
      </c>
      <c r="M241" s="24">
        <f t="shared" si="270"/>
        <v>-2E-3</v>
      </c>
      <c r="N241" s="24">
        <f t="shared" si="270"/>
        <v>-8.0000000000000002E-3</v>
      </c>
      <c r="O241" s="24">
        <f t="shared" si="270"/>
        <v>-1E-3</v>
      </c>
      <c r="P241" s="24">
        <f t="shared" si="270"/>
        <v>3.5000000000000001E-3</v>
      </c>
      <c r="Q241" s="24">
        <f t="shared" si="270"/>
        <v>1.2E-2</v>
      </c>
    </row>
    <row r="242" spans="1:17" x14ac:dyDescent="0.2">
      <c r="A242" s="1125"/>
      <c r="B242" s="24">
        <v>5</v>
      </c>
      <c r="C242" s="24">
        <f t="shared" ref="C242:H242" si="271">I55</f>
        <v>50</v>
      </c>
      <c r="D242" s="24">
        <f t="shared" si="271"/>
        <v>0.3</v>
      </c>
      <c r="E242" s="24">
        <f t="shared" si="271"/>
        <v>0.6</v>
      </c>
      <c r="F242" s="24">
        <f t="shared" si="271"/>
        <v>0.4</v>
      </c>
      <c r="G242" s="24">
        <f t="shared" si="271"/>
        <v>0.15</v>
      </c>
      <c r="H242" s="24">
        <f t="shared" si="271"/>
        <v>0.85000000000000009</v>
      </c>
      <c r="J242" s="1125"/>
      <c r="K242" s="24">
        <v>5</v>
      </c>
      <c r="L242" s="24">
        <f t="shared" ref="L242:Q242" si="272">I61</f>
        <v>1</v>
      </c>
      <c r="M242" s="24">
        <f t="shared" si="272"/>
        <v>-2E-3</v>
      </c>
      <c r="N242" s="24">
        <f t="shared" si="272"/>
        <v>1.7999999999999999E-2</v>
      </c>
      <c r="O242" s="24">
        <f t="shared" si="272"/>
        <v>1.2E-2</v>
      </c>
      <c r="P242" s="24">
        <f t="shared" si="272"/>
        <v>9.9999999999999985E-3</v>
      </c>
      <c r="Q242" s="24">
        <f t="shared" si="272"/>
        <v>1.2E-2</v>
      </c>
    </row>
    <row r="243" spans="1:17" x14ac:dyDescent="0.2">
      <c r="A243" s="1125"/>
      <c r="B243" s="24">
        <v>6</v>
      </c>
      <c r="C243" s="24">
        <f t="shared" ref="C243:H243" si="273">P55</f>
        <v>50</v>
      </c>
      <c r="D243" s="24">
        <f t="shared" si="273"/>
        <v>0.3</v>
      </c>
      <c r="E243" s="24">
        <f t="shared" si="273"/>
        <v>0.3</v>
      </c>
      <c r="F243" s="24">
        <f t="shared" si="273"/>
        <v>0.2</v>
      </c>
      <c r="G243" s="24">
        <f t="shared" si="273"/>
        <v>4.9999999999999989E-2</v>
      </c>
      <c r="H243" s="24">
        <f t="shared" si="273"/>
        <v>0.85000000000000009</v>
      </c>
      <c r="J243" s="1125"/>
      <c r="K243" s="24">
        <v>6</v>
      </c>
      <c r="L243" s="24">
        <f t="shared" ref="L243:Q243" si="274">P61</f>
        <v>1</v>
      </c>
      <c r="M243" s="24">
        <f t="shared" si="274"/>
        <v>-7.0000000000000001E-3</v>
      </c>
      <c r="N243" s="24">
        <f t="shared" si="274"/>
        <v>-1E-3</v>
      </c>
      <c r="O243" s="24">
        <f t="shared" si="274"/>
        <v>8.0000000000000002E-3</v>
      </c>
      <c r="P243" s="24">
        <f t="shared" si="274"/>
        <v>7.4999999999999997E-3</v>
      </c>
      <c r="Q243" s="24">
        <f t="shared" si="274"/>
        <v>1.2E-2</v>
      </c>
    </row>
    <row r="244" spans="1:17" x14ac:dyDescent="0.2">
      <c r="A244" s="1125"/>
      <c r="B244" s="24">
        <v>7</v>
      </c>
      <c r="C244" s="24">
        <f t="shared" ref="C244:H244" si="275">B86</f>
        <v>50</v>
      </c>
      <c r="D244" s="24">
        <f t="shared" si="275"/>
        <v>0.5</v>
      </c>
      <c r="E244" s="24">
        <f t="shared" si="275"/>
        <v>9.9999999999999995E-7</v>
      </c>
      <c r="F244" s="24">
        <f t="shared" si="275"/>
        <v>0.4</v>
      </c>
      <c r="G244" s="24">
        <f t="shared" si="275"/>
        <v>0.24999950000000001</v>
      </c>
      <c r="H244" s="24">
        <f t="shared" si="275"/>
        <v>0.85000000000000009</v>
      </c>
      <c r="J244" s="1125"/>
      <c r="K244" s="24">
        <v>7</v>
      </c>
      <c r="L244" s="24">
        <f t="shared" ref="L244:Q244" si="276">B92</f>
        <v>1</v>
      </c>
      <c r="M244" s="24">
        <f t="shared" si="276"/>
        <v>2E-3</v>
      </c>
      <c r="N244" s="24">
        <f t="shared" si="276"/>
        <v>-2E-3</v>
      </c>
      <c r="O244" s="24">
        <f t="shared" si="276"/>
        <v>1E-3</v>
      </c>
      <c r="P244" s="24">
        <f t="shared" si="276"/>
        <v>2E-3</v>
      </c>
      <c r="Q244" s="24">
        <f t="shared" si="276"/>
        <v>1.2E-2</v>
      </c>
    </row>
    <row r="245" spans="1:17" x14ac:dyDescent="0.2">
      <c r="A245" s="1125"/>
      <c r="B245" s="24">
        <v>8</v>
      </c>
      <c r="C245" s="24">
        <f t="shared" ref="C245:H245" si="277">I86</f>
        <v>50</v>
      </c>
      <c r="D245" s="24">
        <f t="shared" si="277"/>
        <v>0.2</v>
      </c>
      <c r="E245" s="24">
        <f t="shared" si="277"/>
        <v>9.9999999999999995E-7</v>
      </c>
      <c r="F245" s="24" t="str">
        <f t="shared" si="277"/>
        <v>-</v>
      </c>
      <c r="G245" s="24">
        <f t="shared" si="277"/>
        <v>9.9999500000000005E-2</v>
      </c>
      <c r="H245" s="24">
        <f t="shared" si="277"/>
        <v>0.85000000000000009</v>
      </c>
      <c r="J245" s="1125"/>
      <c r="K245" s="24">
        <v>8</v>
      </c>
      <c r="L245" s="24">
        <f t="shared" ref="L245:Q245" si="278">I92</f>
        <v>1</v>
      </c>
      <c r="M245" s="24">
        <f t="shared" si="278"/>
        <v>5.0000000000000001E-3</v>
      </c>
      <c r="N245" s="24">
        <f t="shared" si="278"/>
        <v>1E-3</v>
      </c>
      <c r="O245" s="24" t="str">
        <f t="shared" si="278"/>
        <v>-</v>
      </c>
      <c r="P245" s="24">
        <f t="shared" si="278"/>
        <v>2E-3</v>
      </c>
      <c r="Q245" s="24">
        <f t="shared" si="278"/>
        <v>1.2E-2</v>
      </c>
    </row>
    <row r="246" spans="1:17" x14ac:dyDescent="0.2">
      <c r="A246" s="1125"/>
      <c r="B246" s="24">
        <v>9</v>
      </c>
      <c r="C246" s="24">
        <f t="shared" ref="C246:H246" si="279">P86</f>
        <v>50</v>
      </c>
      <c r="D246" s="24">
        <f t="shared" si="279"/>
        <v>0.2</v>
      </c>
      <c r="E246" s="24">
        <f t="shared" si="279"/>
        <v>9.9999999999999995E-7</v>
      </c>
      <c r="F246" s="24" t="str">
        <f t="shared" si="279"/>
        <v>-</v>
      </c>
      <c r="G246" s="24">
        <f t="shared" si="279"/>
        <v>9.9999500000000005E-2</v>
      </c>
      <c r="H246" s="24">
        <f t="shared" si="279"/>
        <v>0.85000000000000009</v>
      </c>
      <c r="J246" s="1125"/>
      <c r="K246" s="24">
        <v>9</v>
      </c>
      <c r="L246" s="24">
        <f t="shared" ref="L246:Q246" si="280">P92</f>
        <v>0.5</v>
      </c>
      <c r="M246" s="24">
        <f t="shared" si="280"/>
        <v>4.0000000000000001E-3</v>
      </c>
      <c r="N246" s="24">
        <f t="shared" si="280"/>
        <v>9.9999999999999995E-7</v>
      </c>
      <c r="O246" s="24" t="str">
        <f t="shared" si="280"/>
        <v>-</v>
      </c>
      <c r="P246" s="24">
        <f t="shared" si="280"/>
        <v>1.9995E-3</v>
      </c>
      <c r="Q246" s="24">
        <f t="shared" si="280"/>
        <v>6.0000000000000001E-3</v>
      </c>
    </row>
    <row r="247" spans="1:17" x14ac:dyDescent="0.2">
      <c r="A247" s="1125"/>
      <c r="B247" s="24">
        <v>10</v>
      </c>
      <c r="C247" s="24">
        <f>B117</f>
        <v>50</v>
      </c>
      <c r="D247" s="24">
        <f t="shared" ref="D247:F247" si="281">C117</f>
        <v>0.4</v>
      </c>
      <c r="E247" s="24" t="str">
        <f t="shared" si="281"/>
        <v>-</v>
      </c>
      <c r="F247" s="24" t="str">
        <f t="shared" si="281"/>
        <v>-</v>
      </c>
      <c r="G247" s="24">
        <f>F117</f>
        <v>0</v>
      </c>
      <c r="H247" s="24" t="str">
        <f>G117</f>
        <v>-</v>
      </c>
      <c r="J247" s="1125"/>
      <c r="K247" s="24">
        <v>10</v>
      </c>
      <c r="L247" s="24">
        <f t="shared" ref="L247:Q247" si="282">B123</f>
        <v>1</v>
      </c>
      <c r="M247" s="24">
        <f t="shared" si="282"/>
        <v>-8.0000000000000002E-3</v>
      </c>
      <c r="N247" s="24" t="str">
        <f t="shared" si="282"/>
        <v>-</v>
      </c>
      <c r="O247" s="24" t="str">
        <f t="shared" si="282"/>
        <v>-</v>
      </c>
      <c r="P247" s="24">
        <f t="shared" si="282"/>
        <v>0</v>
      </c>
      <c r="Q247" s="24" t="str">
        <f t="shared" si="282"/>
        <v>-</v>
      </c>
    </row>
    <row r="248" spans="1:17" x14ac:dyDescent="0.2">
      <c r="A248" s="1125"/>
      <c r="B248" s="24">
        <v>11</v>
      </c>
      <c r="C248" s="24">
        <f>I117</f>
        <v>50</v>
      </c>
      <c r="D248" s="24">
        <f t="shared" ref="D248:F248" si="283">J117</f>
        <v>9.9999999999999995E-7</v>
      </c>
      <c r="E248" s="24" t="str">
        <f t="shared" si="283"/>
        <v>-</v>
      </c>
      <c r="F248" s="24" t="str">
        <f t="shared" si="283"/>
        <v>-</v>
      </c>
      <c r="G248" s="24">
        <f>M117</f>
        <v>0</v>
      </c>
      <c r="H248" s="24" t="str">
        <f>N117</f>
        <v>-</v>
      </c>
      <c r="J248" s="1125"/>
      <c r="K248" s="24">
        <v>11</v>
      </c>
      <c r="L248" s="24">
        <f t="shared" ref="L248:Q248" si="284">I123</f>
        <v>1</v>
      </c>
      <c r="M248" s="24">
        <f t="shared" si="284"/>
        <v>9.9999999999999995E-7</v>
      </c>
      <c r="N248" s="24" t="str">
        <f t="shared" si="284"/>
        <v>-</v>
      </c>
      <c r="O248" s="24" t="str">
        <f t="shared" si="284"/>
        <v>-</v>
      </c>
      <c r="P248" s="24">
        <f t="shared" si="284"/>
        <v>0</v>
      </c>
      <c r="Q248" s="24" t="str">
        <f t="shared" si="284"/>
        <v>-</v>
      </c>
    </row>
    <row r="249" spans="1:17" x14ac:dyDescent="0.2">
      <c r="A249" s="1125"/>
      <c r="B249" s="24">
        <v>12</v>
      </c>
      <c r="C249" s="24">
        <f>P117</f>
        <v>50</v>
      </c>
      <c r="D249" s="24">
        <f t="shared" ref="D249:F249" si="285">Q117</f>
        <v>9.9999999999999995E-7</v>
      </c>
      <c r="E249" s="24" t="str">
        <f t="shared" si="285"/>
        <v>-</v>
      </c>
      <c r="F249" s="24" t="str">
        <f t="shared" si="285"/>
        <v>-</v>
      </c>
      <c r="G249" s="24">
        <f>T117</f>
        <v>0</v>
      </c>
      <c r="H249" s="24" t="str">
        <f>U117</f>
        <v>-</v>
      </c>
      <c r="J249" s="1125"/>
      <c r="K249" s="24">
        <v>12</v>
      </c>
      <c r="L249" s="24">
        <f t="shared" ref="L249:Q249" si="286">P123</f>
        <v>1</v>
      </c>
      <c r="M249" s="24">
        <f t="shared" si="286"/>
        <v>9.9999999999999995E-7</v>
      </c>
      <c r="N249" s="24" t="str">
        <f t="shared" si="286"/>
        <v>-</v>
      </c>
      <c r="O249" s="24" t="str">
        <f t="shared" si="286"/>
        <v>-</v>
      </c>
      <c r="P249" s="24">
        <f t="shared" si="286"/>
        <v>0</v>
      </c>
      <c r="Q249" s="24" t="str">
        <f t="shared" si="286"/>
        <v>-</v>
      </c>
    </row>
    <row r="250" spans="1:17" s="762" customFormat="1" x14ac:dyDescent="0.2">
      <c r="A250" s="785"/>
      <c r="B250" s="143"/>
      <c r="C250" s="143"/>
      <c r="D250" s="143"/>
      <c r="E250" s="143"/>
      <c r="F250" s="788"/>
      <c r="G250" s="143"/>
      <c r="H250" s="143"/>
      <c r="J250" s="785"/>
      <c r="K250" s="143"/>
      <c r="L250" s="143"/>
      <c r="M250" s="143"/>
      <c r="N250" s="143"/>
      <c r="O250" s="788"/>
      <c r="P250" s="143"/>
      <c r="Q250" s="143"/>
    </row>
    <row r="251" spans="1:17" x14ac:dyDescent="0.2">
      <c r="A251" s="1125" t="s">
        <v>56</v>
      </c>
      <c r="B251" s="24">
        <v>1</v>
      </c>
      <c r="C251" s="24">
        <f t="shared" ref="C251:H251" si="287">B25</f>
        <v>100</v>
      </c>
      <c r="D251" s="24">
        <f t="shared" si="287"/>
        <v>0.4</v>
      </c>
      <c r="E251" s="24">
        <f t="shared" si="287"/>
        <v>9.9999999999999995E-7</v>
      </c>
      <c r="F251" s="24">
        <f t="shared" si="287"/>
        <v>9.9999999999999995E-7</v>
      </c>
      <c r="G251" s="24">
        <f t="shared" si="287"/>
        <v>0.19999950000000002</v>
      </c>
      <c r="H251" s="24">
        <f t="shared" si="287"/>
        <v>1.7000000000000002</v>
      </c>
      <c r="J251" s="1125" t="s">
        <v>56</v>
      </c>
      <c r="K251" s="24">
        <v>1</v>
      </c>
      <c r="L251" s="24">
        <f t="shared" ref="L251:Q251" si="288">B31</f>
        <v>2</v>
      </c>
      <c r="M251" s="24">
        <f t="shared" si="288"/>
        <v>1.2E-2</v>
      </c>
      <c r="N251" s="24">
        <f t="shared" si="288"/>
        <v>7.0000000000000001E-3</v>
      </c>
      <c r="O251" s="24">
        <f t="shared" si="288"/>
        <v>9.9999999999999995E-7</v>
      </c>
      <c r="P251" s="24">
        <f t="shared" si="288"/>
        <v>5.9995000000000005E-3</v>
      </c>
      <c r="Q251" s="24">
        <f t="shared" si="288"/>
        <v>2.4E-2</v>
      </c>
    </row>
    <row r="252" spans="1:17" x14ac:dyDescent="0.2">
      <c r="A252" s="1125"/>
      <c r="B252" s="24">
        <v>2</v>
      </c>
      <c r="C252" s="24">
        <f t="shared" ref="C252:H252" si="289">I25</f>
        <v>100</v>
      </c>
      <c r="D252" s="24">
        <f t="shared" si="289"/>
        <v>0.2</v>
      </c>
      <c r="E252" s="24">
        <f t="shared" si="289"/>
        <v>0.3</v>
      </c>
      <c r="F252" s="24">
        <f t="shared" si="289"/>
        <v>9.9999999999999995E-7</v>
      </c>
      <c r="G252" s="24">
        <f t="shared" si="289"/>
        <v>0.14999950000000001</v>
      </c>
      <c r="H252" s="24">
        <f t="shared" si="289"/>
        <v>1.7000000000000002</v>
      </c>
      <c r="J252" s="1125"/>
      <c r="K252" s="24">
        <v>2</v>
      </c>
      <c r="L252" s="24">
        <f t="shared" ref="L252:Q252" si="290">I31</f>
        <v>2</v>
      </c>
      <c r="M252" s="24">
        <f t="shared" si="290"/>
        <v>0.113</v>
      </c>
      <c r="N252" s="24">
        <f t="shared" si="290"/>
        <v>9.9999999999999995E-7</v>
      </c>
      <c r="O252" s="24">
        <f t="shared" si="290"/>
        <v>9.9999999999999995E-7</v>
      </c>
      <c r="P252" s="24">
        <f t="shared" si="290"/>
        <v>5.6499500000000001E-2</v>
      </c>
      <c r="Q252" s="24">
        <f t="shared" si="290"/>
        <v>2.4E-2</v>
      </c>
    </row>
    <row r="253" spans="1:17" x14ac:dyDescent="0.2">
      <c r="A253" s="1125"/>
      <c r="B253" s="24">
        <v>3</v>
      </c>
      <c r="C253" s="24">
        <f t="shared" ref="C253:H253" si="291">P25</f>
        <v>50</v>
      </c>
      <c r="D253" s="24">
        <f t="shared" si="291"/>
        <v>0.1</v>
      </c>
      <c r="E253" s="24">
        <f t="shared" si="291"/>
        <v>1.1000000000000001</v>
      </c>
      <c r="F253" s="24">
        <f t="shared" si="291"/>
        <v>0.6</v>
      </c>
      <c r="G253" s="24">
        <f t="shared" si="291"/>
        <v>0.5</v>
      </c>
      <c r="H253" s="24">
        <f t="shared" si="291"/>
        <v>0.85000000000000009</v>
      </c>
      <c r="J253" s="1125"/>
      <c r="K253" s="24">
        <v>3</v>
      </c>
      <c r="L253" s="24">
        <f t="shared" ref="L253:Q253" si="292">P31</f>
        <v>2</v>
      </c>
      <c r="M253" s="24">
        <f t="shared" si="292"/>
        <v>-8.0000000000000002E-3</v>
      </c>
      <c r="N253" s="24">
        <f t="shared" si="292"/>
        <v>1.4E-2</v>
      </c>
      <c r="O253" s="24">
        <f t="shared" si="292"/>
        <v>9.9999999999999995E-7</v>
      </c>
      <c r="P253" s="24">
        <f t="shared" si="292"/>
        <v>1.0999999999999999E-2</v>
      </c>
      <c r="Q253" s="24">
        <f t="shared" si="292"/>
        <v>2.4E-2</v>
      </c>
    </row>
    <row r="254" spans="1:17" x14ac:dyDescent="0.2">
      <c r="A254" s="1125"/>
      <c r="B254" s="24">
        <v>4</v>
      </c>
      <c r="C254" s="24">
        <f t="shared" ref="C254:H254" si="293">B56</f>
        <v>100</v>
      </c>
      <c r="D254" s="24">
        <f t="shared" si="293"/>
        <v>0.8</v>
      </c>
      <c r="E254" s="24">
        <f t="shared" si="293"/>
        <v>1.4</v>
      </c>
      <c r="F254" s="24">
        <f t="shared" si="293"/>
        <v>1</v>
      </c>
      <c r="G254" s="24">
        <f t="shared" si="293"/>
        <v>0.29999999999999993</v>
      </c>
      <c r="H254" s="24">
        <f t="shared" si="293"/>
        <v>1.7000000000000002</v>
      </c>
      <c r="J254" s="1125"/>
      <c r="K254" s="24">
        <v>4</v>
      </c>
      <c r="L254" s="24">
        <f t="shared" ref="L254:Q254" si="294">B62</f>
        <v>2</v>
      </c>
      <c r="M254" s="24">
        <f t="shared" si="294"/>
        <v>-6.0000000000000001E-3</v>
      </c>
      <c r="N254" s="24">
        <f t="shared" si="294"/>
        <v>-7.0000000000000001E-3</v>
      </c>
      <c r="O254" s="24">
        <f t="shared" si="294"/>
        <v>9.9999999999999995E-7</v>
      </c>
      <c r="P254" s="24">
        <f t="shared" si="294"/>
        <v>3.5005000000000001E-3</v>
      </c>
      <c r="Q254" s="24">
        <f t="shared" si="294"/>
        <v>2.4E-2</v>
      </c>
    </row>
    <row r="255" spans="1:17" x14ac:dyDescent="0.2">
      <c r="A255" s="1125"/>
      <c r="B255" s="24">
        <v>5</v>
      </c>
      <c r="C255" s="24">
        <f t="shared" ref="C255:H255" si="295">I56</f>
        <v>100</v>
      </c>
      <c r="D255" s="24">
        <f t="shared" si="295"/>
        <v>0.4</v>
      </c>
      <c r="E255" s="24">
        <f t="shared" si="295"/>
        <v>1.5</v>
      </c>
      <c r="F255" s="24">
        <f t="shared" si="295"/>
        <v>0.8</v>
      </c>
      <c r="G255" s="24">
        <f t="shared" si="295"/>
        <v>0.55000000000000004</v>
      </c>
      <c r="H255" s="24">
        <f t="shared" si="295"/>
        <v>1.7000000000000002</v>
      </c>
      <c r="J255" s="1125"/>
      <c r="K255" s="24">
        <v>5</v>
      </c>
      <c r="L255" s="24">
        <f t="shared" ref="L255:Q255" si="296">I62</f>
        <v>2</v>
      </c>
      <c r="M255" s="24">
        <f t="shared" si="296"/>
        <v>-4.0000000000000001E-3</v>
      </c>
      <c r="N255" s="24">
        <f t="shared" si="296"/>
        <v>0.113</v>
      </c>
      <c r="O255" s="24">
        <f t="shared" si="296"/>
        <v>9.9999999999999995E-7</v>
      </c>
      <c r="P255" s="24">
        <f t="shared" si="296"/>
        <v>5.8500000000000003E-2</v>
      </c>
      <c r="Q255" s="24">
        <f t="shared" si="296"/>
        <v>2.4E-2</v>
      </c>
    </row>
    <row r="256" spans="1:17" x14ac:dyDescent="0.2">
      <c r="A256" s="1125"/>
      <c r="B256" s="24">
        <v>6</v>
      </c>
      <c r="C256" s="24">
        <f t="shared" ref="C256:H256" si="297">P56</f>
        <v>100</v>
      </c>
      <c r="D256" s="24">
        <f t="shared" si="297"/>
        <v>0.6</v>
      </c>
      <c r="E256" s="24">
        <f t="shared" si="297"/>
        <v>0.6</v>
      </c>
      <c r="F256" s="24">
        <f t="shared" si="297"/>
        <v>0.7</v>
      </c>
      <c r="G256" s="24">
        <f t="shared" si="297"/>
        <v>4.9999999999999989E-2</v>
      </c>
      <c r="H256" s="24">
        <f t="shared" si="297"/>
        <v>1.7000000000000002</v>
      </c>
      <c r="J256" s="1125"/>
      <c r="K256" s="24">
        <v>6</v>
      </c>
      <c r="L256" s="24">
        <f t="shared" ref="L256:Q256" si="298">P62</f>
        <v>2</v>
      </c>
      <c r="M256" s="24">
        <f t="shared" si="298"/>
        <v>-7.0000000000000001E-3</v>
      </c>
      <c r="N256" s="24">
        <f t="shared" si="298"/>
        <v>9.9999999999999995E-7</v>
      </c>
      <c r="O256" s="24">
        <f t="shared" si="298"/>
        <v>9.9999999999999995E-7</v>
      </c>
      <c r="P256" s="24">
        <f t="shared" si="298"/>
        <v>3.5005000000000001E-3</v>
      </c>
      <c r="Q256" s="24">
        <f t="shared" si="298"/>
        <v>2.4E-2</v>
      </c>
    </row>
    <row r="257" spans="1:20" x14ac:dyDescent="0.2">
      <c r="A257" s="1125"/>
      <c r="B257" s="24">
        <v>7</v>
      </c>
      <c r="C257" s="24">
        <f t="shared" ref="C257:H257" si="299">B87</f>
        <v>100</v>
      </c>
      <c r="D257" s="24">
        <f t="shared" si="299"/>
        <v>0.9</v>
      </c>
      <c r="E257" s="24">
        <f t="shared" si="299"/>
        <v>9.9999999999999995E-7</v>
      </c>
      <c r="F257" s="24">
        <f t="shared" si="299"/>
        <v>1.4</v>
      </c>
      <c r="G257" s="24">
        <f t="shared" si="299"/>
        <v>0.6999995</v>
      </c>
      <c r="H257" s="24">
        <f t="shared" si="299"/>
        <v>1.7000000000000002</v>
      </c>
      <c r="J257" s="1125"/>
      <c r="K257" s="24">
        <v>7</v>
      </c>
      <c r="L257" s="24">
        <f t="shared" ref="L257:Q257" si="300">B93</f>
        <v>2</v>
      </c>
      <c r="M257" s="24">
        <f t="shared" si="300"/>
        <v>-1E-3</v>
      </c>
      <c r="N257" s="24">
        <f t="shared" si="300"/>
        <v>9.9999999999999995E-7</v>
      </c>
      <c r="O257" s="24">
        <f t="shared" si="300"/>
        <v>9.9999999999999995E-7</v>
      </c>
      <c r="P257" s="24">
        <f t="shared" si="300"/>
        <v>5.0049999999999997E-4</v>
      </c>
      <c r="Q257" s="24">
        <f t="shared" si="300"/>
        <v>2.4E-2</v>
      </c>
    </row>
    <row r="258" spans="1:20" x14ac:dyDescent="0.2">
      <c r="A258" s="1125"/>
      <c r="B258" s="24">
        <v>8</v>
      </c>
      <c r="C258" s="24">
        <f t="shared" ref="C258:H258" si="301">I87</f>
        <v>100</v>
      </c>
      <c r="D258" s="24">
        <f t="shared" si="301"/>
        <v>0.4</v>
      </c>
      <c r="E258" s="24">
        <f t="shared" si="301"/>
        <v>9.9999999999999995E-7</v>
      </c>
      <c r="F258" s="24" t="str">
        <f t="shared" si="301"/>
        <v>-</v>
      </c>
      <c r="G258" s="24">
        <f t="shared" si="301"/>
        <v>0.19999950000000002</v>
      </c>
      <c r="H258" s="24">
        <f t="shared" si="301"/>
        <v>1.7000000000000002</v>
      </c>
      <c r="J258" s="1125"/>
      <c r="K258" s="24">
        <v>8</v>
      </c>
      <c r="L258" s="24">
        <f t="shared" ref="L258:Q258" si="302">I93</f>
        <v>2</v>
      </c>
      <c r="M258" s="24">
        <f t="shared" si="302"/>
        <v>5.0000000000000001E-3</v>
      </c>
      <c r="N258" s="24">
        <f t="shared" si="302"/>
        <v>-1E-3</v>
      </c>
      <c r="O258" s="24" t="str">
        <f t="shared" si="302"/>
        <v>-</v>
      </c>
      <c r="P258" s="24">
        <f t="shared" si="302"/>
        <v>3.0000000000000001E-3</v>
      </c>
      <c r="Q258" s="24">
        <f t="shared" si="302"/>
        <v>2.4E-2</v>
      </c>
    </row>
    <row r="259" spans="1:20" x14ac:dyDescent="0.2">
      <c r="A259" s="1125"/>
      <c r="B259" s="24">
        <v>9</v>
      </c>
      <c r="C259" s="24">
        <f t="shared" ref="C259:H259" si="303">P87</f>
        <v>100</v>
      </c>
      <c r="D259" s="24">
        <f t="shared" si="303"/>
        <v>0.6</v>
      </c>
      <c r="E259" s="24">
        <f t="shared" si="303"/>
        <v>9.9999999999999995E-7</v>
      </c>
      <c r="F259" s="24" t="str">
        <f t="shared" si="303"/>
        <v>-</v>
      </c>
      <c r="G259" s="24">
        <f t="shared" si="303"/>
        <v>0.29999949999999997</v>
      </c>
      <c r="H259" s="24">
        <f t="shared" si="303"/>
        <v>1.7000000000000002</v>
      </c>
      <c r="J259" s="1125"/>
      <c r="K259" s="24">
        <v>9</v>
      </c>
      <c r="L259" s="24">
        <f t="shared" ref="L259:Q259" si="304">P93</f>
        <v>1</v>
      </c>
      <c r="M259" s="24">
        <f t="shared" si="304"/>
        <v>9.9999999999999995E-7</v>
      </c>
      <c r="N259" s="24">
        <f t="shared" si="304"/>
        <v>-1E-3</v>
      </c>
      <c r="O259" s="24" t="str">
        <f t="shared" si="304"/>
        <v>-</v>
      </c>
      <c r="P259" s="24">
        <f t="shared" si="304"/>
        <v>5.0049999999999997E-4</v>
      </c>
      <c r="Q259" s="24">
        <f t="shared" si="304"/>
        <v>1.2E-2</v>
      </c>
    </row>
    <row r="260" spans="1:20" x14ac:dyDescent="0.2">
      <c r="A260" s="1125"/>
      <c r="B260" s="24">
        <v>10</v>
      </c>
      <c r="C260" s="24">
        <f>B118</f>
        <v>100</v>
      </c>
      <c r="D260" s="24">
        <f t="shared" ref="D260:F260" si="305">C118</f>
        <v>1.4</v>
      </c>
      <c r="E260" s="24" t="str">
        <f t="shared" si="305"/>
        <v>-</v>
      </c>
      <c r="F260" s="24" t="str">
        <f t="shared" si="305"/>
        <v>-</v>
      </c>
      <c r="G260" s="24">
        <f>F118</f>
        <v>0</v>
      </c>
      <c r="H260" s="24" t="str">
        <f>G118</f>
        <v>-</v>
      </c>
      <c r="J260" s="1125"/>
      <c r="K260" s="24">
        <v>10</v>
      </c>
      <c r="L260" s="24">
        <f t="shared" ref="L260:Q260" si="306">B124</f>
        <v>2</v>
      </c>
      <c r="M260" s="24">
        <f t="shared" si="306"/>
        <v>-7.0000000000000001E-3</v>
      </c>
      <c r="N260" s="24" t="str">
        <f t="shared" si="306"/>
        <v>-</v>
      </c>
      <c r="O260" s="24" t="str">
        <f t="shared" si="306"/>
        <v>-</v>
      </c>
      <c r="P260" s="24">
        <f t="shared" si="306"/>
        <v>0</v>
      </c>
      <c r="Q260" s="24" t="str">
        <f t="shared" si="306"/>
        <v>-</v>
      </c>
    </row>
    <row r="261" spans="1:20" x14ac:dyDescent="0.2">
      <c r="A261" s="1125"/>
      <c r="B261" s="24">
        <v>11</v>
      </c>
      <c r="C261" s="24">
        <f>I118</f>
        <v>100</v>
      </c>
      <c r="D261" s="24">
        <f t="shared" ref="D261:F261" si="307">J118</f>
        <v>9.9999999999999995E-7</v>
      </c>
      <c r="E261" s="24" t="str">
        <f t="shared" si="307"/>
        <v>-</v>
      </c>
      <c r="F261" s="24" t="str">
        <f t="shared" si="307"/>
        <v>-</v>
      </c>
      <c r="G261" s="24">
        <f>M118</f>
        <v>0</v>
      </c>
      <c r="H261" s="24" t="str">
        <f>N118</f>
        <v>-</v>
      </c>
      <c r="J261" s="1125"/>
      <c r="K261" s="24">
        <v>11</v>
      </c>
      <c r="L261" s="24">
        <f t="shared" ref="L261:Q261" si="308">I124</f>
        <v>2</v>
      </c>
      <c r="M261" s="24">
        <f t="shared" si="308"/>
        <v>9.9999999999999995E-7</v>
      </c>
      <c r="N261" s="24" t="str">
        <f t="shared" si="308"/>
        <v>-</v>
      </c>
      <c r="O261" s="24" t="str">
        <f t="shared" si="308"/>
        <v>-</v>
      </c>
      <c r="P261" s="24">
        <f t="shared" si="308"/>
        <v>0</v>
      </c>
      <c r="Q261" s="24" t="str">
        <f t="shared" si="308"/>
        <v>-</v>
      </c>
    </row>
    <row r="262" spans="1:20" x14ac:dyDescent="0.2">
      <c r="A262" s="1125"/>
      <c r="B262" s="24">
        <v>12</v>
      </c>
      <c r="C262" s="24">
        <f>P118</f>
        <v>100</v>
      </c>
      <c r="D262" s="24">
        <f t="shared" ref="D262:F262" si="309">Q118</f>
        <v>9.9999999999999995E-7</v>
      </c>
      <c r="E262" s="24" t="str">
        <f t="shared" si="309"/>
        <v>-</v>
      </c>
      <c r="F262" s="24" t="str">
        <f t="shared" si="309"/>
        <v>-</v>
      </c>
      <c r="G262" s="24">
        <f>T118</f>
        <v>0</v>
      </c>
      <c r="H262" s="24" t="str">
        <f>U118</f>
        <v>-</v>
      </c>
      <c r="J262" s="1125"/>
      <c r="K262" s="24">
        <v>12</v>
      </c>
      <c r="L262" s="24">
        <f t="shared" ref="L262:Q262" si="310">P124</f>
        <v>2</v>
      </c>
      <c r="M262" s="24">
        <f t="shared" si="310"/>
        <v>9.9999999999999995E-7</v>
      </c>
      <c r="N262" s="24" t="str">
        <f t="shared" si="310"/>
        <v>-</v>
      </c>
      <c r="O262" s="24" t="str">
        <f t="shared" si="310"/>
        <v>-</v>
      </c>
      <c r="P262" s="24">
        <f t="shared" si="310"/>
        <v>0</v>
      </c>
      <c r="Q262" s="24" t="str">
        <f t="shared" si="310"/>
        <v>-</v>
      </c>
    </row>
    <row r="263" spans="1:20" s="762" customFormat="1" x14ac:dyDescent="0.2">
      <c r="A263" s="686"/>
      <c r="B263" s="412"/>
      <c r="C263" s="412"/>
      <c r="D263" s="412"/>
      <c r="E263" s="412"/>
      <c r="F263" s="412"/>
      <c r="G263" s="412"/>
      <c r="I263" s="686"/>
      <c r="J263" s="412"/>
      <c r="K263" s="412"/>
      <c r="L263" s="412"/>
      <c r="M263" s="412"/>
      <c r="N263" s="412"/>
      <c r="O263" s="412"/>
    </row>
    <row r="264" spans="1:20" ht="13.5" thickBot="1" x14ac:dyDescent="0.25">
      <c r="A264" s="783"/>
      <c r="B264" s="775"/>
      <c r="C264" s="775"/>
    </row>
    <row r="265" spans="1:20" ht="43.5" customHeight="1" x14ac:dyDescent="0.2">
      <c r="A265" s="792">
        <f>A311</f>
        <v>1</v>
      </c>
      <c r="B265" s="1147" t="str">
        <f>A298</f>
        <v>Electrical Safety Analyzer, Merek : Fluke, Model : ESA 620, SN : 1837056</v>
      </c>
      <c r="C265" s="1147"/>
      <c r="D265" s="1147"/>
      <c r="E265" s="1147"/>
      <c r="F265" s="1147"/>
      <c r="H265" s="793" t="s">
        <v>385</v>
      </c>
      <c r="I265" s="793" t="s">
        <v>386</v>
      </c>
      <c r="J265" s="793" t="s">
        <v>387</v>
      </c>
      <c r="K265" s="793" t="s">
        <v>388</v>
      </c>
      <c r="L265" s="794"/>
      <c r="M265" s="1148" t="s">
        <v>105</v>
      </c>
      <c r="N265" s="1151" t="s">
        <v>286</v>
      </c>
      <c r="O265" s="1112" t="s">
        <v>287</v>
      </c>
      <c r="Q265" s="795"/>
      <c r="R265" s="795"/>
      <c r="S265" s="795"/>
      <c r="T265" s="795"/>
    </row>
    <row r="266" spans="1:20" ht="14.45" customHeight="1" x14ac:dyDescent="0.2">
      <c r="A266" s="1115" t="s">
        <v>262</v>
      </c>
      <c r="B266" s="1115"/>
      <c r="C266" s="1115"/>
      <c r="D266" s="1115"/>
      <c r="E266" s="1115"/>
      <c r="F266" s="1115"/>
      <c r="H266" s="379">
        <f>_xlfn.FORECAST.LINEAR(M268,B269:B274,A269:A274)</f>
        <v>-3.8167938931299439E-4</v>
      </c>
      <c r="I266" s="379" t="e">
        <f>_xlfn.FORECAST.LINEAR(M269,B285:B288,A285:A288)</f>
        <v>#VALUE!</v>
      </c>
      <c r="J266" s="379">
        <f>_xlfn.FORECAST.LINEAR(M270,B291:B294,A291:A294)</f>
        <v>-1.0835118741853655E-3</v>
      </c>
      <c r="K266" s="379">
        <f>_xlfn.FORECAST.LINEAR(M271,B277:B282,A277:A282)</f>
        <v>5.0245261951705276</v>
      </c>
      <c r="L266" s="762"/>
      <c r="M266" s="1149"/>
      <c r="N266" s="1152"/>
      <c r="O266" s="1113"/>
      <c r="Q266" s="795"/>
      <c r="R266" s="795"/>
      <c r="S266" s="795"/>
      <c r="T266" s="795"/>
    </row>
    <row r="267" spans="1:20" ht="13.5" thickBot="1" x14ac:dyDescent="0.25">
      <c r="A267" s="1116" t="str">
        <f>B4</f>
        <v>Setting VAC</v>
      </c>
      <c r="B267" s="1116"/>
      <c r="C267" s="1116"/>
      <c r="D267" s="1116"/>
      <c r="E267" s="1116" t="s">
        <v>264</v>
      </c>
      <c r="F267" s="1116" t="s">
        <v>195</v>
      </c>
      <c r="H267" s="795"/>
      <c r="I267" s="795"/>
      <c r="J267" s="795"/>
      <c r="K267" s="795"/>
      <c r="L267" s="762"/>
      <c r="M267" s="1150"/>
      <c r="N267" s="1153"/>
      <c r="O267" s="1114"/>
      <c r="Q267" s="795"/>
      <c r="R267" s="795"/>
      <c r="S267" s="795"/>
      <c r="T267" s="795"/>
    </row>
    <row r="268" spans="1:20" ht="33.75" x14ac:dyDescent="0.2">
      <c r="A268" s="797" t="s">
        <v>265</v>
      </c>
      <c r="B268" s="798">
        <f>VLOOKUP(B265,A299:L310,9,FALSE)</f>
        <v>2022</v>
      </c>
      <c r="C268" s="798">
        <f>VLOOKUP(B265,A299:L310,10,FALSE)</f>
        <v>2020</v>
      </c>
      <c r="D268" s="798">
        <f>VLOOKUP(B265,A299:L310,11,FALSE)</f>
        <v>2019</v>
      </c>
      <c r="E268" s="1116"/>
      <c r="F268" s="1116"/>
      <c r="H268" s="793" t="s">
        <v>389</v>
      </c>
      <c r="I268" s="793" t="s">
        <v>390</v>
      </c>
      <c r="J268" s="795"/>
      <c r="K268" s="795"/>
      <c r="L268" s="762"/>
      <c r="M268" s="341">
        <f>ID!E18</f>
        <v>210</v>
      </c>
      <c r="N268" s="342">
        <f>M268+H266</f>
        <v>209.99961832061069</v>
      </c>
      <c r="O268" s="343">
        <f>IF(M268="-","-",IF(M268=M268,N268,))</f>
        <v>209.99961832061069</v>
      </c>
      <c r="Q268" s="795"/>
      <c r="R268" s="795"/>
      <c r="S268" s="795"/>
      <c r="T268" s="795"/>
    </row>
    <row r="269" spans="1:20" ht="15.75" x14ac:dyDescent="0.2">
      <c r="A269" s="141">
        <f>VLOOKUP($A265,$B131:$H142,2,(FALSE))</f>
        <v>150</v>
      </c>
      <c r="B269" s="146">
        <f>VLOOKUP($A$265,$B$131:$H$142,3,(FALSE))</f>
        <v>0.35</v>
      </c>
      <c r="C269" s="146">
        <f>VLOOKUP($A$265,$B$131:$H$142,4,(FALSE))</f>
        <v>0.31</v>
      </c>
      <c r="D269" s="146">
        <f>VLOOKUP($A$265,$B$131:$H$142,5,(FALSE))</f>
        <v>0.76</v>
      </c>
      <c r="E269" s="146">
        <f>VLOOKUP($A$265,$B$131:$H$142,6,(FALSE))</f>
        <v>0.22500000000000001</v>
      </c>
      <c r="F269" s="146">
        <f>VLOOKUP($A$265,$B$131:$H$142,7,(FALSE))</f>
        <v>1.8</v>
      </c>
      <c r="H269" s="799">
        <f>_xlfn.FORECAST.LINEAR(M272,B277:B282,A277:A282)</f>
        <v>5.2751738940694679</v>
      </c>
      <c r="I269" s="799">
        <f>_xlfn.FORECAST.LINEAR(N268,F269:F274,A269:A274)</f>
        <v>2.5199954198473287</v>
      </c>
      <c r="J269" s="800"/>
      <c r="K269" s="800"/>
      <c r="L269" s="762"/>
      <c r="M269" s="344" t="str">
        <f>ID!I27</f>
        <v>OL</v>
      </c>
      <c r="N269" s="801" t="e">
        <f>M269+I266</f>
        <v>#VALUE!</v>
      </c>
      <c r="O269" s="345" t="str">
        <f>IF(M269="OL","OL",IF(M269="NC","NC",IF(M269="OR","OR",IFERROR(N269,"-"))))</f>
        <v>OL</v>
      </c>
      <c r="R269" s="802"/>
    </row>
    <row r="270" spans="1:20" ht="13.5" thickBot="1" x14ac:dyDescent="0.25">
      <c r="A270" s="142">
        <f>VLOOKUP($A$265,$B$144:$H$155,2,(FALSE))</f>
        <v>180</v>
      </c>
      <c r="B270" s="803">
        <f>VLOOKUP($A$265,$B$144:$H$155,3,(FALSE))</f>
        <v>-0.1</v>
      </c>
      <c r="C270" s="803">
        <f>VLOOKUP($A$265,$B$144:$H$155,4,(FALSE))</f>
        <v>0.1</v>
      </c>
      <c r="D270" s="803">
        <f>VLOOKUP($A$265,$B$144:$H$155,5,(FALSE))</f>
        <v>-0.03</v>
      </c>
      <c r="E270" s="803">
        <f>VLOOKUP($A$265,$B$144:$H$155,6,(FALSE))</f>
        <v>0.1</v>
      </c>
      <c r="F270" s="803">
        <f>VLOOKUP($A$265,$B$144:$H$155,7,(FALSE))</f>
        <v>2.16</v>
      </c>
      <c r="H270" s="795"/>
      <c r="I270" s="795"/>
      <c r="J270" s="795"/>
      <c r="K270" s="795"/>
      <c r="L270" s="762"/>
      <c r="M270" s="344">
        <f>ID!I28</f>
        <v>0.01</v>
      </c>
      <c r="N270" s="801">
        <f>M270+J266</f>
        <v>8.9164881258146349E-3</v>
      </c>
      <c r="O270" s="345">
        <f>IF(M270="OL","OL",IF(M270="NC","NC",IF(M270="OR","OR",IFERROR(N270,"-"))))</f>
        <v>8.9164881258146349E-3</v>
      </c>
    </row>
    <row r="271" spans="1:20" x14ac:dyDescent="0.2">
      <c r="A271" s="142">
        <f>VLOOKUP($A$265,$B$157:$H$168,2,(FALSE))</f>
        <v>200</v>
      </c>
      <c r="B271" s="803">
        <f>VLOOKUP($A$265,$B$157:$H$168,3,(FALSE))</f>
        <v>-0.17</v>
      </c>
      <c r="C271" s="803">
        <f>VLOOKUP($A$265,$B$157:$H$168,4,(FALSE))</f>
        <v>-0.04</v>
      </c>
      <c r="D271" s="803">
        <f>VLOOKUP($A$265,$B$157:$H$168,5,(FALSE))</f>
        <v>-0.16</v>
      </c>
      <c r="E271" s="803">
        <f>VLOOKUP($A$265,$B$157:$H$168,6,(FALSE))</f>
        <v>6.5000000000000002E-2</v>
      </c>
      <c r="F271" s="803">
        <f>VLOOKUP($A$265,$B$157:$H$168,7,(FALSE))</f>
        <v>2.4</v>
      </c>
      <c r="H271" s="1117" t="s">
        <v>231</v>
      </c>
      <c r="I271" s="1118"/>
      <c r="J271" s="1119"/>
      <c r="K271" s="795"/>
      <c r="L271" s="804" t="s">
        <v>288</v>
      </c>
      <c r="M271" s="541">
        <f>ID!I29</f>
        <v>19</v>
      </c>
      <c r="N271" s="542">
        <f>M271+K266</f>
        <v>24.024526195170527</v>
      </c>
      <c r="O271" s="543">
        <f>IFERROR(N271,"-")</f>
        <v>24.024526195170527</v>
      </c>
    </row>
    <row r="272" spans="1:20" ht="16.5" thickBot="1" x14ac:dyDescent="0.25">
      <c r="A272" s="143">
        <f>VLOOKUP($A$265,$B$170:$H$181,2,(FALSE))</f>
        <v>220</v>
      </c>
      <c r="B272" s="805">
        <f>VLOOKUP($A$265,$B$170:$H$181,3,(FALSE))</f>
        <v>-0.27</v>
      </c>
      <c r="C272" s="805">
        <f>VLOOKUP($A$265,$B$170:$H$181,4,(FALSE))</f>
        <v>-0.28000000000000003</v>
      </c>
      <c r="D272" s="805">
        <f>VLOOKUP($A$265,$B$170:$H$181,5,(FALSE))</f>
        <v>-0.18</v>
      </c>
      <c r="E272" s="805">
        <f>VLOOKUP($A$265,$B$170:$H$181,6,(FALSE))</f>
        <v>5.0000000000000017E-2</v>
      </c>
      <c r="F272" s="805">
        <f>VLOOKUP($A$265,$B$170:$H$181,7,(FALSE))</f>
        <v>2.64</v>
      </c>
      <c r="H272" s="806" t="str">
        <f>TEXT(O268,"0.0")</f>
        <v>210.0</v>
      </c>
      <c r="I272" s="141" t="str">
        <f>TEXT(I269,"0.0")</f>
        <v>2.5</v>
      </c>
      <c r="J272" s="807" t="s">
        <v>391</v>
      </c>
      <c r="K272" s="795"/>
      <c r="L272" s="804" t="s">
        <v>289</v>
      </c>
      <c r="M272" s="544">
        <f>ID!U27</f>
        <v>10</v>
      </c>
      <c r="N272" s="545">
        <f>M272+H269</f>
        <v>15.275173894069468</v>
      </c>
      <c r="O272" s="808">
        <f>IFERROR(N272,"-")</f>
        <v>15.275173894069468</v>
      </c>
    </row>
    <row r="273" spans="1:16" ht="15.75" customHeight="1" thickBot="1" x14ac:dyDescent="0.25">
      <c r="A273" s="143">
        <f>VLOOKUP($A$265,$B$183:$H$194,2,(FALSE))</f>
        <v>230</v>
      </c>
      <c r="B273" s="805">
        <f>VLOOKUP($A$265,$B$183:$H$194,3,(FALSE))</f>
        <v>0.64</v>
      </c>
      <c r="C273" s="805">
        <f>VLOOKUP($A$265,$B$183:$H$194,4,(FALSE))</f>
        <v>-0.2</v>
      </c>
      <c r="D273" s="805">
        <f>VLOOKUP($A$265,$B$183:$H$194,5,(FALSE))</f>
        <v>-0.26</v>
      </c>
      <c r="E273" s="805">
        <f>VLOOKUP($A$265,$B$183:$H$194,6,(FALSE))</f>
        <v>0.45</v>
      </c>
      <c r="F273" s="805">
        <f>VLOOKUP($A$265,$B$183:$H$194,7,(FALSE))</f>
        <v>2.7600000000000002</v>
      </c>
      <c r="H273" s="809" t="s">
        <v>239</v>
      </c>
      <c r="I273" s="625" t="s">
        <v>240</v>
      </c>
      <c r="J273" s="626" t="s">
        <v>241</v>
      </c>
      <c r="K273" s="800"/>
      <c r="L273" s="762"/>
      <c r="M273" s="346"/>
      <c r="N273" s="347"/>
      <c r="O273" s="348"/>
    </row>
    <row r="274" spans="1:16" ht="18.75" x14ac:dyDescent="0.2">
      <c r="A274" s="143">
        <f>VLOOKUP($A$265,$B$196:$H$207,2,(FALSE))</f>
        <v>250</v>
      </c>
      <c r="B274" s="805">
        <f>VLOOKUP($A$265,$B$196:$H$207,3,(FALSE))</f>
        <v>-0.36</v>
      </c>
      <c r="C274" s="805">
        <f>VLOOKUP($A$265,$B$196:$H$207,4,(FALSE))</f>
        <v>-0.32</v>
      </c>
      <c r="D274" s="805">
        <f>VLOOKUP($A$265,$B$196:$H$207,5,(FALSE))</f>
        <v>9.9999999999999995E-7</v>
      </c>
      <c r="E274" s="805">
        <f>VLOOKUP($A$265,$B$196:$H$207,6,(FALSE))</f>
        <v>0.18000049999999998</v>
      </c>
      <c r="F274" s="805">
        <f>VLOOKUP($A$265,$B$196:$H$207,7,(FALSE))</f>
        <v>3</v>
      </c>
      <c r="H274" s="1120" t="str">
        <f>H273&amp;H272&amp;I273&amp;I272&amp;J273&amp;J272</f>
        <v>( 210.0 ± 2.5 ) Volt</v>
      </c>
      <c r="I274" s="1121"/>
      <c r="J274" s="1122"/>
      <c r="K274" s="795"/>
      <c r="L274" s="762"/>
      <c r="M274" s="346"/>
      <c r="N274" s="347"/>
      <c r="O274" s="348"/>
    </row>
    <row r="275" spans="1:16" ht="12.95" customHeight="1" x14ac:dyDescent="0.2">
      <c r="A275" s="1108" t="str">
        <f>B12</f>
        <v>Current Leakage</v>
      </c>
      <c r="B275" s="1108"/>
      <c r="C275" s="1108"/>
      <c r="D275" s="1108"/>
      <c r="E275" s="796" t="s">
        <v>264</v>
      </c>
      <c r="F275" s="796" t="s">
        <v>195</v>
      </c>
      <c r="H275" s="795"/>
      <c r="I275" s="795"/>
      <c r="J275" s="795"/>
      <c r="K275" s="795"/>
      <c r="L275" s="762"/>
      <c r="M275" s="346"/>
      <c r="N275" s="347"/>
      <c r="O275" s="348"/>
    </row>
    <row r="276" spans="1:16" ht="15" x14ac:dyDescent="0.2">
      <c r="A276" s="797" t="s">
        <v>267</v>
      </c>
      <c r="B276" s="798">
        <f>B268</f>
        <v>2022</v>
      </c>
      <c r="C276" s="798">
        <f>C268</f>
        <v>2020</v>
      </c>
      <c r="D276" s="798">
        <f>D268</f>
        <v>2019</v>
      </c>
      <c r="E276" s="796"/>
      <c r="F276" s="796"/>
      <c r="H276" s="795"/>
      <c r="I276" s="795"/>
      <c r="J276" s="795"/>
      <c r="K276" s="795"/>
      <c r="L276" s="762"/>
      <c r="M276" s="346"/>
      <c r="N276" s="347"/>
      <c r="O276" s="348"/>
    </row>
    <row r="277" spans="1:16" ht="15.75" customHeight="1" x14ac:dyDescent="0.2">
      <c r="A277" s="143">
        <f>VLOOKUP($A$265,$K$131:$Q$142,2,(FALSE))</f>
        <v>9.9999999999999995E-7</v>
      </c>
      <c r="B277" s="805">
        <f>VLOOKUP($A$265,$K$131:$Q$142,3,(FALSE))</f>
        <v>9.9999999999999995E-7</v>
      </c>
      <c r="C277" s="805">
        <f>VLOOKUP($A$265,$K$131:$Q$142,4,(FALSE))</f>
        <v>9.9999999999999995E-7</v>
      </c>
      <c r="D277" s="805">
        <f>VLOOKUP($A$265,$K$131:$Q$142,5,(FALSE))</f>
        <v>9.9999999999999995E-7</v>
      </c>
      <c r="E277" s="805">
        <f>VLOOKUP($A$265,$K$131:$Q$142,6,(FALSE))</f>
        <v>0</v>
      </c>
      <c r="F277" s="805">
        <f>VLOOKUP($A$265,$K$131:$Q$142,7,(FALSE))</f>
        <v>5.8999999999999999E-9</v>
      </c>
      <c r="H277" s="1123"/>
      <c r="I277" s="1123"/>
      <c r="J277" s="1123"/>
      <c r="K277" s="1123"/>
      <c r="L277" s="762"/>
      <c r="M277" s="810"/>
      <c r="N277" s="810"/>
      <c r="O277" s="811"/>
    </row>
    <row r="278" spans="1:16" x14ac:dyDescent="0.2">
      <c r="A278" s="143">
        <f>VLOOKUP($A$265,$K$144:$Q$155,2,(FALSE))</f>
        <v>50</v>
      </c>
      <c r="B278" s="805">
        <f>VLOOKUP($A$265,$K$144:$Q$155,3,(FALSE))</f>
        <v>4</v>
      </c>
      <c r="C278" s="805">
        <f>VLOOKUP($A$265,$K$144:$Q$155,4,(FALSE))</f>
        <v>0.1</v>
      </c>
      <c r="D278" s="805">
        <f>VLOOKUP($A$265,$K$144:$Q$155,5,(FALSE))</f>
        <v>-0.06</v>
      </c>
      <c r="E278" s="805">
        <f>VLOOKUP($A$265,$K$144:$Q$155,6,(FALSE))</f>
        <v>2.0299999999999998</v>
      </c>
      <c r="F278" s="805">
        <f>VLOOKUP($A$265,$K$144:$Q$155,7,(FALSE))</f>
        <v>0.29499999999999998</v>
      </c>
      <c r="H278" s="795"/>
      <c r="I278" s="795"/>
      <c r="J278" s="795"/>
      <c r="K278" s="795"/>
      <c r="L278" s="762"/>
      <c r="M278" s="349"/>
      <c r="N278" s="349"/>
      <c r="O278" s="348"/>
    </row>
    <row r="279" spans="1:16" x14ac:dyDescent="0.2">
      <c r="A279" s="143">
        <f>VLOOKUP($A$265,$K$157:$Q$168,2,(FALSE))</f>
        <v>100</v>
      </c>
      <c r="B279" s="805">
        <f>VLOOKUP($A$265,$K$157:$Q$168,3,(FALSE))</f>
        <v>3.6</v>
      </c>
      <c r="C279" s="805">
        <f>VLOOKUP($A$265,$K$157:$Q$168,4,(FALSE))</f>
        <v>0.2</v>
      </c>
      <c r="D279" s="805">
        <f>VLOOKUP($A$265,$K$157:$Q$168,5,(FALSE))</f>
        <v>-0.06</v>
      </c>
      <c r="E279" s="805">
        <f>VLOOKUP($A$265,$K$157:$Q$168,6,(FALSE))</f>
        <v>1.83</v>
      </c>
      <c r="F279" s="805">
        <f>VLOOKUP($A$265,$K$157:$Q$168,7,(FALSE))</f>
        <v>0.59</v>
      </c>
      <c r="H279" s="795"/>
      <c r="I279" s="795"/>
      <c r="J279" s="795"/>
      <c r="K279" s="795"/>
      <c r="L279" s="762"/>
      <c r="M279" s="762"/>
      <c r="N279" s="762"/>
      <c r="O279" s="812"/>
    </row>
    <row r="280" spans="1:16" x14ac:dyDescent="0.2">
      <c r="A280" s="143">
        <f>VLOOKUP($A$265,$K$170:$Q$181,2,(FALSE))</f>
        <v>200</v>
      </c>
      <c r="B280" s="805">
        <f>VLOOKUP($A$265,$K$170:$Q$181,3,(FALSE))</f>
        <v>2.2000000000000002</v>
      </c>
      <c r="C280" s="805">
        <f>VLOOKUP($A$265,$K$170:$Q$181,4,(FALSE))</f>
        <v>0.4</v>
      </c>
      <c r="D280" s="805">
        <f>VLOOKUP($A$265,$K$170:$Q$181,5,(FALSE))</f>
        <v>9.9999999999999995E-7</v>
      </c>
      <c r="E280" s="805">
        <f>VLOOKUP($A$265,$K$170:$Q$181,6,(FALSE))</f>
        <v>1.0999995</v>
      </c>
      <c r="F280" s="805">
        <f>VLOOKUP($A$265,$K$170:$Q$181,7,(FALSE))</f>
        <v>1.18</v>
      </c>
      <c r="H280" s="795"/>
      <c r="I280" s="795"/>
      <c r="J280" s="795"/>
      <c r="K280" s="795"/>
      <c r="L280" s="762"/>
      <c r="M280" s="762"/>
      <c r="N280" s="762"/>
      <c r="O280" s="812"/>
    </row>
    <row r="281" spans="1:16" ht="16.5" customHeight="1" x14ac:dyDescent="0.2">
      <c r="A281" s="143">
        <f>VLOOKUP($A$265,$K$183:$Q$194,2,(FALSE))</f>
        <v>500</v>
      </c>
      <c r="B281" s="805">
        <f>VLOOKUP($A$265,$K$183:$Q$194,3,(FALSE))</f>
        <v>-2</v>
      </c>
      <c r="C281" s="805">
        <f>VLOOKUP($A$265,$K$183:$Q$194,4,(FALSE))</f>
        <v>3.8</v>
      </c>
      <c r="D281" s="805">
        <f>VLOOKUP($A$265,$K$183:$Q$194,5,(FALSE))</f>
        <v>-0.9</v>
      </c>
      <c r="E281" s="805">
        <f>VLOOKUP($A$265,$K$183:$Q$194,6,(FALSE))</f>
        <v>2.9</v>
      </c>
      <c r="F281" s="805">
        <f>VLOOKUP($A$265,$K$183:$Q$194,7,(FALSE))</f>
        <v>2.9499999999999997</v>
      </c>
      <c r="H281" s="1123"/>
      <c r="I281" s="1123"/>
      <c r="J281" s="1123"/>
      <c r="K281" s="1123"/>
      <c r="L281" s="762"/>
      <c r="M281" s="813"/>
      <c r="N281" s="813"/>
      <c r="O281" s="814"/>
      <c r="P281" s="815"/>
    </row>
    <row r="282" spans="1:16" x14ac:dyDescent="0.2">
      <c r="A282" s="143">
        <f>VLOOKUP($A$265,$K$196:$Q$207,2,(FALSE))</f>
        <v>1000</v>
      </c>
      <c r="B282" s="805">
        <f>VLOOKUP($A$265,$K$196:$Q$207,3,(FALSE))</f>
        <v>-26</v>
      </c>
      <c r="C282" s="805">
        <f>VLOOKUP($A$265,$K$196:$Q$207,4,(FALSE))</f>
        <v>9.9999999999999995E-7</v>
      </c>
      <c r="D282" s="805">
        <f>VLOOKUP($A$265,$K$196:$Q$207,5,(FALSE))</f>
        <v>9.9999999999999995E-7</v>
      </c>
      <c r="E282" s="805">
        <f>VLOOKUP($A$265,$K$196:$Q$207,6,(FALSE))</f>
        <v>13.000000500000001</v>
      </c>
      <c r="F282" s="805">
        <f>VLOOKUP($A$265,$K$196:$Q$207,7,(FALSE))</f>
        <v>5.8999999999999995</v>
      </c>
      <c r="H282" s="795"/>
      <c r="I282" s="795"/>
      <c r="J282" s="795"/>
      <c r="K282" s="795"/>
      <c r="L282" s="762"/>
      <c r="M282" s="795"/>
      <c r="N282" s="795"/>
      <c r="O282" s="816"/>
      <c r="P282" s="817"/>
    </row>
    <row r="283" spans="1:16" x14ac:dyDescent="0.2">
      <c r="A283" s="1108" t="str">
        <f>B20</f>
        <v>Main-PE</v>
      </c>
      <c r="B283" s="1108"/>
      <c r="C283" s="1108"/>
      <c r="D283" s="1108"/>
      <c r="E283" s="796" t="s">
        <v>264</v>
      </c>
      <c r="F283" s="796" t="s">
        <v>195</v>
      </c>
      <c r="H283" s="795"/>
      <c r="I283" s="795"/>
      <c r="J283" s="795"/>
      <c r="K283" s="795"/>
      <c r="L283" s="762"/>
      <c r="M283" s="795"/>
      <c r="N283" s="795"/>
      <c r="O283" s="816"/>
      <c r="P283" s="817"/>
    </row>
    <row r="284" spans="1:16" ht="15" x14ac:dyDescent="0.2">
      <c r="A284" s="797" t="s">
        <v>383</v>
      </c>
      <c r="B284" s="798">
        <f>B276</f>
        <v>2022</v>
      </c>
      <c r="C284" s="798">
        <f>C276</f>
        <v>2020</v>
      </c>
      <c r="D284" s="798">
        <f>D276</f>
        <v>2019</v>
      </c>
      <c r="E284" s="796"/>
      <c r="F284" s="796"/>
      <c r="H284" s="795"/>
      <c r="I284" s="795"/>
      <c r="J284" s="795"/>
      <c r="K284" s="795"/>
      <c r="L284" s="762"/>
      <c r="M284" s="795"/>
      <c r="N284" s="795"/>
      <c r="O284" s="816"/>
      <c r="P284" s="817"/>
    </row>
    <row r="285" spans="1:16" ht="15.75" customHeight="1" x14ac:dyDescent="0.2">
      <c r="A285" s="143">
        <f>VLOOKUP($A$265,$B$212:$H$223,2,(FALSE))</f>
        <v>10</v>
      </c>
      <c r="B285" s="805">
        <f>VLOOKUP($A$265,$B$212:$H$223,3,(FALSE))</f>
        <v>9.9999999999999995E-7</v>
      </c>
      <c r="C285" s="805">
        <f>VLOOKUP($A$265,$B$212:$H$223,4,(FALSE))</f>
        <v>-1E-3</v>
      </c>
      <c r="D285" s="805">
        <f>VLOOKUP($A$265,$B$212:$H$223,5,(FALSE))</f>
        <v>9.9999999999999995E-7</v>
      </c>
      <c r="E285" s="805">
        <f>VLOOKUP($A$265,$B$212:$H$223,6,(FALSE))</f>
        <v>5.0049999999999997E-4</v>
      </c>
      <c r="F285" s="805">
        <f>VLOOKUP($A$265,$B$212:$H$223,7,(FALSE))</f>
        <v>0.17</v>
      </c>
      <c r="H285" s="1124"/>
      <c r="I285" s="1124"/>
      <c r="J285" s="1124"/>
      <c r="K285" s="1124"/>
      <c r="L285" s="762"/>
      <c r="M285" s="762"/>
      <c r="N285" s="762"/>
      <c r="O285" s="812"/>
    </row>
    <row r="286" spans="1:16" x14ac:dyDescent="0.2">
      <c r="A286" s="143">
        <f>VLOOKUP($A$265,$B$225:$H$236,2,(FALSE))</f>
        <v>20</v>
      </c>
      <c r="B286" s="805">
        <f>VLOOKUP($A$265,$B$225:$H$236,3,(FALSE))</f>
        <v>0.1</v>
      </c>
      <c r="C286" s="805">
        <f>VLOOKUP($A$265,$B$225:$H$236,4,(FALSE))</f>
        <v>9.9999999999999995E-7</v>
      </c>
      <c r="D286" s="805">
        <f>VLOOKUP($A$265,$B$225:$H$236,5,(FALSE))</f>
        <v>9.9999999999999995E-7</v>
      </c>
      <c r="E286" s="805">
        <f>VLOOKUP($A$265,$B$225:$H$236,6,(FALSE))</f>
        <v>4.9999500000000002E-2</v>
      </c>
      <c r="F286" s="805">
        <f>VLOOKUP($A$265,$B$225:$H$236,7,(FALSE))</f>
        <v>0.34</v>
      </c>
      <c r="H286" s="818"/>
      <c r="I286" s="818"/>
      <c r="J286" s="818"/>
      <c r="K286" s="818"/>
      <c r="L286" s="762"/>
      <c r="M286" s="762"/>
      <c r="N286" s="762"/>
      <c r="O286" s="812"/>
    </row>
    <row r="287" spans="1:16" x14ac:dyDescent="0.2">
      <c r="A287" s="143">
        <f>VLOOKUP($A$265,$B$238:$H$249,2,(FALSE))</f>
        <v>50</v>
      </c>
      <c r="B287" s="805">
        <f>VLOOKUP($A$265,$B$238:$H$249,3,(FALSE))</f>
        <v>0.3</v>
      </c>
      <c r="C287" s="805">
        <f>VLOOKUP($A$265,$B$238:$H$249,4,(FALSE))</f>
        <v>9.9999999999999995E-7</v>
      </c>
      <c r="D287" s="805">
        <f>VLOOKUP($A$265,$B$238:$H$249,5,(FALSE))</f>
        <v>9.9999999999999995E-7</v>
      </c>
      <c r="E287" s="805">
        <f>VLOOKUP($A$265,$B$238:$H$249,6,(FALSE))</f>
        <v>0.14999950000000001</v>
      </c>
      <c r="F287" s="805">
        <f>VLOOKUP($A$265,$B$238:$H$249,7,(FALSE))</f>
        <v>0.85000000000000009</v>
      </c>
      <c r="H287" s="818"/>
      <c r="I287" s="818"/>
      <c r="J287" s="818"/>
      <c r="K287" s="818"/>
      <c r="L287" s="762"/>
      <c r="M287" s="762"/>
      <c r="N287" s="762"/>
      <c r="O287" s="812"/>
    </row>
    <row r="288" spans="1:16" x14ac:dyDescent="0.2">
      <c r="A288" s="143">
        <f>VLOOKUP($A$265,$B$251:$H$262,2,(FALSE))</f>
        <v>100</v>
      </c>
      <c r="B288" s="805">
        <f>VLOOKUP($A$265,$B$251:$H$262,3,(FALSE))</f>
        <v>0.4</v>
      </c>
      <c r="C288" s="805">
        <f>VLOOKUP($A$265,$B$251:$H$262,4,(FALSE))</f>
        <v>9.9999999999999995E-7</v>
      </c>
      <c r="D288" s="805">
        <f>VLOOKUP($A$265,$B$251:$H$262,5,(FALSE))</f>
        <v>9.9999999999999995E-7</v>
      </c>
      <c r="E288" s="805">
        <f>VLOOKUP($A$265,$B$251:$H$262,6,(FALSE))</f>
        <v>0.19999950000000002</v>
      </c>
      <c r="F288" s="805">
        <f>VLOOKUP($A$265,$B$251:$H$262,7,(FALSE))</f>
        <v>1.7000000000000002</v>
      </c>
      <c r="H288" s="818"/>
      <c r="I288" s="818"/>
      <c r="J288" s="818"/>
      <c r="K288" s="818"/>
      <c r="L288" s="762"/>
      <c r="M288" s="762"/>
      <c r="N288" s="762"/>
      <c r="O288" s="812"/>
    </row>
    <row r="289" spans="1:25" ht="15.75" customHeight="1" x14ac:dyDescent="0.2">
      <c r="A289" s="1108" t="str">
        <f>B26</f>
        <v>Resistance</v>
      </c>
      <c r="B289" s="1108"/>
      <c r="C289" s="1108"/>
      <c r="D289" s="1108"/>
      <c r="E289" s="796" t="s">
        <v>264</v>
      </c>
      <c r="F289" s="796" t="s">
        <v>195</v>
      </c>
      <c r="H289" s="1124"/>
      <c r="I289" s="1124"/>
      <c r="J289" s="1124"/>
      <c r="K289" s="1124"/>
      <c r="L289" s="762"/>
      <c r="M289" s="762"/>
      <c r="N289" s="762"/>
      <c r="O289" s="812"/>
    </row>
    <row r="290" spans="1:25" ht="15" x14ac:dyDescent="0.2">
      <c r="A290" s="797" t="s">
        <v>384</v>
      </c>
      <c r="B290" s="798">
        <f>B284</f>
        <v>2022</v>
      </c>
      <c r="C290" s="798">
        <f>C284</f>
        <v>2020</v>
      </c>
      <c r="D290" s="798">
        <f>D284</f>
        <v>2019</v>
      </c>
      <c r="E290" s="796"/>
      <c r="F290" s="796"/>
      <c r="H290" s="818"/>
      <c r="I290" s="818"/>
      <c r="J290" s="818"/>
      <c r="K290" s="818"/>
      <c r="L290" s="762"/>
      <c r="M290" s="762"/>
      <c r="N290" s="762"/>
      <c r="O290" s="812"/>
    </row>
    <row r="291" spans="1:25" ht="15" x14ac:dyDescent="0.2">
      <c r="A291" s="141">
        <f>VLOOKUP($A$265,$K$212:$Q$223,2,(FALSE))</f>
        <v>9.9999999999999995E-7</v>
      </c>
      <c r="B291" s="146">
        <f>VLOOKUP($A$265,$K$212:$Q$223,3,(FALSE))</f>
        <v>-2E-3</v>
      </c>
      <c r="C291" s="146">
        <f>VLOOKUP($A$265,$K$212:$Q$223,4,(FALSE))</f>
        <v>9.9999999999999995E-7</v>
      </c>
      <c r="D291" s="146">
        <f>VLOOKUP($A$265,$K$212:$Q$223,5,(FALSE))</f>
        <v>9.9999999999999995E-7</v>
      </c>
      <c r="E291" s="146">
        <f>VLOOKUP($A$265,$K$212:$Q$223,6,(FALSE))</f>
        <v>1.0005000000000001E-3</v>
      </c>
      <c r="F291" s="146">
        <f>VLOOKUP($A$265,$K$212:$Q$223,7,(FALSE))</f>
        <v>1.2E-8</v>
      </c>
      <c r="H291" s="818"/>
      <c r="I291" s="818"/>
      <c r="J291" s="818"/>
      <c r="K291" s="818"/>
      <c r="L291" s="762"/>
      <c r="M291" s="762"/>
      <c r="N291" s="762"/>
      <c r="O291" s="812"/>
    </row>
    <row r="292" spans="1:25" ht="15" x14ac:dyDescent="0.2">
      <c r="A292" s="141">
        <f>VLOOKUP($A$265,$K$225:$Q$236,2,(FALSE))</f>
        <v>0.1</v>
      </c>
      <c r="B292" s="146">
        <f>VLOOKUP($A$265,$K$225:$Q$236,3,(FALSE))</f>
        <v>1E-3</v>
      </c>
      <c r="C292" s="146">
        <f>VLOOKUP($A$265,$K$225:$Q$236,4,(FALSE))</f>
        <v>-1E-3</v>
      </c>
      <c r="D292" s="146">
        <f>VLOOKUP($A$265,$K$225:$Q$236,5,(FALSE))</f>
        <v>2E-3</v>
      </c>
      <c r="E292" s="146">
        <f>VLOOKUP($A$265,$K$225:$Q$236,6,(FALSE))</f>
        <v>1.5E-3</v>
      </c>
      <c r="F292" s="146">
        <f>VLOOKUP($A$265,$K$225:$Q$236,7,(FALSE))</f>
        <v>1.2000000000000001E-3</v>
      </c>
      <c r="H292" s="818"/>
      <c r="I292" s="818"/>
      <c r="J292" s="818"/>
      <c r="K292" s="818"/>
      <c r="L292" s="762"/>
      <c r="M292" s="762"/>
      <c r="N292" s="762"/>
      <c r="O292" s="812"/>
    </row>
    <row r="293" spans="1:25" ht="15.75" customHeight="1" x14ac:dyDescent="0.2">
      <c r="A293" s="141">
        <f>VLOOKUP($A$265,$K$238:$Q$249,2,(FALSE))</f>
        <v>1</v>
      </c>
      <c r="B293" s="146">
        <f>VLOOKUP($A$265,$K$238:$Q$249,3,(FALSE))</f>
        <v>4.0000000000000001E-3</v>
      </c>
      <c r="C293" s="146">
        <f>VLOOKUP($A$265,$K$238:$Q$249,4,(FALSE))</f>
        <v>4.0000000000000001E-3</v>
      </c>
      <c r="D293" s="146">
        <f>VLOOKUP($A$265,$K$238:$Q$249,5,(FALSE))</f>
        <v>1.2E-2</v>
      </c>
      <c r="E293" s="146">
        <f>VLOOKUP($A$265,$K$238:$Q$249,6,(FALSE))</f>
        <v>4.0000000000000001E-3</v>
      </c>
      <c r="F293" s="146">
        <f>VLOOKUP($A$265,$K$238:$Q$249,7,(FALSE))</f>
        <v>1.2E-2</v>
      </c>
      <c r="H293" s="1124"/>
      <c r="I293" s="1124"/>
      <c r="J293" s="1124"/>
      <c r="K293" s="1124"/>
      <c r="L293" s="762"/>
      <c r="M293" s="762"/>
      <c r="N293" s="762"/>
      <c r="O293" s="812"/>
    </row>
    <row r="294" spans="1:25" ht="15" x14ac:dyDescent="0.2">
      <c r="A294" s="141">
        <f>VLOOKUP($A$265,$K$251:$Q$262,2,(FALSE))</f>
        <v>2</v>
      </c>
      <c r="B294" s="146">
        <f>VLOOKUP($A$265,$K$251:$Q$262,3,(FALSE))</f>
        <v>1.2E-2</v>
      </c>
      <c r="C294" s="146">
        <f>VLOOKUP($A$265,$K$251:$Q$262,4,(FALSE))</f>
        <v>7.0000000000000001E-3</v>
      </c>
      <c r="D294" s="146">
        <f>VLOOKUP($A$265,$K$251:$Q$262,5,(FALSE))</f>
        <v>9.9999999999999995E-7</v>
      </c>
      <c r="E294" s="146">
        <f>VLOOKUP($A$265,$K$251:$Q$262,6,(FALSE))</f>
        <v>5.9995000000000005E-3</v>
      </c>
      <c r="F294" s="146">
        <f>VLOOKUP($A$265,$K$251:$Q$262,7,(FALSE))</f>
        <v>2.4E-2</v>
      </c>
      <c r="H294" s="818"/>
      <c r="I294" s="818"/>
      <c r="J294" s="818"/>
      <c r="K294" s="818"/>
      <c r="L294" s="762"/>
      <c r="M294" s="762"/>
      <c r="N294" s="762"/>
      <c r="O294" s="812"/>
    </row>
    <row r="297" spans="1:25" ht="13.5" thickBot="1" x14ac:dyDescent="0.25"/>
    <row r="298" spans="1:25" ht="15" x14ac:dyDescent="0.2">
      <c r="A298" s="1328" t="str">
        <f>ID!B56</f>
        <v>Electrical Safety Analyzer, Merek : Fluke, Model : ESA 620, SN : 1837056</v>
      </c>
      <c r="B298" s="1329"/>
      <c r="C298" s="1329"/>
      <c r="D298" s="1329"/>
      <c r="E298" s="1329"/>
      <c r="F298" s="1329"/>
      <c r="G298" s="1329"/>
      <c r="H298" s="1329"/>
      <c r="I298" s="1329"/>
      <c r="J298" s="1329"/>
      <c r="K298" s="1329"/>
      <c r="L298" s="1329"/>
      <c r="N298" s="1109">
        <f>A311</f>
        <v>1</v>
      </c>
      <c r="O298" s="1110"/>
      <c r="P298" s="1110"/>
      <c r="Q298" s="1110"/>
      <c r="R298" s="1110"/>
      <c r="S298" s="1110"/>
      <c r="T298" s="1110"/>
      <c r="U298" s="1110"/>
      <c r="V298" s="1110"/>
      <c r="W298" s="1110"/>
      <c r="X298" s="1110"/>
      <c r="Y298" s="1111"/>
    </row>
    <row r="299" spans="1:25" ht="15" x14ac:dyDescent="0.25">
      <c r="A299" s="819" t="s">
        <v>392</v>
      </c>
      <c r="B299" s="820"/>
      <c r="C299" s="821"/>
      <c r="D299" s="822"/>
      <c r="E299" s="822"/>
      <c r="F299" s="822"/>
      <c r="G299" s="822"/>
      <c r="H299" s="822"/>
      <c r="I299" s="823">
        <f>C5</f>
        <v>2022</v>
      </c>
      <c r="J299" s="633">
        <f>D5</f>
        <v>2020</v>
      </c>
      <c r="K299" s="633">
        <f>E5</f>
        <v>2019</v>
      </c>
      <c r="L299" s="824">
        <v>1</v>
      </c>
      <c r="N299" s="825">
        <v>1</v>
      </c>
      <c r="O299" s="826" t="s">
        <v>88</v>
      </c>
      <c r="P299" s="827"/>
      <c r="Q299" s="827"/>
      <c r="R299" s="827"/>
      <c r="S299" s="827"/>
      <c r="T299" s="827"/>
      <c r="U299" s="827"/>
      <c r="V299" s="827"/>
      <c r="W299" s="827"/>
      <c r="X299" s="827"/>
      <c r="Y299" s="828"/>
    </row>
    <row r="300" spans="1:25" ht="15" x14ac:dyDescent="0.25">
      <c r="A300" s="819" t="s">
        <v>393</v>
      </c>
      <c r="B300" s="820"/>
      <c r="C300" s="821"/>
      <c r="D300" s="822"/>
      <c r="E300" s="822"/>
      <c r="F300" s="822"/>
      <c r="G300" s="822"/>
      <c r="H300" s="822"/>
      <c r="I300" s="823">
        <f>J5</f>
        <v>2022</v>
      </c>
      <c r="J300" s="633">
        <f>K5</f>
        <v>2019</v>
      </c>
      <c r="K300" s="633">
        <f>L5</f>
        <v>2017</v>
      </c>
      <c r="L300" s="824">
        <v>2</v>
      </c>
      <c r="N300" s="825">
        <v>2</v>
      </c>
      <c r="O300" s="826" t="s">
        <v>88</v>
      </c>
      <c r="P300" s="827"/>
      <c r="Q300" s="827"/>
      <c r="R300" s="827"/>
      <c r="S300" s="827"/>
      <c r="T300" s="827"/>
      <c r="U300" s="827"/>
      <c r="V300" s="827"/>
      <c r="W300" s="827"/>
      <c r="X300" s="827"/>
      <c r="Y300" s="828"/>
    </row>
    <row r="301" spans="1:25" ht="15" x14ac:dyDescent="0.25">
      <c r="A301" s="819" t="s">
        <v>291</v>
      </c>
      <c r="B301" s="820"/>
      <c r="C301" s="821"/>
      <c r="D301" s="822"/>
      <c r="E301" s="822"/>
      <c r="F301" s="822"/>
      <c r="G301" s="822"/>
      <c r="H301" s="822"/>
      <c r="I301" s="823">
        <f>Q5</f>
        <v>2022</v>
      </c>
      <c r="J301" s="633">
        <f>R5</f>
        <v>2021</v>
      </c>
      <c r="K301" s="633">
        <f>S5</f>
        <v>2018</v>
      </c>
      <c r="L301" s="824">
        <v>3</v>
      </c>
      <c r="N301" s="825">
        <v>3</v>
      </c>
      <c r="O301" s="826" t="s">
        <v>88</v>
      </c>
      <c r="P301" s="827"/>
      <c r="Q301" s="827"/>
      <c r="R301" s="827"/>
      <c r="S301" s="827"/>
      <c r="T301" s="827"/>
      <c r="U301" s="827"/>
      <c r="V301" s="827"/>
      <c r="W301" s="827"/>
      <c r="X301" s="827"/>
      <c r="Y301" s="828"/>
    </row>
    <row r="302" spans="1:25" ht="15" x14ac:dyDescent="0.25">
      <c r="A302" s="819" t="s">
        <v>394</v>
      </c>
      <c r="B302" s="820"/>
      <c r="C302" s="821"/>
      <c r="D302" s="822"/>
      <c r="E302" s="822"/>
      <c r="F302" s="822"/>
      <c r="G302" s="822"/>
      <c r="H302" s="822"/>
      <c r="I302" s="823">
        <f>C36</f>
        <v>2022</v>
      </c>
      <c r="J302" s="633">
        <f>D36</f>
        <v>2021</v>
      </c>
      <c r="K302" s="633">
        <f>E36</f>
        <v>2019</v>
      </c>
      <c r="L302" s="824">
        <v>4</v>
      </c>
      <c r="N302" s="825">
        <v>4</v>
      </c>
      <c r="O302" s="826" t="s">
        <v>88</v>
      </c>
      <c r="P302" s="827"/>
      <c r="Q302" s="827"/>
      <c r="R302" s="827"/>
      <c r="S302" s="827"/>
      <c r="T302" s="827"/>
      <c r="U302" s="827"/>
      <c r="V302" s="827"/>
      <c r="W302" s="827"/>
      <c r="X302" s="827"/>
      <c r="Y302" s="828"/>
    </row>
    <row r="303" spans="1:25" ht="15" x14ac:dyDescent="0.25">
      <c r="A303" s="819" t="s">
        <v>395</v>
      </c>
      <c r="B303" s="821"/>
      <c r="C303" s="821"/>
      <c r="D303" s="822"/>
      <c r="E303" s="822"/>
      <c r="F303" s="822"/>
      <c r="G303" s="822"/>
      <c r="H303" s="822"/>
      <c r="I303" s="823">
        <f>J36</f>
        <v>2022</v>
      </c>
      <c r="J303" s="633">
        <f>K36</f>
        <v>2021</v>
      </c>
      <c r="K303" s="633">
        <f>L36</f>
        <v>2019</v>
      </c>
      <c r="L303" s="824">
        <v>5</v>
      </c>
      <c r="N303" s="825">
        <v>5</v>
      </c>
      <c r="O303" s="826" t="s">
        <v>88</v>
      </c>
      <c r="P303" s="827"/>
      <c r="Q303" s="827"/>
      <c r="R303" s="827"/>
      <c r="S303" s="827"/>
      <c r="T303" s="827"/>
      <c r="U303" s="827"/>
      <c r="V303" s="827"/>
      <c r="W303" s="827"/>
      <c r="X303" s="827"/>
      <c r="Y303" s="828"/>
    </row>
    <row r="304" spans="1:25" ht="15" x14ac:dyDescent="0.25">
      <c r="A304" s="819" t="s">
        <v>292</v>
      </c>
      <c r="B304" s="821"/>
      <c r="C304" s="821"/>
      <c r="D304" s="822"/>
      <c r="E304" s="822"/>
      <c r="F304" s="822"/>
      <c r="G304" s="822"/>
      <c r="H304" s="822"/>
      <c r="I304" s="823">
        <f>Q36</f>
        <v>2022</v>
      </c>
      <c r="J304" s="633">
        <f>R36</f>
        <v>2019</v>
      </c>
      <c r="K304" s="633">
        <f>S36</f>
        <v>2018</v>
      </c>
      <c r="L304" s="824">
        <v>6</v>
      </c>
      <c r="N304" s="825">
        <v>6</v>
      </c>
      <c r="O304" s="826" t="s">
        <v>88</v>
      </c>
      <c r="P304" s="827"/>
      <c r="Q304" s="827"/>
      <c r="R304" s="827"/>
      <c r="S304" s="827"/>
      <c r="T304" s="827"/>
      <c r="U304" s="827"/>
      <c r="V304" s="827"/>
      <c r="W304" s="827"/>
      <c r="X304" s="827"/>
      <c r="Y304" s="828"/>
    </row>
    <row r="305" spans="1:25" ht="15" x14ac:dyDescent="0.25">
      <c r="A305" s="819" t="s">
        <v>119</v>
      </c>
      <c r="B305" s="821"/>
      <c r="C305" s="821"/>
      <c r="D305" s="822"/>
      <c r="E305" s="822"/>
      <c r="F305" s="822"/>
      <c r="G305" s="822"/>
      <c r="H305" s="822"/>
      <c r="I305" s="823">
        <f>C67</f>
        <v>2022</v>
      </c>
      <c r="J305" s="633">
        <f>D67</f>
        <v>2020</v>
      </c>
      <c r="K305" s="633">
        <f>E67</f>
        <v>2018</v>
      </c>
      <c r="L305" s="824">
        <v>7</v>
      </c>
      <c r="N305" s="825">
        <v>7</v>
      </c>
      <c r="O305" s="826" t="s">
        <v>88</v>
      </c>
      <c r="P305" s="827"/>
      <c r="Q305" s="827"/>
      <c r="R305" s="827"/>
      <c r="S305" s="827"/>
      <c r="T305" s="827"/>
      <c r="U305" s="827"/>
      <c r="V305" s="827"/>
      <c r="W305" s="827"/>
      <c r="X305" s="827"/>
      <c r="Y305" s="828"/>
    </row>
    <row r="306" spans="1:25" ht="15" x14ac:dyDescent="0.25">
      <c r="A306" s="819" t="s">
        <v>293</v>
      </c>
      <c r="B306" s="821"/>
      <c r="C306" s="821"/>
      <c r="D306" s="822"/>
      <c r="E306" s="822"/>
      <c r="F306" s="822"/>
      <c r="G306" s="822"/>
      <c r="H306" s="822"/>
      <c r="I306" s="829">
        <f>J67</f>
        <v>2022</v>
      </c>
      <c r="J306" s="633">
        <f>K67</f>
        <v>2020</v>
      </c>
      <c r="K306" s="633" t="str">
        <f>L67</f>
        <v>-</v>
      </c>
      <c r="L306" s="824">
        <v>8</v>
      </c>
      <c r="N306" s="825">
        <v>8</v>
      </c>
      <c r="O306" s="826" t="s">
        <v>88</v>
      </c>
      <c r="P306" s="827"/>
      <c r="Q306" s="827"/>
      <c r="R306" s="827"/>
      <c r="S306" s="827"/>
      <c r="T306" s="827"/>
      <c r="U306" s="827"/>
      <c r="V306" s="827"/>
      <c r="W306" s="827"/>
      <c r="X306" s="827"/>
      <c r="Y306" s="828"/>
    </row>
    <row r="307" spans="1:25" ht="15" x14ac:dyDescent="0.25">
      <c r="A307" s="819" t="s">
        <v>294</v>
      </c>
      <c r="B307" s="821"/>
      <c r="C307" s="821"/>
      <c r="D307" s="822"/>
      <c r="E307" s="822"/>
      <c r="F307" s="822"/>
      <c r="G307" s="822"/>
      <c r="H307" s="822"/>
      <c r="I307" s="829">
        <f>Q67</f>
        <v>2022</v>
      </c>
      <c r="J307" s="633">
        <f>R67</f>
        <v>2020</v>
      </c>
      <c r="K307" s="633" t="str">
        <f>S67</f>
        <v>-</v>
      </c>
      <c r="L307" s="824">
        <v>9</v>
      </c>
      <c r="N307" s="825">
        <v>9</v>
      </c>
      <c r="O307" s="826" t="s">
        <v>88</v>
      </c>
      <c r="P307" s="827"/>
      <c r="Q307" s="827"/>
      <c r="R307" s="827"/>
      <c r="S307" s="827"/>
      <c r="T307" s="827"/>
      <c r="U307" s="827"/>
      <c r="V307" s="827"/>
      <c r="W307" s="827"/>
      <c r="X307" s="827"/>
      <c r="Y307" s="828"/>
    </row>
    <row r="308" spans="1:25" ht="15" x14ac:dyDescent="0.25">
      <c r="A308" s="819" t="s">
        <v>396</v>
      </c>
      <c r="B308" s="830"/>
      <c r="C308" s="830"/>
      <c r="D308" s="831"/>
      <c r="E308" s="831"/>
      <c r="F308" s="831"/>
      <c r="G308" s="831"/>
      <c r="H308" s="831"/>
      <c r="I308" s="829">
        <f>C98</f>
        <v>2021</v>
      </c>
      <c r="J308" s="633" t="str">
        <f>D98</f>
        <v>-</v>
      </c>
      <c r="K308" s="633" t="str">
        <f>E98</f>
        <v>-</v>
      </c>
      <c r="L308" s="824">
        <v>10</v>
      </c>
      <c r="N308" s="825">
        <v>10</v>
      </c>
      <c r="O308" s="826" t="s">
        <v>88</v>
      </c>
      <c r="P308" s="832"/>
      <c r="Q308" s="832"/>
      <c r="R308" s="832"/>
      <c r="S308" s="832"/>
      <c r="T308" s="832"/>
      <c r="U308" s="832"/>
      <c r="V308" s="832"/>
      <c r="W308" s="832"/>
      <c r="X308" s="832"/>
      <c r="Y308" s="833"/>
    </row>
    <row r="309" spans="1:25" ht="15" x14ac:dyDescent="0.25">
      <c r="A309" s="819" t="s">
        <v>295</v>
      </c>
      <c r="B309" s="830"/>
      <c r="C309" s="830"/>
      <c r="D309" s="831"/>
      <c r="E309" s="831"/>
      <c r="F309" s="831"/>
      <c r="G309" s="831"/>
      <c r="H309" s="831"/>
      <c r="I309" s="829" t="str">
        <f>J98</f>
        <v>-</v>
      </c>
      <c r="J309" s="633" t="str">
        <f>K98</f>
        <v>-</v>
      </c>
      <c r="K309" s="633" t="str">
        <f>L98</f>
        <v>-</v>
      </c>
      <c r="L309" s="824">
        <v>11</v>
      </c>
      <c r="N309" s="825">
        <v>11</v>
      </c>
      <c r="O309" s="826" t="s">
        <v>88</v>
      </c>
      <c r="P309" s="832"/>
      <c r="Q309" s="832"/>
      <c r="R309" s="832"/>
      <c r="S309" s="832"/>
      <c r="T309" s="832"/>
      <c r="U309" s="832"/>
      <c r="V309" s="832"/>
      <c r="W309" s="832"/>
      <c r="X309" s="832"/>
      <c r="Y309" s="833"/>
    </row>
    <row r="310" spans="1:25" ht="15" x14ac:dyDescent="0.25">
      <c r="A310" s="819" t="s">
        <v>296</v>
      </c>
      <c r="B310" s="830"/>
      <c r="C310" s="830"/>
      <c r="D310" s="831"/>
      <c r="E310" s="831"/>
      <c r="F310" s="831"/>
      <c r="G310" s="831"/>
      <c r="H310" s="831"/>
      <c r="I310" s="829" t="str">
        <f>Q98</f>
        <v>-</v>
      </c>
      <c r="J310" s="633" t="str">
        <f>R98</f>
        <v>-</v>
      </c>
      <c r="K310" s="633" t="str">
        <f>S98</f>
        <v>-</v>
      </c>
      <c r="L310" s="824">
        <v>12</v>
      </c>
      <c r="N310" s="825">
        <v>12</v>
      </c>
      <c r="O310" s="826" t="s">
        <v>88</v>
      </c>
      <c r="P310" s="832"/>
      <c r="Q310" s="832"/>
      <c r="R310" s="832"/>
      <c r="S310" s="832"/>
      <c r="T310" s="832"/>
      <c r="U310" s="832"/>
      <c r="V310" s="832"/>
      <c r="W310" s="832"/>
      <c r="X310" s="832"/>
      <c r="Y310" s="833"/>
    </row>
    <row r="311" spans="1:25" ht="13.5" thickBot="1" x14ac:dyDescent="0.25">
      <c r="A311" s="1330">
        <f>VLOOKUP(A298,A299:L310,12,(FALSE))</f>
        <v>1</v>
      </c>
      <c r="B311" s="1331"/>
      <c r="C311" s="1331"/>
      <c r="D311" s="1331"/>
      <c r="E311" s="1331"/>
      <c r="F311" s="1331"/>
      <c r="G311" s="1331"/>
      <c r="H311" s="1331"/>
      <c r="I311" s="1331"/>
      <c r="J311" s="1331"/>
      <c r="K311" s="1331"/>
      <c r="L311" s="1331"/>
      <c r="N311" s="834" t="str">
        <f>VLOOKUP(N298,N299:Y310,2,FALSE)</f>
        <v>Hasil pengukuran keselamatan listrik tertelusur ke Satuan Internasional ( SI ) melalui PT. Kaliman (LK-032-IDN)</v>
      </c>
      <c r="O311" s="835"/>
      <c r="P311" s="835"/>
      <c r="Q311" s="836"/>
      <c r="R311" s="836"/>
      <c r="S311" s="836"/>
      <c r="T311" s="836"/>
      <c r="U311" s="836"/>
      <c r="V311" s="836"/>
      <c r="W311" s="836"/>
      <c r="X311" s="836"/>
      <c r="Y311" s="837"/>
    </row>
  </sheetData>
  <mergeCells count="240">
    <mergeCell ref="J225:J236"/>
    <mergeCell ref="J238:J249"/>
    <mergeCell ref="J251:J262"/>
    <mergeCell ref="B265:F265"/>
    <mergeCell ref="M265:M267"/>
    <mergeCell ref="N265:N267"/>
    <mergeCell ref="E267:E268"/>
    <mergeCell ref="A131:A142"/>
    <mergeCell ref="A144:A155"/>
    <mergeCell ref="A157:A168"/>
    <mergeCell ref="A170:A181"/>
    <mergeCell ref="A183:A194"/>
    <mergeCell ref="A209:A211"/>
    <mergeCell ref="B209:B211"/>
    <mergeCell ref="J209:J211"/>
    <mergeCell ref="A212:A223"/>
    <mergeCell ref="J212:J223"/>
    <mergeCell ref="J131:J142"/>
    <mergeCell ref="J144:J155"/>
    <mergeCell ref="J157:J168"/>
    <mergeCell ref="J170:J181"/>
    <mergeCell ref="J183:J194"/>
    <mergeCell ref="J196:J207"/>
    <mergeCell ref="C209:H209"/>
    <mergeCell ref="T119:T120"/>
    <mergeCell ref="A128:A130"/>
    <mergeCell ref="B128:B130"/>
    <mergeCell ref="J128:J130"/>
    <mergeCell ref="A125:U125"/>
    <mergeCell ref="A126:U126"/>
    <mergeCell ref="C128:H128"/>
    <mergeCell ref="K128:K130"/>
    <mergeCell ref="L128:O128"/>
    <mergeCell ref="C129:F129"/>
    <mergeCell ref="L129:O129"/>
    <mergeCell ref="A33:A62"/>
    <mergeCell ref="H33:H62"/>
    <mergeCell ref="O33:O62"/>
    <mergeCell ref="T35:T36"/>
    <mergeCell ref="T43:T44"/>
    <mergeCell ref="T51:T52"/>
    <mergeCell ref="F26:F27"/>
    <mergeCell ref="M26:M27"/>
    <mergeCell ref="T26:T27"/>
    <mergeCell ref="A2:A31"/>
    <mergeCell ref="H2:H31"/>
    <mergeCell ref="O2:O31"/>
    <mergeCell ref="T4:T5"/>
    <mergeCell ref="F12:F13"/>
    <mergeCell ref="M12:M13"/>
    <mergeCell ref="F4:F5"/>
    <mergeCell ref="B33:G33"/>
    <mergeCell ref="I33:N33"/>
    <mergeCell ref="P33:U33"/>
    <mergeCell ref="B34:G34"/>
    <mergeCell ref="I34:N34"/>
    <mergeCell ref="P34:U34"/>
    <mergeCell ref="B35:E35"/>
    <mergeCell ref="F35:F36"/>
    <mergeCell ref="A64:A93"/>
    <mergeCell ref="T74:T75"/>
    <mergeCell ref="F82:F83"/>
    <mergeCell ref="M82:M83"/>
    <mergeCell ref="T82:T83"/>
    <mergeCell ref="A196:A207"/>
    <mergeCell ref="T88:T89"/>
    <mergeCell ref="F88:F89"/>
    <mergeCell ref="M88:M89"/>
    <mergeCell ref="A95:A124"/>
    <mergeCell ref="H95:H124"/>
    <mergeCell ref="O95:O124"/>
    <mergeCell ref="F97:F98"/>
    <mergeCell ref="T66:T67"/>
    <mergeCell ref="F74:F75"/>
    <mergeCell ref="M74:M75"/>
    <mergeCell ref="F66:F67"/>
    <mergeCell ref="M66:M67"/>
    <mergeCell ref="H64:H93"/>
    <mergeCell ref="O64:O93"/>
    <mergeCell ref="M97:M98"/>
    <mergeCell ref="T97:T98"/>
    <mergeCell ref="F105:F106"/>
    <mergeCell ref="M105:M106"/>
    <mergeCell ref="A1:U1"/>
    <mergeCell ref="B2:G2"/>
    <mergeCell ref="I2:N2"/>
    <mergeCell ref="P2:U2"/>
    <mergeCell ref="B3:G3"/>
    <mergeCell ref="I3:N3"/>
    <mergeCell ref="P3:U3"/>
    <mergeCell ref="B4:E4"/>
    <mergeCell ref="G4:G5"/>
    <mergeCell ref="I4:L4"/>
    <mergeCell ref="N4:N5"/>
    <mergeCell ref="P4:S4"/>
    <mergeCell ref="U4:U5"/>
    <mergeCell ref="M4:M5"/>
    <mergeCell ref="U12:U13"/>
    <mergeCell ref="B20:E20"/>
    <mergeCell ref="G20:G21"/>
    <mergeCell ref="I20:L20"/>
    <mergeCell ref="N20:N21"/>
    <mergeCell ref="P20:S20"/>
    <mergeCell ref="U20:U21"/>
    <mergeCell ref="B26:E26"/>
    <mergeCell ref="G26:G27"/>
    <mergeCell ref="I26:L26"/>
    <mergeCell ref="N26:N27"/>
    <mergeCell ref="P26:S26"/>
    <mergeCell ref="U26:U27"/>
    <mergeCell ref="T12:T13"/>
    <mergeCell ref="F20:F21"/>
    <mergeCell ref="M20:M21"/>
    <mergeCell ref="T20:T21"/>
    <mergeCell ref="B12:E12"/>
    <mergeCell ref="G12:G13"/>
    <mergeCell ref="I12:L12"/>
    <mergeCell ref="N12:N13"/>
    <mergeCell ref="P12:S12"/>
    <mergeCell ref="G35:G36"/>
    <mergeCell ref="I35:L35"/>
    <mergeCell ref="N35:N36"/>
    <mergeCell ref="P35:S35"/>
    <mergeCell ref="U35:U36"/>
    <mergeCell ref="M35:M36"/>
    <mergeCell ref="B43:E43"/>
    <mergeCell ref="F43:F44"/>
    <mergeCell ref="G43:G44"/>
    <mergeCell ref="I43:L43"/>
    <mergeCell ref="N43:N44"/>
    <mergeCell ref="P43:S43"/>
    <mergeCell ref="U43:U44"/>
    <mergeCell ref="B51:E51"/>
    <mergeCell ref="F51:F52"/>
    <mergeCell ref="G51:G52"/>
    <mergeCell ref="I51:L51"/>
    <mergeCell ref="N51:N52"/>
    <mergeCell ref="P51:S51"/>
    <mergeCell ref="U51:U52"/>
    <mergeCell ref="M43:M44"/>
    <mergeCell ref="M51:M52"/>
    <mergeCell ref="I57:L57"/>
    <mergeCell ref="N57:N58"/>
    <mergeCell ref="P57:S57"/>
    <mergeCell ref="U57:U58"/>
    <mergeCell ref="B64:G64"/>
    <mergeCell ref="I64:N64"/>
    <mergeCell ref="P64:U64"/>
    <mergeCell ref="B65:G65"/>
    <mergeCell ref="I65:N65"/>
    <mergeCell ref="P65:U65"/>
    <mergeCell ref="M57:M58"/>
    <mergeCell ref="T57:T58"/>
    <mergeCell ref="B57:E57"/>
    <mergeCell ref="F57:F58"/>
    <mergeCell ref="G57:G58"/>
    <mergeCell ref="B66:E66"/>
    <mergeCell ref="G66:G67"/>
    <mergeCell ref="I66:L66"/>
    <mergeCell ref="N66:N67"/>
    <mergeCell ref="P66:S66"/>
    <mergeCell ref="U66:U67"/>
    <mergeCell ref="B74:E74"/>
    <mergeCell ref="G74:G75"/>
    <mergeCell ref="I74:L74"/>
    <mergeCell ref="N74:N75"/>
    <mergeCell ref="P74:S74"/>
    <mergeCell ref="U74:U75"/>
    <mergeCell ref="B82:E82"/>
    <mergeCell ref="G82:G83"/>
    <mergeCell ref="I82:L82"/>
    <mergeCell ref="N82:N83"/>
    <mergeCell ref="P82:S82"/>
    <mergeCell ref="U82:U83"/>
    <mergeCell ref="B88:E88"/>
    <mergeCell ref="G88:G89"/>
    <mergeCell ref="I88:L88"/>
    <mergeCell ref="N88:N89"/>
    <mergeCell ref="P88:S88"/>
    <mergeCell ref="U88:U89"/>
    <mergeCell ref="B95:G95"/>
    <mergeCell ref="I95:N95"/>
    <mergeCell ref="P95:U95"/>
    <mergeCell ref="B96:G96"/>
    <mergeCell ref="I96:N96"/>
    <mergeCell ref="P96:U96"/>
    <mergeCell ref="B97:E97"/>
    <mergeCell ref="G97:G98"/>
    <mergeCell ref="I97:L97"/>
    <mergeCell ref="N97:N98"/>
    <mergeCell ref="P97:S97"/>
    <mergeCell ref="U97:U98"/>
    <mergeCell ref="U105:U106"/>
    <mergeCell ref="B113:E113"/>
    <mergeCell ref="G113:G114"/>
    <mergeCell ref="I113:L113"/>
    <mergeCell ref="N113:N114"/>
    <mergeCell ref="P113:S113"/>
    <mergeCell ref="U113:U114"/>
    <mergeCell ref="B119:E119"/>
    <mergeCell ref="G119:G120"/>
    <mergeCell ref="I119:L119"/>
    <mergeCell ref="N119:N120"/>
    <mergeCell ref="P119:S119"/>
    <mergeCell ref="U119:U120"/>
    <mergeCell ref="T105:T106"/>
    <mergeCell ref="B105:E105"/>
    <mergeCell ref="G105:G106"/>
    <mergeCell ref="I105:L105"/>
    <mergeCell ref="N105:N106"/>
    <mergeCell ref="P105:S105"/>
    <mergeCell ref="F113:F114"/>
    <mergeCell ref="M113:M114"/>
    <mergeCell ref="T113:T114"/>
    <mergeCell ref="F119:F120"/>
    <mergeCell ref="M119:M120"/>
    <mergeCell ref="K209:K211"/>
    <mergeCell ref="L209:Q209"/>
    <mergeCell ref="C210:F210"/>
    <mergeCell ref="L210:O210"/>
    <mergeCell ref="N298:Y298"/>
    <mergeCell ref="A311:L311"/>
    <mergeCell ref="O265:O267"/>
    <mergeCell ref="A266:F266"/>
    <mergeCell ref="A267:D267"/>
    <mergeCell ref="F267:F268"/>
    <mergeCell ref="H271:J271"/>
    <mergeCell ref="H274:J274"/>
    <mergeCell ref="A275:D275"/>
    <mergeCell ref="H277:K277"/>
    <mergeCell ref="H281:K281"/>
    <mergeCell ref="A283:D283"/>
    <mergeCell ref="H285:K285"/>
    <mergeCell ref="A289:D289"/>
    <mergeCell ref="H289:K289"/>
    <mergeCell ref="H293:K293"/>
    <mergeCell ref="A298:L298"/>
    <mergeCell ref="A225:A236"/>
    <mergeCell ref="A238:A249"/>
    <mergeCell ref="A251:A262"/>
  </mergeCells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R220"/>
  <sheetViews>
    <sheetView topLeftCell="A186" zoomScale="80" zoomScaleNormal="80" workbookViewId="0">
      <selection activeCell="A206" sqref="A206:K206"/>
    </sheetView>
  </sheetViews>
  <sheetFormatPr defaultColWidth="9.140625" defaultRowHeight="12.75" x14ac:dyDescent="0.2"/>
  <cols>
    <col min="1" max="1" width="9.140625" style="16"/>
    <col min="2" max="2" width="12" style="16" customWidth="1"/>
    <col min="3" max="3" width="12.140625" style="16" customWidth="1"/>
    <col min="4" max="4" width="9.140625" style="16"/>
    <col min="5" max="6" width="10.42578125" style="16" customWidth="1"/>
    <col min="7" max="7" width="9.140625" style="16"/>
    <col min="8" max="8" width="11.85546875" style="16" customWidth="1"/>
    <col min="9" max="9" width="12.42578125" style="16" customWidth="1"/>
    <col min="10" max="10" width="11.7109375" style="16" customWidth="1"/>
    <col min="11" max="11" width="8.28515625" style="16" customWidth="1"/>
    <col min="12" max="12" width="8.7109375" style="16" customWidth="1"/>
    <col min="13" max="13" width="10.5703125" style="16" bestFit="1" customWidth="1"/>
    <col min="14" max="14" width="12" style="16" customWidth="1"/>
    <col min="15" max="15" width="11.85546875" style="16" customWidth="1"/>
    <col min="16" max="19" width="9.140625" style="16"/>
    <col min="20" max="20" width="11.7109375" style="16" customWidth="1"/>
    <col min="21" max="21" width="11.85546875" style="16" customWidth="1"/>
    <col min="22" max="16384" width="9.140625" style="16"/>
  </cols>
  <sheetData>
    <row r="1" spans="1:22" ht="16.5" customHeight="1" thickBot="1" x14ac:dyDescent="0.25">
      <c r="A1" s="1212" t="s">
        <v>300</v>
      </c>
      <c r="B1" s="1213"/>
      <c r="C1" s="1213"/>
      <c r="D1" s="1213"/>
      <c r="E1" s="1213"/>
      <c r="F1" s="1213"/>
      <c r="G1" s="1213"/>
      <c r="H1" s="1213"/>
      <c r="I1" s="1213"/>
      <c r="J1" s="1213"/>
      <c r="K1" s="1213"/>
      <c r="L1" s="1213"/>
      <c r="M1" s="1213"/>
      <c r="N1" s="1213"/>
      <c r="O1" s="1213"/>
      <c r="P1" s="1213"/>
      <c r="Q1" s="1214"/>
      <c r="R1" s="350"/>
      <c r="S1" s="350"/>
      <c r="T1" s="350"/>
      <c r="U1" s="350"/>
      <c r="V1" s="350"/>
    </row>
    <row r="2" spans="1:22" ht="15.75" customHeight="1" x14ac:dyDescent="0.2">
      <c r="A2" s="1177" t="s">
        <v>301</v>
      </c>
      <c r="B2" s="1178"/>
      <c r="C2" s="1178"/>
      <c r="D2" s="26" t="s">
        <v>198</v>
      </c>
      <c r="E2" s="1197" t="s">
        <v>302</v>
      </c>
      <c r="G2" s="1177" t="s">
        <v>303</v>
      </c>
      <c r="H2" s="1178"/>
      <c r="I2" s="1178"/>
      <c r="J2" s="26" t="s">
        <v>198</v>
      </c>
      <c r="K2" s="1197" t="s">
        <v>302</v>
      </c>
      <c r="L2" s="27"/>
      <c r="M2" s="1177" t="s">
        <v>304</v>
      </c>
      <c r="N2" s="1178"/>
      <c r="O2" s="1178"/>
      <c r="P2" s="26" t="s">
        <v>198</v>
      </c>
      <c r="Q2" s="1197" t="s">
        <v>302</v>
      </c>
    </row>
    <row r="3" spans="1:22" ht="25.5" x14ac:dyDescent="0.2">
      <c r="A3" s="28" t="s">
        <v>305</v>
      </c>
      <c r="B3" s="1181" t="s">
        <v>197</v>
      </c>
      <c r="C3" s="1181"/>
      <c r="D3" s="218"/>
      <c r="E3" s="1198"/>
      <c r="G3" s="28" t="s">
        <v>305</v>
      </c>
      <c r="H3" s="1181" t="s">
        <v>197</v>
      </c>
      <c r="I3" s="1181"/>
      <c r="J3" s="218"/>
      <c r="K3" s="1198"/>
      <c r="L3" s="27"/>
      <c r="M3" s="28" t="s">
        <v>305</v>
      </c>
      <c r="N3" s="1181" t="s">
        <v>197</v>
      </c>
      <c r="O3" s="1181"/>
      <c r="P3" s="218"/>
      <c r="Q3" s="1198"/>
    </row>
    <row r="4" spans="1:22" ht="15" x14ac:dyDescent="0.2">
      <c r="A4" s="29" t="s">
        <v>306</v>
      </c>
      <c r="B4" s="351">
        <v>2018</v>
      </c>
      <c r="C4" s="352" t="s">
        <v>109</v>
      </c>
      <c r="D4" s="218"/>
      <c r="E4" s="1198"/>
      <c r="G4" s="29" t="s">
        <v>306</v>
      </c>
      <c r="H4" s="351">
        <v>2020</v>
      </c>
      <c r="I4" s="351">
        <v>2017</v>
      </c>
      <c r="J4" s="218"/>
      <c r="K4" s="1198"/>
      <c r="L4" s="27"/>
      <c r="M4" s="29" t="s">
        <v>306</v>
      </c>
      <c r="N4" s="351">
        <v>2019</v>
      </c>
      <c r="O4" s="352" t="s">
        <v>109</v>
      </c>
      <c r="P4" s="218"/>
      <c r="Q4" s="1198"/>
    </row>
    <row r="5" spans="1:22" x14ac:dyDescent="0.2">
      <c r="A5" s="353">
        <v>1.0000000000000001E-5</v>
      </c>
      <c r="B5" s="353">
        <v>1.0000000000000001E-5</v>
      </c>
      <c r="C5" s="355" t="s">
        <v>109</v>
      </c>
      <c r="D5" s="30">
        <f>0.5*(MAX(B5:C5)-MIN(B5:C5))</f>
        <v>0</v>
      </c>
      <c r="E5" s="31">
        <v>0.20039999999999999</v>
      </c>
      <c r="G5" s="353">
        <v>1.0000000000000001E-5</v>
      </c>
      <c r="H5" s="353">
        <v>1.0000000000000001E-5</v>
      </c>
      <c r="I5" s="353">
        <v>1.0000000000000001E-5</v>
      </c>
      <c r="J5" s="30">
        <f>0.5*(MAX(H5:I5)-MIN(H5:I5))</f>
        <v>0</v>
      </c>
      <c r="K5" s="33">
        <v>1.1583E-2</v>
      </c>
      <c r="L5" s="27"/>
      <c r="M5" s="353">
        <v>1.0000000000000001E-5</v>
      </c>
      <c r="N5" s="353">
        <v>1.0000000000000001E-5</v>
      </c>
      <c r="O5" s="357" t="s">
        <v>109</v>
      </c>
      <c r="P5" s="32">
        <f>0.5*(MAX(N5:O5)-MIN(N5:O5))</f>
        <v>0</v>
      </c>
      <c r="Q5" s="358">
        <v>0</v>
      </c>
    </row>
    <row r="6" spans="1:22" x14ac:dyDescent="0.2">
      <c r="A6" s="353">
        <v>10.02</v>
      </c>
      <c r="B6" s="354">
        <v>0.02</v>
      </c>
      <c r="C6" s="359" t="s">
        <v>109</v>
      </c>
      <c r="D6" s="30">
        <f>0.5*(MAX(B6:C6)-MIN(B6:C6))</f>
        <v>0</v>
      </c>
      <c r="E6" s="31">
        <v>0.20039999999999999</v>
      </c>
      <c r="G6" s="353">
        <v>0.99</v>
      </c>
      <c r="H6" s="353">
        <v>1.0000000000000001E-5</v>
      </c>
      <c r="I6" s="356">
        <v>-0.01</v>
      </c>
      <c r="J6" s="30">
        <f>0.5*(MAX(H6:I6)-MIN(H6:I6))</f>
        <v>5.0049999999999999E-3</v>
      </c>
      <c r="K6" s="33">
        <v>1.1583E-2</v>
      </c>
      <c r="L6" s="27"/>
      <c r="M6" s="353">
        <v>1.97</v>
      </c>
      <c r="N6" s="356">
        <v>-0.01</v>
      </c>
      <c r="O6" s="360" t="s">
        <v>109</v>
      </c>
      <c r="P6" s="32">
        <f>0.5*(MAX(N6:O6)-MIN(N6:O6))</f>
        <v>0</v>
      </c>
      <c r="Q6" s="358">
        <v>2.2735999999999999E-2</v>
      </c>
    </row>
    <row r="7" spans="1:22" x14ac:dyDescent="0.2">
      <c r="A7" s="353">
        <v>19.96</v>
      </c>
      <c r="B7" s="354">
        <v>0.06</v>
      </c>
      <c r="C7" s="359" t="s">
        <v>109</v>
      </c>
      <c r="D7" s="30">
        <f>0.5*(MAX(B7:C7)-MIN(B7:C7))</f>
        <v>0</v>
      </c>
      <c r="E7" s="31">
        <v>0.3992</v>
      </c>
      <c r="G7" s="353">
        <v>8.01</v>
      </c>
      <c r="H7" s="356">
        <v>0.02</v>
      </c>
      <c r="I7" s="356">
        <v>0.02</v>
      </c>
      <c r="J7" s="30">
        <f>0.5*(MAX(H7:I7)-MIN(H7:I7))</f>
        <v>0</v>
      </c>
      <c r="K7" s="33">
        <v>9.3716999999999995E-2</v>
      </c>
      <c r="L7" s="27"/>
      <c r="M7" s="353">
        <v>7.97</v>
      </c>
      <c r="N7" s="353">
        <v>1.0000000000000001E-5</v>
      </c>
      <c r="O7" s="360" t="s">
        <v>109</v>
      </c>
      <c r="P7" s="32">
        <f>0.5*(MAX(N7:O7)-MIN(N7:O7))</f>
        <v>0</v>
      </c>
      <c r="Q7" s="358">
        <v>9.2452000000000006E-2</v>
      </c>
    </row>
    <row r="8" spans="1:22" x14ac:dyDescent="0.2">
      <c r="A8" s="353">
        <v>30.1</v>
      </c>
      <c r="B8" s="354">
        <v>0.1</v>
      </c>
      <c r="C8" s="355" t="s">
        <v>109</v>
      </c>
      <c r="D8" s="30">
        <f t="shared" ref="D8:D10" si="0">0.5*(MAX(B8:C8)-MIN(B8:C8))</f>
        <v>0</v>
      </c>
      <c r="E8" s="31">
        <v>0.60199999999999998</v>
      </c>
      <c r="G8" s="353">
        <v>17.95</v>
      </c>
      <c r="H8" s="353">
        <v>1.0000000000000001E-5</v>
      </c>
      <c r="I8" s="356">
        <v>-0.04</v>
      </c>
      <c r="J8" s="30">
        <f t="shared" ref="J8:J10" si="1">0.5*(MAX(H8:I8)-MIN(H8:I8))</f>
        <v>2.0005000000000002E-2</v>
      </c>
      <c r="K8" s="33">
        <v>0.21001500000000001</v>
      </c>
      <c r="L8" s="27"/>
      <c r="M8" s="353">
        <v>19.829999999999998</v>
      </c>
      <c r="N8" s="356">
        <v>0.06</v>
      </c>
      <c r="O8" s="357" t="s">
        <v>109</v>
      </c>
      <c r="P8" s="32">
        <f t="shared" ref="P8:P10" si="2">0.5*(MAX(N8:O8)-MIN(N8:O8))</f>
        <v>0</v>
      </c>
      <c r="Q8" s="358">
        <v>0.23072400000000001</v>
      </c>
    </row>
    <row r="9" spans="1:22" x14ac:dyDescent="0.2">
      <c r="A9" s="353">
        <v>51.11</v>
      </c>
      <c r="B9" s="354">
        <v>0.11</v>
      </c>
      <c r="C9" s="355" t="s">
        <v>109</v>
      </c>
      <c r="D9" s="30">
        <f t="shared" si="0"/>
        <v>0</v>
      </c>
      <c r="E9" s="31">
        <v>1.0222</v>
      </c>
      <c r="G9" s="353">
        <v>19.78</v>
      </c>
      <c r="H9" s="356">
        <v>-0.16</v>
      </c>
      <c r="I9" s="356">
        <v>-0.1</v>
      </c>
      <c r="J9" s="30">
        <f t="shared" si="1"/>
        <v>0.03</v>
      </c>
      <c r="K9" s="33">
        <v>0.23142599999999999</v>
      </c>
      <c r="L9" s="27"/>
      <c r="M9" s="353">
        <v>50.7</v>
      </c>
      <c r="N9" s="356">
        <v>0.09</v>
      </c>
      <c r="O9" s="357" t="s">
        <v>109</v>
      </c>
      <c r="P9" s="32">
        <f t="shared" si="2"/>
        <v>0</v>
      </c>
      <c r="Q9" s="358">
        <v>0.38092500000000001</v>
      </c>
    </row>
    <row r="10" spans="1:22" ht="13.5" thickBot="1" x14ac:dyDescent="0.25">
      <c r="A10" s="361">
        <v>103.4</v>
      </c>
      <c r="B10" s="362">
        <v>0.11</v>
      </c>
      <c r="C10" s="363" t="s">
        <v>109</v>
      </c>
      <c r="D10" s="34">
        <f t="shared" si="0"/>
        <v>0</v>
      </c>
      <c r="E10" s="35">
        <v>2.06</v>
      </c>
      <c r="G10" s="361">
        <v>86.66</v>
      </c>
      <c r="H10" s="364">
        <v>-0.39</v>
      </c>
      <c r="I10" s="364">
        <v>-0.6</v>
      </c>
      <c r="J10" s="34">
        <f t="shared" si="1"/>
        <v>0.10499999999999998</v>
      </c>
      <c r="K10" s="525">
        <v>0.65861599999999998</v>
      </c>
      <c r="L10" s="27"/>
      <c r="M10" s="361">
        <v>77.42</v>
      </c>
      <c r="N10" s="364">
        <v>-0.28999999999999998</v>
      </c>
      <c r="O10" s="365" t="s">
        <v>109</v>
      </c>
      <c r="P10" s="36">
        <f t="shared" si="2"/>
        <v>0</v>
      </c>
      <c r="Q10" s="366">
        <v>0.57847499999999996</v>
      </c>
    </row>
    <row r="11" spans="1:22" ht="13.5" thickBot="1" x14ac:dyDescent="0.25">
      <c r="A11" s="14"/>
      <c r="B11"/>
      <c r="C11"/>
      <c r="D11"/>
      <c r="E11"/>
      <c r="F11"/>
      <c r="K11" s="37"/>
      <c r="L11" s="27"/>
      <c r="M11" s="27"/>
      <c r="N11" s="367"/>
      <c r="Q11" s="17"/>
    </row>
    <row r="12" spans="1:22" ht="15" x14ac:dyDescent="0.2">
      <c r="A12" s="1177" t="s">
        <v>307</v>
      </c>
      <c r="B12" s="1178"/>
      <c r="C12" s="1178"/>
      <c r="D12" s="26" t="s">
        <v>198</v>
      </c>
      <c r="E12" s="1197" t="s">
        <v>302</v>
      </c>
      <c r="G12" s="1177" t="s">
        <v>308</v>
      </c>
      <c r="H12" s="1178"/>
      <c r="I12" s="1178"/>
      <c r="J12" s="26" t="s">
        <v>198</v>
      </c>
      <c r="K12" s="1197" t="s">
        <v>302</v>
      </c>
      <c r="L12" s="38"/>
      <c r="M12" s="1177" t="s">
        <v>309</v>
      </c>
      <c r="N12" s="1178"/>
      <c r="O12" s="1178"/>
      <c r="P12" s="26" t="s">
        <v>198</v>
      </c>
      <c r="Q12" s="1197" t="s">
        <v>302</v>
      </c>
    </row>
    <row r="13" spans="1:22" ht="25.5" x14ac:dyDescent="0.2">
      <c r="A13" s="28" t="s">
        <v>305</v>
      </c>
      <c r="B13" s="1181" t="s">
        <v>197</v>
      </c>
      <c r="C13" s="1181"/>
      <c r="D13" s="218"/>
      <c r="E13" s="1198"/>
      <c r="G13" s="28" t="s">
        <v>305</v>
      </c>
      <c r="H13" s="1181" t="s">
        <v>197</v>
      </c>
      <c r="I13" s="1181"/>
      <c r="J13" s="218"/>
      <c r="K13" s="1198"/>
      <c r="L13" s="38"/>
      <c r="M13" s="28" t="s">
        <v>305</v>
      </c>
      <c r="N13" s="1181" t="s">
        <v>197</v>
      </c>
      <c r="O13" s="1181"/>
      <c r="P13" s="218"/>
      <c r="Q13" s="1198"/>
    </row>
    <row r="14" spans="1:22" ht="15" x14ac:dyDescent="0.2">
      <c r="A14" s="29" t="s">
        <v>306</v>
      </c>
      <c r="B14" s="351">
        <v>2017</v>
      </c>
      <c r="C14" s="352" t="s">
        <v>109</v>
      </c>
      <c r="D14" s="218"/>
      <c r="E14" s="1198"/>
      <c r="G14" s="29" t="s">
        <v>306</v>
      </c>
      <c r="H14" s="351">
        <f>B4</f>
        <v>2018</v>
      </c>
      <c r="I14" s="352" t="s">
        <v>109</v>
      </c>
      <c r="J14" s="218"/>
      <c r="K14" s="1198"/>
      <c r="L14" s="38"/>
      <c r="M14" s="29" t="s">
        <v>306</v>
      </c>
      <c r="N14" s="351">
        <v>2019</v>
      </c>
      <c r="O14" s="352" t="s">
        <v>109</v>
      </c>
      <c r="P14" s="218"/>
      <c r="Q14" s="1198"/>
    </row>
    <row r="15" spans="1:22" x14ac:dyDescent="0.2">
      <c r="A15" s="353">
        <v>1.0000000000000001E-5</v>
      </c>
      <c r="B15" s="353">
        <v>1.0000000000000001E-5</v>
      </c>
      <c r="C15" s="359" t="s">
        <v>109</v>
      </c>
      <c r="D15" s="30">
        <f>0.5*(MAX(B15:C15)-MIN(B15:C15))</f>
        <v>0</v>
      </c>
      <c r="E15" s="31">
        <v>0.3044</v>
      </c>
      <c r="G15" s="353">
        <v>1.0000000000000001E-5</v>
      </c>
      <c r="H15" s="353">
        <v>1.0000000000000001E-5</v>
      </c>
      <c r="I15" s="357" t="s">
        <v>109</v>
      </c>
      <c r="J15" s="30">
        <f>0.5*(MAX(H15:I15)-MIN(H15:I15))</f>
        <v>0</v>
      </c>
      <c r="K15" s="31">
        <v>0.20200000000000001</v>
      </c>
      <c r="L15" s="38"/>
      <c r="M15" s="353">
        <v>1.0000000000000001E-5</v>
      </c>
      <c r="N15" s="353">
        <v>1.0000000000000001E-5</v>
      </c>
      <c r="O15" s="357" t="s">
        <v>109</v>
      </c>
      <c r="P15" s="32">
        <f>0.5*(MAX(N15:O15)-MIN(N15:O15))</f>
        <v>0</v>
      </c>
      <c r="Q15" s="33">
        <v>0</v>
      </c>
    </row>
    <row r="16" spans="1:22" x14ac:dyDescent="0.2">
      <c r="A16" s="353">
        <v>15.22</v>
      </c>
      <c r="B16" s="354">
        <v>0.12</v>
      </c>
      <c r="C16" s="359" t="s">
        <v>109</v>
      </c>
      <c r="D16" s="30">
        <f>0.5*(MAX(B16:C16)-MIN(B16:C16))</f>
        <v>0</v>
      </c>
      <c r="E16" s="31">
        <v>0.3044</v>
      </c>
      <c r="G16" s="353">
        <v>10.1</v>
      </c>
      <c r="H16" s="354">
        <v>0.1</v>
      </c>
      <c r="I16" s="360" t="s">
        <v>109</v>
      </c>
      <c r="J16" s="30">
        <f>0.5*(MAX(H16:I16)-MIN(H16:I16))</f>
        <v>0</v>
      </c>
      <c r="K16" s="31">
        <v>0.20200000000000001</v>
      </c>
      <c r="L16" s="38"/>
      <c r="M16" s="353">
        <v>1.97</v>
      </c>
      <c r="N16" s="356">
        <v>-0.01</v>
      </c>
      <c r="O16" s="360" t="s">
        <v>109</v>
      </c>
      <c r="P16" s="32">
        <f>0.5*(MAX(N16:O16)-MIN(N16:O16))</f>
        <v>0</v>
      </c>
      <c r="Q16" s="358">
        <v>2.2735999999999999E-2</v>
      </c>
    </row>
    <row r="17" spans="1:44" x14ac:dyDescent="0.2">
      <c r="A17" s="353">
        <v>20.440000000000001</v>
      </c>
      <c r="B17" s="354">
        <v>0.24</v>
      </c>
      <c r="C17" s="359" t="s">
        <v>109</v>
      </c>
      <c r="D17" s="30">
        <f>0.5*(MAX(B17:C17)-MIN(B17:C17))</f>
        <v>0</v>
      </c>
      <c r="E17" s="31">
        <v>0.4088</v>
      </c>
      <c r="G17" s="353">
        <v>15.1</v>
      </c>
      <c r="H17" s="354">
        <v>0.12</v>
      </c>
      <c r="I17" s="360" t="s">
        <v>109</v>
      </c>
      <c r="J17" s="30">
        <f>0.5*(MAX(H17:I17)-MIN(H17:I17))</f>
        <v>0</v>
      </c>
      <c r="K17" s="31">
        <v>0.30199999999999999</v>
      </c>
      <c r="L17" s="38"/>
      <c r="M17" s="353">
        <v>7.97</v>
      </c>
      <c r="N17" s="356">
        <v>0.02</v>
      </c>
      <c r="O17" s="360" t="s">
        <v>109</v>
      </c>
      <c r="P17" s="32">
        <f>0.5*(MAX(N17:O17)-MIN(N17:O17))</f>
        <v>0</v>
      </c>
      <c r="Q17" s="358">
        <v>9.2452000000000006E-2</v>
      </c>
    </row>
    <row r="18" spans="1:44" x14ac:dyDescent="0.2">
      <c r="A18" s="353">
        <v>25.02</v>
      </c>
      <c r="B18" s="354">
        <v>0.32</v>
      </c>
      <c r="C18" s="355" t="s">
        <v>109</v>
      </c>
      <c r="D18" s="30">
        <f t="shared" ref="D18:D20" si="3">0.5*(MAX(B18:C18)-MIN(B18:C18))</f>
        <v>0</v>
      </c>
      <c r="E18" s="31">
        <v>0.50039999999999996</v>
      </c>
      <c r="G18" s="353">
        <v>19.899999999999999</v>
      </c>
      <c r="H18" s="354">
        <v>0.2</v>
      </c>
      <c r="I18" s="357" t="s">
        <v>109</v>
      </c>
      <c r="J18" s="30">
        <f t="shared" ref="J18:J20" si="4">0.5*(MAX(H18:I18)-MIN(H18:I18))</f>
        <v>0</v>
      </c>
      <c r="K18" s="31">
        <v>0.39800000000000002</v>
      </c>
      <c r="L18" s="38"/>
      <c r="M18" s="353">
        <v>19.829999999999998</v>
      </c>
      <c r="N18" s="356">
        <v>0.09</v>
      </c>
      <c r="O18" s="357" t="s">
        <v>109</v>
      </c>
      <c r="P18" s="32">
        <f t="shared" ref="P18:P20" si="5">0.5*(MAX(N18:O18)-MIN(N18:O18))</f>
        <v>0</v>
      </c>
      <c r="Q18" s="358">
        <v>0.23002800000000001</v>
      </c>
    </row>
    <row r="19" spans="1:44" x14ac:dyDescent="0.2">
      <c r="A19" s="353">
        <v>49.82</v>
      </c>
      <c r="B19" s="354">
        <v>0.72</v>
      </c>
      <c r="C19" s="355" t="s">
        <v>109</v>
      </c>
      <c r="D19" s="30">
        <f t="shared" si="3"/>
        <v>0</v>
      </c>
      <c r="E19" s="31">
        <v>0.99639999999999995</v>
      </c>
      <c r="G19" s="353">
        <v>50.52</v>
      </c>
      <c r="H19" s="354">
        <v>0.32</v>
      </c>
      <c r="I19" s="357" t="s">
        <v>109</v>
      </c>
      <c r="J19" s="30">
        <f t="shared" si="4"/>
        <v>0</v>
      </c>
      <c r="K19" s="31">
        <v>1.0104</v>
      </c>
      <c r="L19" s="38"/>
      <c r="M19" s="353">
        <v>50.7</v>
      </c>
      <c r="N19" s="356">
        <v>0.06</v>
      </c>
      <c r="O19" s="357" t="s">
        <v>109</v>
      </c>
      <c r="P19" s="32">
        <f t="shared" si="5"/>
        <v>0</v>
      </c>
      <c r="Q19" s="358">
        <v>0.58811999999999998</v>
      </c>
    </row>
    <row r="20" spans="1:44" ht="13.5" thickBot="1" x14ac:dyDescent="0.25">
      <c r="A20" s="361">
        <v>101.74</v>
      </c>
      <c r="B20" s="362">
        <v>1.64</v>
      </c>
      <c r="C20" s="363" t="s">
        <v>109</v>
      </c>
      <c r="D20" s="34">
        <f t="shared" si="3"/>
        <v>0</v>
      </c>
      <c r="E20" s="35">
        <v>2.0348000000000002</v>
      </c>
      <c r="G20" s="361">
        <v>100</v>
      </c>
      <c r="H20" s="362">
        <v>0.5</v>
      </c>
      <c r="I20" s="365" t="s">
        <v>109</v>
      </c>
      <c r="J20" s="34">
        <f t="shared" si="4"/>
        <v>0</v>
      </c>
      <c r="K20" s="35">
        <v>2</v>
      </c>
      <c r="L20" s="38"/>
      <c r="M20" s="361">
        <v>77.42</v>
      </c>
      <c r="N20" s="364">
        <v>0.23</v>
      </c>
      <c r="O20" s="365" t="s">
        <v>109</v>
      </c>
      <c r="P20" s="36">
        <f t="shared" si="5"/>
        <v>0</v>
      </c>
      <c r="Q20" s="366">
        <v>0.58237499999999998</v>
      </c>
    </row>
    <row r="21" spans="1:44" ht="13.5" thickBot="1" x14ac:dyDescent="0.2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/>
    </row>
    <row r="22" spans="1:44" ht="13.5" thickBot="1" x14ac:dyDescent="0.25">
      <c r="A22" s="42"/>
    </row>
    <row r="23" spans="1:44" ht="16.5" customHeight="1" x14ac:dyDescent="0.2">
      <c r="A23" s="1194" t="s">
        <v>44</v>
      </c>
      <c r="B23" s="1184" t="s">
        <v>221</v>
      </c>
      <c r="C23" s="1186" t="s">
        <v>305</v>
      </c>
      <c r="D23" s="1188" t="s">
        <v>197</v>
      </c>
      <c r="E23" s="1189"/>
      <c r="F23" s="43" t="s">
        <v>198</v>
      </c>
      <c r="G23" s="1192" t="s">
        <v>302</v>
      </c>
      <c r="M23" s="1177" t="s">
        <v>310</v>
      </c>
      <c r="N23" s="1178"/>
      <c r="O23" s="1178"/>
      <c r="P23" s="26" t="s">
        <v>198</v>
      </c>
      <c r="Q23" s="1197" t="s">
        <v>302</v>
      </c>
      <c r="AR23" s="48"/>
    </row>
    <row r="24" spans="1:44" ht="12.75" customHeight="1" x14ac:dyDescent="0.2">
      <c r="A24" s="1195"/>
      <c r="B24" s="1185"/>
      <c r="C24" s="1187"/>
      <c r="D24" s="1190"/>
      <c r="E24" s="1191"/>
      <c r="F24" s="44"/>
      <c r="G24" s="1193"/>
      <c r="M24" s="28" t="s">
        <v>305</v>
      </c>
      <c r="N24" s="1181" t="s">
        <v>197</v>
      </c>
      <c r="O24" s="1181"/>
      <c r="P24" s="218"/>
      <c r="Q24" s="1198"/>
      <c r="AR24" s="27"/>
    </row>
    <row r="25" spans="1:44" ht="15" x14ac:dyDescent="0.2">
      <c r="A25" s="1195"/>
      <c r="B25" s="1185"/>
      <c r="C25" s="635" t="s">
        <v>306</v>
      </c>
      <c r="D25" s="636"/>
      <c r="E25" s="636"/>
      <c r="F25" s="44"/>
      <c r="G25" s="1193"/>
      <c r="M25" s="29" t="s">
        <v>306</v>
      </c>
      <c r="N25" s="351">
        <v>2019</v>
      </c>
      <c r="O25" s="352" t="s">
        <v>109</v>
      </c>
      <c r="P25" s="218"/>
      <c r="Q25" s="1198"/>
      <c r="AR25" s="27"/>
    </row>
    <row r="26" spans="1:44" ht="15.75" customHeight="1" x14ac:dyDescent="0.2">
      <c r="A26" s="1196">
        <v>1</v>
      </c>
      <c r="B26" s="637">
        <v>1</v>
      </c>
      <c r="C26" s="656">
        <f>A5</f>
        <v>1.0000000000000001E-5</v>
      </c>
      <c r="D26" s="45">
        <f t="shared" ref="D26:G26" si="6">B5</f>
        <v>1.0000000000000001E-5</v>
      </c>
      <c r="E26" s="45" t="str">
        <f t="shared" si="6"/>
        <v>-</v>
      </c>
      <c r="F26" s="45">
        <f t="shared" si="6"/>
        <v>0</v>
      </c>
      <c r="G26" s="638">
        <f t="shared" si="6"/>
        <v>0.20039999999999999</v>
      </c>
      <c r="M26" s="353">
        <v>1.0000000000000001E-5</v>
      </c>
      <c r="N26" s="353">
        <v>1.0000000000000001E-5</v>
      </c>
      <c r="O26" s="357" t="s">
        <v>109</v>
      </c>
      <c r="P26" s="479">
        <f>0.5*(MAX(N26:O26)-MIN(N26:O26))</f>
        <v>0</v>
      </c>
      <c r="Q26" s="477">
        <v>1.1832000000000001E-2</v>
      </c>
      <c r="AR26" s="27"/>
    </row>
    <row r="27" spans="1:44" ht="15.75" customHeight="1" x14ac:dyDescent="0.2">
      <c r="A27" s="1196"/>
      <c r="B27" s="637">
        <v>2</v>
      </c>
      <c r="C27" s="656">
        <f>A15</f>
        <v>1.0000000000000001E-5</v>
      </c>
      <c r="D27" s="45">
        <f t="shared" ref="D27:G27" si="7">B15</f>
        <v>1.0000000000000001E-5</v>
      </c>
      <c r="E27" s="45" t="str">
        <f t="shared" si="7"/>
        <v>-</v>
      </c>
      <c r="F27" s="45">
        <f t="shared" si="7"/>
        <v>0</v>
      </c>
      <c r="G27" s="638">
        <f t="shared" si="7"/>
        <v>0.3044</v>
      </c>
      <c r="M27" s="353">
        <v>1.02</v>
      </c>
      <c r="N27" s="353">
        <v>1.0000000000000001E-5</v>
      </c>
      <c r="O27" s="360" t="s">
        <v>109</v>
      </c>
      <c r="P27" s="479">
        <f>0.5*(MAX(N27:O27)-MIN(N27:O27))</f>
        <v>0</v>
      </c>
      <c r="Q27" s="477">
        <v>1.1832000000000001E-2</v>
      </c>
      <c r="AR27" s="27"/>
    </row>
    <row r="28" spans="1:44" ht="15.75" customHeight="1" x14ac:dyDescent="0.2">
      <c r="A28" s="1196"/>
      <c r="B28" s="637">
        <v>3</v>
      </c>
      <c r="C28" s="656">
        <f>G5</f>
        <v>1.0000000000000001E-5</v>
      </c>
      <c r="D28" s="45">
        <f t="shared" ref="D28:G28" si="8">H5</f>
        <v>1.0000000000000001E-5</v>
      </c>
      <c r="E28" s="45">
        <f t="shared" si="8"/>
        <v>1.0000000000000001E-5</v>
      </c>
      <c r="F28" s="45">
        <f t="shared" si="8"/>
        <v>0</v>
      </c>
      <c r="G28" s="638">
        <f t="shared" si="8"/>
        <v>1.1583E-2</v>
      </c>
      <c r="M28" s="353">
        <v>8.1</v>
      </c>
      <c r="N28" s="356">
        <v>-0.02</v>
      </c>
      <c r="O28" s="360" t="s">
        <v>109</v>
      </c>
      <c r="P28" s="479">
        <f>0.5*(MAX(N28:O28)-MIN(N28:O28))</f>
        <v>0</v>
      </c>
      <c r="Q28" s="477">
        <v>9.3960000000000002E-2</v>
      </c>
      <c r="AR28" s="27"/>
    </row>
    <row r="29" spans="1:44" ht="15.75" customHeight="1" x14ac:dyDescent="0.2">
      <c r="A29" s="1196"/>
      <c r="B29" s="637">
        <v>4</v>
      </c>
      <c r="C29" s="656">
        <f>G15</f>
        <v>1.0000000000000001E-5</v>
      </c>
      <c r="D29" s="45">
        <f t="shared" ref="D29:G29" si="9">H15</f>
        <v>1.0000000000000001E-5</v>
      </c>
      <c r="E29" s="45" t="str">
        <f t="shared" si="9"/>
        <v>-</v>
      </c>
      <c r="F29" s="45">
        <f t="shared" si="9"/>
        <v>0</v>
      </c>
      <c r="G29" s="638">
        <f t="shared" si="9"/>
        <v>0.20200000000000001</v>
      </c>
      <c r="M29" s="353">
        <v>17.760000000000002</v>
      </c>
      <c r="N29" s="356">
        <v>-0.02</v>
      </c>
      <c r="O29" s="357" t="s">
        <v>109</v>
      </c>
      <c r="P29" s="479">
        <f t="shared" ref="P29:P31" si="10">0.5*(MAX(N29:O29)-MIN(N29:O29))</f>
        <v>0</v>
      </c>
      <c r="Q29" s="477">
        <v>0.206016</v>
      </c>
      <c r="AR29" s="27"/>
    </row>
    <row r="30" spans="1:44" ht="15.75" customHeight="1" x14ac:dyDescent="0.2">
      <c r="A30" s="1196"/>
      <c r="B30" s="637">
        <v>5</v>
      </c>
      <c r="C30" s="656">
        <f>M5</f>
        <v>1.0000000000000001E-5</v>
      </c>
      <c r="D30" s="45">
        <f t="shared" ref="D30:G30" si="11">N5</f>
        <v>1.0000000000000001E-5</v>
      </c>
      <c r="E30" s="45" t="str">
        <f t="shared" si="11"/>
        <v>-</v>
      </c>
      <c r="F30" s="45">
        <f t="shared" si="11"/>
        <v>0</v>
      </c>
      <c r="G30" s="638">
        <f t="shared" si="11"/>
        <v>0</v>
      </c>
      <c r="M30" s="353">
        <v>19.760000000000002</v>
      </c>
      <c r="N30" s="356">
        <v>-0.06</v>
      </c>
      <c r="O30" s="357" t="s">
        <v>109</v>
      </c>
      <c r="P30" s="479">
        <f t="shared" si="10"/>
        <v>0</v>
      </c>
      <c r="Q30" s="477">
        <v>0.229216</v>
      </c>
      <c r="AR30" s="27"/>
    </row>
    <row r="31" spans="1:44" ht="15.75" customHeight="1" thickBot="1" x14ac:dyDescent="0.25">
      <c r="A31" s="1196"/>
      <c r="B31" s="637">
        <v>6</v>
      </c>
      <c r="C31" s="656">
        <f>M15</f>
        <v>1.0000000000000001E-5</v>
      </c>
      <c r="D31" s="45">
        <f t="shared" ref="D31:G31" si="12">N15</f>
        <v>1.0000000000000001E-5</v>
      </c>
      <c r="E31" s="45" t="str">
        <f t="shared" si="12"/>
        <v>-</v>
      </c>
      <c r="F31" s="45">
        <f t="shared" si="12"/>
        <v>0</v>
      </c>
      <c r="G31" s="638">
        <f t="shared" si="12"/>
        <v>0</v>
      </c>
      <c r="M31" s="361">
        <v>90.96</v>
      </c>
      <c r="N31" s="364">
        <v>-0.2</v>
      </c>
      <c r="O31" s="365" t="s">
        <v>109</v>
      </c>
      <c r="P31" s="480">
        <f t="shared" si="10"/>
        <v>0</v>
      </c>
      <c r="Q31" s="478">
        <v>0.68220000000000003</v>
      </c>
      <c r="AR31" s="27"/>
    </row>
    <row r="32" spans="1:44" ht="15.75" customHeight="1" thickBot="1" x14ac:dyDescent="0.25">
      <c r="A32" s="1196"/>
      <c r="B32" s="637">
        <v>7</v>
      </c>
      <c r="C32" s="656">
        <f>M26</f>
        <v>1.0000000000000001E-5</v>
      </c>
      <c r="D32" s="45">
        <f t="shared" ref="D32:G32" si="13">N26</f>
        <v>1.0000000000000001E-5</v>
      </c>
      <c r="E32" s="45" t="str">
        <f t="shared" si="13"/>
        <v>-</v>
      </c>
      <c r="F32" s="45">
        <f t="shared" si="13"/>
        <v>0</v>
      </c>
      <c r="G32" s="638">
        <f t="shared" si="13"/>
        <v>1.1832000000000001E-2</v>
      </c>
      <c r="M32" s="38"/>
      <c r="N32" s="367"/>
      <c r="Q32" s="17"/>
      <c r="AR32" s="27"/>
    </row>
    <row r="33" spans="1:44" ht="15.75" customHeight="1" x14ac:dyDescent="0.2">
      <c r="A33" s="1196"/>
      <c r="B33" s="637">
        <v>8</v>
      </c>
      <c r="C33" s="657">
        <f>M36</f>
        <v>1.0000000000000001E-5</v>
      </c>
      <c r="D33" s="639">
        <f>N36</f>
        <v>1.0000000000000001E-5</v>
      </c>
      <c r="E33" s="639" t="str">
        <f>O36</f>
        <v>-</v>
      </c>
      <c r="F33" s="639">
        <f>P36</f>
        <v>0</v>
      </c>
      <c r="G33" s="640">
        <f>Q36</f>
        <v>1.1832000000000001E-2</v>
      </c>
      <c r="M33" s="1177" t="s">
        <v>311</v>
      </c>
      <c r="N33" s="1178"/>
      <c r="O33" s="1178"/>
      <c r="P33" s="26" t="s">
        <v>198</v>
      </c>
      <c r="Q33" s="1179" t="s">
        <v>302</v>
      </c>
      <c r="AR33" s="27"/>
    </row>
    <row r="34" spans="1:44" ht="15.75" customHeight="1" x14ac:dyDescent="0.2">
      <c r="A34" s="1196"/>
      <c r="B34" s="637">
        <v>9</v>
      </c>
      <c r="C34" s="657">
        <f>M46</f>
        <v>1.0000000000000001E-5</v>
      </c>
      <c r="D34" s="639">
        <f t="shared" ref="D34:G34" si="14">N46</f>
        <v>1.0000000000000001E-5</v>
      </c>
      <c r="E34" s="639" t="str">
        <f t="shared" si="14"/>
        <v>-</v>
      </c>
      <c r="F34" s="639">
        <f t="shared" si="14"/>
        <v>0</v>
      </c>
      <c r="G34" s="639">
        <f t="shared" si="14"/>
        <v>0</v>
      </c>
      <c r="M34" s="476" t="s">
        <v>305</v>
      </c>
      <c r="N34" s="1181" t="s">
        <v>197</v>
      </c>
      <c r="O34" s="1181"/>
      <c r="P34" s="218"/>
      <c r="Q34" s="1180"/>
      <c r="AR34" s="27"/>
    </row>
    <row r="35" spans="1:44" ht="15.75" customHeight="1" x14ac:dyDescent="0.2">
      <c r="A35" s="1196"/>
      <c r="B35" s="637">
        <v>10</v>
      </c>
      <c r="C35" s="657">
        <f>M56</f>
        <v>1.0000000000000001E-5</v>
      </c>
      <c r="D35" s="639">
        <f t="shared" ref="D35:G35" si="15">N56</f>
        <v>1.0000000000000001E-5</v>
      </c>
      <c r="E35" s="639" t="str">
        <f t="shared" si="15"/>
        <v>-</v>
      </c>
      <c r="F35" s="639">
        <f t="shared" si="15"/>
        <v>0</v>
      </c>
      <c r="G35" s="639">
        <f t="shared" si="15"/>
        <v>0.08</v>
      </c>
      <c r="M35" s="29" t="s">
        <v>306</v>
      </c>
      <c r="N35" s="351">
        <v>2019</v>
      </c>
      <c r="O35" s="352" t="s">
        <v>109</v>
      </c>
      <c r="P35" s="218"/>
      <c r="Q35" s="634"/>
      <c r="AR35" s="27"/>
    </row>
    <row r="36" spans="1:44" ht="15.75" customHeight="1" x14ac:dyDescent="0.2">
      <c r="A36" s="1196"/>
      <c r="B36" s="637">
        <v>11</v>
      </c>
      <c r="C36" s="657">
        <f>M66</f>
        <v>1.0000000000000001E-5</v>
      </c>
      <c r="D36" s="639">
        <f t="shared" ref="D36:G36" si="16">N66</f>
        <v>1.0000000000000001E-5</v>
      </c>
      <c r="E36" s="639" t="str">
        <f t="shared" si="16"/>
        <v>-</v>
      </c>
      <c r="F36" s="639">
        <f t="shared" si="16"/>
        <v>0</v>
      </c>
      <c r="G36" s="639">
        <f t="shared" si="16"/>
        <v>0.08</v>
      </c>
      <c r="M36" s="353">
        <v>1.0000000000000001E-5</v>
      </c>
      <c r="N36" s="353">
        <v>1.0000000000000001E-5</v>
      </c>
      <c r="O36" s="357" t="s">
        <v>109</v>
      </c>
      <c r="P36" s="479">
        <f>0.5*(MAX(N36:O36)-MIN(N36:O36))</f>
        <v>0</v>
      </c>
      <c r="Q36" s="477">
        <v>1.1832000000000001E-2</v>
      </c>
      <c r="AR36" s="27"/>
    </row>
    <row r="37" spans="1:44" ht="15.75" customHeight="1" x14ac:dyDescent="0.2">
      <c r="A37" s="1196">
        <v>2</v>
      </c>
      <c r="B37" s="641">
        <v>1</v>
      </c>
      <c r="C37" s="658">
        <f>A6</f>
        <v>10.02</v>
      </c>
      <c r="D37" s="475">
        <f t="shared" ref="D37:G37" si="17">B6</f>
        <v>0.02</v>
      </c>
      <c r="E37" s="475" t="str">
        <f t="shared" si="17"/>
        <v>-</v>
      </c>
      <c r="F37" s="475">
        <f t="shared" si="17"/>
        <v>0</v>
      </c>
      <c r="G37" s="642">
        <f t="shared" si="17"/>
        <v>0.20039999999999999</v>
      </c>
      <c r="M37" s="353">
        <v>1.02</v>
      </c>
      <c r="N37" s="353">
        <v>1.0000000000000001E-5</v>
      </c>
      <c r="O37" s="360" t="s">
        <v>109</v>
      </c>
      <c r="P37" s="479">
        <f>0.5*(MAX(N37:O37)-MIN(N37:O37))</f>
        <v>0</v>
      </c>
      <c r="Q37" s="477">
        <v>1.1832000000000001E-2</v>
      </c>
      <c r="AR37" s="27"/>
    </row>
    <row r="38" spans="1:44" ht="15.75" customHeight="1" x14ac:dyDescent="0.2">
      <c r="A38" s="1196"/>
      <c r="B38" s="641">
        <v>2</v>
      </c>
      <c r="C38" s="658">
        <f>A16</f>
        <v>15.22</v>
      </c>
      <c r="D38" s="475">
        <f t="shared" ref="D38:G38" si="18">B16</f>
        <v>0.12</v>
      </c>
      <c r="E38" s="475" t="str">
        <f t="shared" si="18"/>
        <v>-</v>
      </c>
      <c r="F38" s="475">
        <f t="shared" si="18"/>
        <v>0</v>
      </c>
      <c r="G38" s="642">
        <f t="shared" si="18"/>
        <v>0.3044</v>
      </c>
      <c r="M38" s="353">
        <v>8.1</v>
      </c>
      <c r="N38" s="356">
        <v>0.01</v>
      </c>
      <c r="O38" s="360" t="s">
        <v>109</v>
      </c>
      <c r="P38" s="479">
        <f>0.5*(MAX(N38:O38)-MIN(N38:O38))</f>
        <v>0</v>
      </c>
      <c r="Q38" s="477">
        <v>9.3960000000000002E-2</v>
      </c>
      <c r="AR38" s="27"/>
    </row>
    <row r="39" spans="1:44" ht="18" customHeight="1" x14ac:dyDescent="0.2">
      <c r="A39" s="1196"/>
      <c r="B39" s="641">
        <v>3</v>
      </c>
      <c r="C39" s="658">
        <f>G6</f>
        <v>0.99</v>
      </c>
      <c r="D39" s="475">
        <f t="shared" ref="D39:G39" si="19">H6</f>
        <v>1.0000000000000001E-5</v>
      </c>
      <c r="E39" s="475">
        <f t="shared" si="19"/>
        <v>-0.01</v>
      </c>
      <c r="F39" s="475">
        <f t="shared" si="19"/>
        <v>5.0049999999999999E-3</v>
      </c>
      <c r="G39" s="642">
        <f t="shared" si="19"/>
        <v>1.1583E-2</v>
      </c>
      <c r="M39" s="353">
        <v>17.760000000000002</v>
      </c>
      <c r="N39" s="353">
        <v>1.0000000000000001E-5</v>
      </c>
      <c r="O39" s="357" t="s">
        <v>109</v>
      </c>
      <c r="P39" s="479">
        <f t="shared" ref="P39:P41" si="20">0.5*(MAX(N39:O39)-MIN(N39:O39))</f>
        <v>0</v>
      </c>
      <c r="Q39" s="477">
        <v>0.206016</v>
      </c>
      <c r="AR39" s="27"/>
    </row>
    <row r="40" spans="1:44" ht="15.75" customHeight="1" x14ac:dyDescent="0.2">
      <c r="A40" s="1196"/>
      <c r="B40" s="641">
        <v>4</v>
      </c>
      <c r="C40" s="658">
        <f>G16</f>
        <v>10.1</v>
      </c>
      <c r="D40" s="475">
        <f t="shared" ref="D40:G40" si="21">H16</f>
        <v>0.1</v>
      </c>
      <c r="E40" s="475" t="str">
        <f t="shared" si="21"/>
        <v>-</v>
      </c>
      <c r="F40" s="475">
        <f t="shared" si="21"/>
        <v>0</v>
      </c>
      <c r="G40" s="642">
        <f t="shared" si="21"/>
        <v>0.20200000000000001</v>
      </c>
      <c r="M40" s="353">
        <v>19.760000000000002</v>
      </c>
      <c r="N40" s="356">
        <v>-0.14000000000000001</v>
      </c>
      <c r="O40" s="357" t="s">
        <v>109</v>
      </c>
      <c r="P40" s="479">
        <f t="shared" si="20"/>
        <v>0</v>
      </c>
      <c r="Q40" s="477">
        <v>0.229216</v>
      </c>
      <c r="AR40" s="27"/>
    </row>
    <row r="41" spans="1:44" ht="15.75" customHeight="1" thickBot="1" x14ac:dyDescent="0.25">
      <c r="A41" s="1196"/>
      <c r="B41" s="641">
        <v>5</v>
      </c>
      <c r="C41" s="658">
        <f>M6</f>
        <v>1.97</v>
      </c>
      <c r="D41" s="475">
        <f t="shared" ref="D41:G41" si="22">N6</f>
        <v>-0.01</v>
      </c>
      <c r="E41" s="475" t="str">
        <f t="shared" si="22"/>
        <v>-</v>
      </c>
      <c r="F41" s="475">
        <f t="shared" si="22"/>
        <v>0</v>
      </c>
      <c r="G41" s="642">
        <f t="shared" si="22"/>
        <v>2.2735999999999999E-2</v>
      </c>
      <c r="M41" s="361">
        <v>90.96</v>
      </c>
      <c r="N41" s="364">
        <v>-0.21</v>
      </c>
      <c r="O41" s="365" t="s">
        <v>109</v>
      </c>
      <c r="P41" s="480">
        <f t="shared" si="20"/>
        <v>0</v>
      </c>
      <c r="Q41" s="478">
        <v>0.68220000000000003</v>
      </c>
      <c r="AR41" s="27"/>
    </row>
    <row r="42" spans="1:44" ht="15.75" customHeight="1" thickBot="1" x14ac:dyDescent="0.25">
      <c r="A42" s="1196"/>
      <c r="B42" s="641">
        <v>6</v>
      </c>
      <c r="C42" s="658">
        <f>M16</f>
        <v>1.97</v>
      </c>
      <c r="D42" s="475">
        <f t="shared" ref="D42:G42" si="23">N16</f>
        <v>-0.01</v>
      </c>
      <c r="E42" s="475" t="str">
        <f t="shared" si="23"/>
        <v>-</v>
      </c>
      <c r="F42" s="475">
        <f t="shared" si="23"/>
        <v>0</v>
      </c>
      <c r="G42" s="642">
        <f t="shared" si="23"/>
        <v>2.2735999999999999E-2</v>
      </c>
      <c r="AR42" s="27"/>
    </row>
    <row r="43" spans="1:44" ht="15.75" customHeight="1" x14ac:dyDescent="0.2">
      <c r="A43" s="1196"/>
      <c r="B43" s="641">
        <v>7</v>
      </c>
      <c r="C43" s="658">
        <f>M27</f>
        <v>1.02</v>
      </c>
      <c r="D43" s="475">
        <f t="shared" ref="D43:G43" si="24">N27</f>
        <v>1.0000000000000001E-5</v>
      </c>
      <c r="E43" s="475" t="str">
        <f t="shared" si="24"/>
        <v>-</v>
      </c>
      <c r="F43" s="475">
        <f t="shared" si="24"/>
        <v>0</v>
      </c>
      <c r="G43" s="642">
        <f t="shared" si="24"/>
        <v>1.1832000000000001E-2</v>
      </c>
      <c r="M43" s="1177" t="s">
        <v>312</v>
      </c>
      <c r="N43" s="1178"/>
      <c r="O43" s="1178"/>
      <c r="P43" s="26" t="s">
        <v>198</v>
      </c>
      <c r="Q43" s="1179" t="s">
        <v>302</v>
      </c>
      <c r="AR43" s="27"/>
    </row>
    <row r="44" spans="1:44" ht="15.75" customHeight="1" x14ac:dyDescent="0.2">
      <c r="A44" s="1196"/>
      <c r="B44" s="641">
        <v>8</v>
      </c>
      <c r="C44" s="657">
        <f>M37</f>
        <v>1.02</v>
      </c>
      <c r="D44" s="639">
        <f>N37</f>
        <v>1.0000000000000001E-5</v>
      </c>
      <c r="E44" s="639" t="str">
        <f>O37</f>
        <v>-</v>
      </c>
      <c r="F44" s="639">
        <f>P37</f>
        <v>0</v>
      </c>
      <c r="G44" s="640">
        <f>Q37</f>
        <v>1.1832000000000001E-2</v>
      </c>
      <c r="M44" s="476" t="s">
        <v>305</v>
      </c>
      <c r="N44" s="1181" t="s">
        <v>197</v>
      </c>
      <c r="O44" s="1181"/>
      <c r="P44" s="218"/>
      <c r="Q44" s="1180"/>
      <c r="AR44" s="27"/>
    </row>
    <row r="45" spans="1:44" ht="15.75" customHeight="1" x14ac:dyDescent="0.2">
      <c r="A45" s="1196"/>
      <c r="B45" s="641">
        <v>9</v>
      </c>
      <c r="C45" s="657">
        <f>M47</f>
        <v>1.04</v>
      </c>
      <c r="D45" s="639">
        <f t="shared" ref="D45:G45" si="25">N47</f>
        <v>0.01</v>
      </c>
      <c r="E45" s="639" t="str">
        <f t="shared" si="25"/>
        <v>-</v>
      </c>
      <c r="F45" s="639">
        <f t="shared" si="25"/>
        <v>0</v>
      </c>
      <c r="G45" s="639">
        <f t="shared" si="25"/>
        <v>1.2285000000000001E-2</v>
      </c>
      <c r="M45" s="29" t="s">
        <v>306</v>
      </c>
      <c r="N45" s="351">
        <v>2020</v>
      </c>
      <c r="O45" s="352" t="s">
        <v>109</v>
      </c>
      <c r="P45" s="218"/>
      <c r="Q45" s="634"/>
      <c r="AR45" s="27"/>
    </row>
    <row r="46" spans="1:44" ht="15.75" customHeight="1" x14ac:dyDescent="0.2">
      <c r="A46" s="1196"/>
      <c r="B46" s="641">
        <v>10</v>
      </c>
      <c r="C46" s="657">
        <f>M57</f>
        <v>4.95</v>
      </c>
      <c r="D46" s="639">
        <f t="shared" ref="D46:G46" si="26">N57</f>
        <v>1.0000000000000001E-5</v>
      </c>
      <c r="E46" s="639" t="str">
        <f t="shared" si="26"/>
        <v>-</v>
      </c>
      <c r="F46" s="639">
        <f t="shared" si="26"/>
        <v>0</v>
      </c>
      <c r="G46" s="639">
        <f t="shared" si="26"/>
        <v>0.16</v>
      </c>
      <c r="M46" s="353">
        <v>1.0000000000000001E-5</v>
      </c>
      <c r="N46" s="353">
        <v>1.0000000000000001E-5</v>
      </c>
      <c r="O46" s="645" t="s">
        <v>109</v>
      </c>
      <c r="P46" s="646">
        <f>0.5*(MAX(N46:O46)-MIN(N46:O46))</f>
        <v>0</v>
      </c>
      <c r="Q46" s="647">
        <v>0</v>
      </c>
      <c r="AR46" s="27"/>
    </row>
    <row r="47" spans="1:44" ht="15.75" customHeight="1" x14ac:dyDescent="0.2">
      <c r="A47" s="1196"/>
      <c r="B47" s="641">
        <v>11</v>
      </c>
      <c r="C47" s="657">
        <f>M67</f>
        <v>4.9400000000000004</v>
      </c>
      <c r="D47" s="639">
        <f t="shared" ref="D47:G47" si="27">N67</f>
        <v>-0.02</v>
      </c>
      <c r="E47" s="639" t="str">
        <f t="shared" si="27"/>
        <v>-</v>
      </c>
      <c r="F47" s="639">
        <f t="shared" si="27"/>
        <v>0</v>
      </c>
      <c r="G47" s="639">
        <f t="shared" si="27"/>
        <v>0.16</v>
      </c>
      <c r="M47" s="643">
        <v>1.04</v>
      </c>
      <c r="N47" s="644">
        <v>0.01</v>
      </c>
      <c r="O47" s="648" t="s">
        <v>109</v>
      </c>
      <c r="P47" s="646">
        <f>0.5*(MAX(N47:O47)-MIN(N47:O47))</f>
        <v>0</v>
      </c>
      <c r="Q47" s="647">
        <v>1.2285000000000001E-2</v>
      </c>
      <c r="AR47" s="27"/>
    </row>
    <row r="48" spans="1:44" ht="15.75" customHeight="1" x14ac:dyDescent="0.2">
      <c r="A48" s="1196">
        <v>3</v>
      </c>
      <c r="B48" s="641">
        <v>1</v>
      </c>
      <c r="C48" s="658">
        <f>A7</f>
        <v>19.96</v>
      </c>
      <c r="D48" s="475">
        <f t="shared" ref="D48:G48" si="28">B7</f>
        <v>0.06</v>
      </c>
      <c r="E48" s="475" t="str">
        <f t="shared" si="28"/>
        <v>-</v>
      </c>
      <c r="F48" s="475">
        <f t="shared" si="28"/>
        <v>0</v>
      </c>
      <c r="G48" s="642">
        <f t="shared" si="28"/>
        <v>0.3992</v>
      </c>
      <c r="M48" s="643">
        <v>8.2100000000000009</v>
      </c>
      <c r="N48" s="644">
        <v>0.02</v>
      </c>
      <c r="O48" s="648" t="s">
        <v>109</v>
      </c>
      <c r="P48" s="646">
        <f>0.5*(MAX(N48:O48)-MIN(N48:O48))</f>
        <v>0</v>
      </c>
      <c r="Q48" s="647">
        <v>9.6291000000000002E-2</v>
      </c>
      <c r="AR48" s="27"/>
    </row>
    <row r="49" spans="1:44" ht="15.75" customHeight="1" x14ac:dyDescent="0.2">
      <c r="A49" s="1196"/>
      <c r="B49" s="641">
        <v>2</v>
      </c>
      <c r="C49" s="658">
        <f>A17</f>
        <v>20.440000000000001</v>
      </c>
      <c r="D49" s="475">
        <f t="shared" ref="D49:G49" si="29">B17</f>
        <v>0.24</v>
      </c>
      <c r="E49" s="475" t="str">
        <f t="shared" si="29"/>
        <v>-</v>
      </c>
      <c r="F49" s="475">
        <f t="shared" si="29"/>
        <v>0</v>
      </c>
      <c r="G49" s="642">
        <f t="shared" si="29"/>
        <v>0.4088</v>
      </c>
      <c r="M49" s="643">
        <v>17.920000000000002</v>
      </c>
      <c r="N49" s="644">
        <v>7.0000000000000007E-2</v>
      </c>
      <c r="O49" s="645" t="s">
        <v>109</v>
      </c>
      <c r="P49" s="646">
        <f t="shared" ref="P49:P51" si="30">0.5*(MAX(N49:O49)-MIN(N49:O49))</f>
        <v>0</v>
      </c>
      <c r="Q49" s="647">
        <v>0.210483</v>
      </c>
      <c r="AR49" s="27"/>
    </row>
    <row r="50" spans="1:44" ht="15.75" customHeight="1" x14ac:dyDescent="0.2">
      <c r="A50" s="1196"/>
      <c r="B50" s="641">
        <v>3</v>
      </c>
      <c r="C50" s="658">
        <f>G7</f>
        <v>8.01</v>
      </c>
      <c r="D50" s="475">
        <f t="shared" ref="D50:G50" si="31">H7</f>
        <v>0.02</v>
      </c>
      <c r="E50" s="475">
        <f t="shared" si="31"/>
        <v>0.02</v>
      </c>
      <c r="F50" s="475">
        <f t="shared" si="31"/>
        <v>0</v>
      </c>
      <c r="G50" s="642">
        <f t="shared" si="31"/>
        <v>9.3716999999999995E-2</v>
      </c>
      <c r="M50" s="643">
        <v>19.93</v>
      </c>
      <c r="N50" s="644">
        <v>0.02</v>
      </c>
      <c r="O50" s="645" t="s">
        <v>109</v>
      </c>
      <c r="P50" s="646">
        <f t="shared" si="30"/>
        <v>0</v>
      </c>
      <c r="Q50" s="647">
        <v>0.23341500000000001</v>
      </c>
      <c r="AR50" s="27"/>
    </row>
    <row r="51" spans="1:44" ht="15.75" customHeight="1" thickBot="1" x14ac:dyDescent="0.25">
      <c r="A51" s="1196"/>
      <c r="B51" s="641">
        <v>4</v>
      </c>
      <c r="C51" s="658">
        <f>G17</f>
        <v>15.1</v>
      </c>
      <c r="D51" s="475">
        <f t="shared" ref="D51:G51" si="32">H17</f>
        <v>0.12</v>
      </c>
      <c r="E51" s="475" t="str">
        <f t="shared" si="32"/>
        <v>-</v>
      </c>
      <c r="F51" s="475">
        <f t="shared" si="32"/>
        <v>0</v>
      </c>
      <c r="G51" s="642">
        <f t="shared" si="32"/>
        <v>0.30199999999999999</v>
      </c>
      <c r="M51" s="649">
        <v>90.96</v>
      </c>
      <c r="N51" s="650">
        <v>0.09</v>
      </c>
      <c r="O51" s="651" t="s">
        <v>109</v>
      </c>
      <c r="P51" s="652">
        <f t="shared" si="30"/>
        <v>0</v>
      </c>
      <c r="Q51" s="653">
        <v>1.065285</v>
      </c>
      <c r="AR51" s="27"/>
    </row>
    <row r="52" spans="1:44" ht="15.75" customHeight="1" thickBot="1" x14ac:dyDescent="0.25">
      <c r="A52" s="1196"/>
      <c r="B52" s="641">
        <v>5</v>
      </c>
      <c r="C52" s="658">
        <f>M7</f>
        <v>7.97</v>
      </c>
      <c r="D52" s="475">
        <f t="shared" ref="D52:G52" si="33">N7</f>
        <v>1.0000000000000001E-5</v>
      </c>
      <c r="E52" s="475" t="str">
        <f t="shared" si="33"/>
        <v>-</v>
      </c>
      <c r="F52" s="475">
        <f t="shared" si="33"/>
        <v>0</v>
      </c>
      <c r="G52" s="642">
        <f t="shared" si="33"/>
        <v>9.2452000000000006E-2</v>
      </c>
      <c r="AR52" s="27"/>
    </row>
    <row r="53" spans="1:44" ht="15.75" customHeight="1" x14ac:dyDescent="0.2">
      <c r="A53" s="1196"/>
      <c r="B53" s="641">
        <v>6</v>
      </c>
      <c r="C53" s="658">
        <f>M17</f>
        <v>7.97</v>
      </c>
      <c r="D53" s="475">
        <f t="shared" ref="D53:G53" si="34">N17</f>
        <v>0.02</v>
      </c>
      <c r="E53" s="475" t="str">
        <f t="shared" si="34"/>
        <v>-</v>
      </c>
      <c r="F53" s="475">
        <f t="shared" si="34"/>
        <v>0</v>
      </c>
      <c r="G53" s="642">
        <f t="shared" si="34"/>
        <v>9.2452000000000006E-2</v>
      </c>
      <c r="M53" s="1182" t="s">
        <v>313</v>
      </c>
      <c r="N53" s="1183"/>
      <c r="O53" s="1183"/>
      <c r="P53" s="26" t="s">
        <v>198</v>
      </c>
      <c r="Q53" s="1179" t="s">
        <v>302</v>
      </c>
      <c r="AR53" s="27"/>
    </row>
    <row r="54" spans="1:44" ht="15.75" customHeight="1" x14ac:dyDescent="0.2">
      <c r="A54" s="1196"/>
      <c r="B54" s="641">
        <v>7</v>
      </c>
      <c r="C54" s="658">
        <f>M28</f>
        <v>8.1</v>
      </c>
      <c r="D54" s="475">
        <f t="shared" ref="D54:G54" si="35">N28</f>
        <v>-0.02</v>
      </c>
      <c r="E54" s="475" t="str">
        <f t="shared" si="35"/>
        <v>-</v>
      </c>
      <c r="F54" s="475">
        <f t="shared" si="35"/>
        <v>0</v>
      </c>
      <c r="G54" s="642">
        <f t="shared" si="35"/>
        <v>9.3960000000000002E-2</v>
      </c>
      <c r="M54" s="476" t="s">
        <v>305</v>
      </c>
      <c r="N54" s="1181" t="s">
        <v>197</v>
      </c>
      <c r="O54" s="1181"/>
      <c r="P54" s="218"/>
      <c r="Q54" s="1180"/>
      <c r="AR54" s="27"/>
    </row>
    <row r="55" spans="1:44" ht="15.75" customHeight="1" x14ac:dyDescent="0.2">
      <c r="A55" s="1196"/>
      <c r="B55" s="641">
        <v>8</v>
      </c>
      <c r="C55" s="657">
        <f>M38</f>
        <v>8.1</v>
      </c>
      <c r="D55" s="639">
        <f>N38</f>
        <v>0.01</v>
      </c>
      <c r="E55" s="639" t="str">
        <f>O38</f>
        <v>-</v>
      </c>
      <c r="F55" s="639">
        <f>P38</f>
        <v>0</v>
      </c>
      <c r="G55" s="640">
        <f>Q38</f>
        <v>9.3960000000000002E-2</v>
      </c>
      <c r="M55" s="29" t="s">
        <v>306</v>
      </c>
      <c r="N55" s="351">
        <v>2022</v>
      </c>
      <c r="O55" s="352" t="s">
        <v>109</v>
      </c>
      <c r="P55" s="218"/>
      <c r="Q55" s="634"/>
      <c r="AR55" s="27"/>
    </row>
    <row r="56" spans="1:44" ht="15.75" customHeight="1" x14ac:dyDescent="0.2">
      <c r="A56" s="1196"/>
      <c r="B56" s="641">
        <v>9</v>
      </c>
      <c r="C56" s="657">
        <f>M48</f>
        <v>8.2100000000000009</v>
      </c>
      <c r="D56" s="639">
        <f t="shared" ref="D56:G56" si="36">N48</f>
        <v>0.02</v>
      </c>
      <c r="E56" s="639" t="str">
        <f t="shared" si="36"/>
        <v>-</v>
      </c>
      <c r="F56" s="639">
        <f t="shared" si="36"/>
        <v>0</v>
      </c>
      <c r="G56" s="639">
        <f t="shared" si="36"/>
        <v>9.6291000000000002E-2</v>
      </c>
      <c r="M56" s="353">
        <v>1.0000000000000001E-5</v>
      </c>
      <c r="N56" s="353">
        <v>1.0000000000000001E-5</v>
      </c>
      <c r="O56" s="357" t="s">
        <v>109</v>
      </c>
      <c r="P56" s="479">
        <f>0.5*(MAX(N56:O56)-MIN(N56:O56))</f>
        <v>0</v>
      </c>
      <c r="Q56" s="731">
        <v>0.08</v>
      </c>
      <c r="AR56" s="27"/>
    </row>
    <row r="57" spans="1:44" ht="15.75" customHeight="1" x14ac:dyDescent="0.2">
      <c r="A57" s="1196"/>
      <c r="B57" s="641">
        <v>10</v>
      </c>
      <c r="C57" s="657">
        <f>M58</f>
        <v>9.8800000000000008</v>
      </c>
      <c r="D57" s="639">
        <f t="shared" ref="D57:G57" si="37">N58</f>
        <v>1.0000000000000001E-5</v>
      </c>
      <c r="E57" s="639" t="str">
        <f t="shared" si="37"/>
        <v>-</v>
      </c>
      <c r="F57" s="639">
        <f t="shared" si="37"/>
        <v>0</v>
      </c>
      <c r="G57" s="639">
        <f t="shared" si="37"/>
        <v>0.26</v>
      </c>
      <c r="M57" s="729">
        <v>4.95</v>
      </c>
      <c r="N57" s="353">
        <v>1.0000000000000001E-5</v>
      </c>
      <c r="O57" s="360" t="s">
        <v>109</v>
      </c>
      <c r="P57" s="479">
        <f>0.5*(MAX(N57:O57)-MIN(N57:O57))</f>
        <v>0</v>
      </c>
      <c r="Q57" s="731">
        <v>0.16</v>
      </c>
      <c r="AR57" s="27"/>
    </row>
    <row r="58" spans="1:44" ht="15.75" customHeight="1" x14ac:dyDescent="0.2">
      <c r="A58" s="1196"/>
      <c r="B58" s="641">
        <v>11</v>
      </c>
      <c r="C58" s="657">
        <f>M68</f>
        <v>9.8699999999999992</v>
      </c>
      <c r="D58" s="639">
        <f t="shared" ref="D58:G58" si="38">N68</f>
        <v>-0.03</v>
      </c>
      <c r="E58" s="639" t="str">
        <f t="shared" si="38"/>
        <v>-</v>
      </c>
      <c r="F58" s="639">
        <f t="shared" si="38"/>
        <v>0</v>
      </c>
      <c r="G58" s="639">
        <f t="shared" si="38"/>
        <v>0.26</v>
      </c>
      <c r="M58" s="729">
        <v>9.8800000000000008</v>
      </c>
      <c r="N58" s="353">
        <v>1.0000000000000001E-5</v>
      </c>
      <c r="O58" s="360" t="s">
        <v>109</v>
      </c>
      <c r="P58" s="479">
        <f>0.5*(MAX(N58:O58)-MIN(N58:O58))</f>
        <v>0</v>
      </c>
      <c r="Q58" s="731">
        <v>0.26</v>
      </c>
      <c r="AR58" s="27"/>
    </row>
    <row r="59" spans="1:44" ht="15.75" customHeight="1" x14ac:dyDescent="0.2">
      <c r="A59" s="1196">
        <v>4</v>
      </c>
      <c r="B59" s="641">
        <v>1</v>
      </c>
      <c r="C59" s="658">
        <f>A8</f>
        <v>30.1</v>
      </c>
      <c r="D59" s="475">
        <f t="shared" ref="D59:G59" si="39">B8</f>
        <v>0.1</v>
      </c>
      <c r="E59" s="475" t="str">
        <f t="shared" si="39"/>
        <v>-</v>
      </c>
      <c r="F59" s="475">
        <f t="shared" si="39"/>
        <v>0</v>
      </c>
      <c r="G59" s="642">
        <f t="shared" si="39"/>
        <v>0.60199999999999998</v>
      </c>
      <c r="M59" s="729">
        <v>19.78</v>
      </c>
      <c r="N59" s="353">
        <v>1.0000000000000001E-5</v>
      </c>
      <c r="O59" s="357" t="s">
        <v>109</v>
      </c>
      <c r="P59" s="479">
        <f t="shared" ref="P59:P61" si="40">0.5*(MAX(N59:O59)-MIN(N59:O59))</f>
        <v>0</v>
      </c>
      <c r="Q59" s="731">
        <v>1.6</v>
      </c>
      <c r="AR59" s="27"/>
    </row>
    <row r="60" spans="1:44" ht="15.75" customHeight="1" x14ac:dyDescent="0.2">
      <c r="A60" s="1196"/>
      <c r="B60" s="641">
        <v>2</v>
      </c>
      <c r="C60" s="658">
        <f>A18</f>
        <v>25.02</v>
      </c>
      <c r="D60" s="475">
        <f t="shared" ref="D60:G60" si="41">B18</f>
        <v>0.32</v>
      </c>
      <c r="E60" s="475" t="str">
        <f t="shared" si="41"/>
        <v>-</v>
      </c>
      <c r="F60" s="475">
        <f t="shared" si="41"/>
        <v>0</v>
      </c>
      <c r="G60" s="642">
        <f t="shared" si="41"/>
        <v>0.50039999999999996</v>
      </c>
      <c r="M60" s="729">
        <v>49.46</v>
      </c>
      <c r="N60" s="730">
        <v>-0.01</v>
      </c>
      <c r="O60" s="357" t="s">
        <v>109</v>
      </c>
      <c r="P60" s="479">
        <f t="shared" si="40"/>
        <v>0</v>
      </c>
      <c r="Q60" s="731">
        <v>3.2</v>
      </c>
      <c r="AR60" s="27"/>
    </row>
    <row r="61" spans="1:44" ht="15.75" customHeight="1" thickBot="1" x14ac:dyDescent="0.25">
      <c r="A61" s="1196"/>
      <c r="B61" s="641">
        <v>3</v>
      </c>
      <c r="C61" s="658">
        <f>G8</f>
        <v>17.95</v>
      </c>
      <c r="D61" s="475">
        <f t="shared" ref="D61:G61" si="42">H8</f>
        <v>1.0000000000000001E-5</v>
      </c>
      <c r="E61" s="475">
        <f t="shared" si="42"/>
        <v>-0.04</v>
      </c>
      <c r="F61" s="475">
        <f t="shared" si="42"/>
        <v>2.0005000000000002E-2</v>
      </c>
      <c r="G61" s="642">
        <f t="shared" si="42"/>
        <v>0.21001500000000001</v>
      </c>
      <c r="M61" s="729">
        <v>98.9</v>
      </c>
      <c r="N61" s="730">
        <v>-0.01</v>
      </c>
      <c r="O61" s="365" t="s">
        <v>109</v>
      </c>
      <c r="P61" s="480">
        <f t="shared" si="40"/>
        <v>0</v>
      </c>
      <c r="Q61" s="731">
        <v>3.7</v>
      </c>
      <c r="AR61" s="27"/>
    </row>
    <row r="62" spans="1:44" ht="15.75" customHeight="1" thickBot="1" x14ac:dyDescent="0.25">
      <c r="A62" s="1196"/>
      <c r="B62" s="641">
        <v>4</v>
      </c>
      <c r="C62" s="658">
        <f>G18</f>
        <v>19.899999999999999</v>
      </c>
      <c r="D62" s="475">
        <f t="shared" ref="D62:G62" si="43">H18</f>
        <v>0.2</v>
      </c>
      <c r="E62" s="475" t="str">
        <f t="shared" si="43"/>
        <v>-</v>
      </c>
      <c r="F62" s="475">
        <f t="shared" si="43"/>
        <v>0</v>
      </c>
      <c r="G62" s="642">
        <f t="shared" si="43"/>
        <v>0.39800000000000002</v>
      </c>
      <c r="AR62" s="27"/>
    </row>
    <row r="63" spans="1:44" ht="15.75" customHeight="1" x14ac:dyDescent="0.2">
      <c r="A63" s="1196"/>
      <c r="B63" s="641">
        <v>5</v>
      </c>
      <c r="C63" s="658">
        <f>M8</f>
        <v>19.829999999999998</v>
      </c>
      <c r="D63" s="475">
        <f t="shared" ref="D63:G63" si="44">N8</f>
        <v>0.06</v>
      </c>
      <c r="E63" s="475" t="str">
        <f t="shared" si="44"/>
        <v>-</v>
      </c>
      <c r="F63" s="475">
        <f t="shared" si="44"/>
        <v>0</v>
      </c>
      <c r="G63" s="642">
        <f t="shared" si="44"/>
        <v>0.23072400000000001</v>
      </c>
      <c r="M63" s="1223" t="s">
        <v>369</v>
      </c>
      <c r="N63" s="1224"/>
      <c r="O63" s="1224"/>
      <c r="P63" s="26" t="s">
        <v>198</v>
      </c>
      <c r="Q63" s="1179" t="s">
        <v>302</v>
      </c>
      <c r="AR63" s="27"/>
    </row>
    <row r="64" spans="1:44" ht="15.75" customHeight="1" x14ac:dyDescent="0.2">
      <c r="A64" s="1196"/>
      <c r="B64" s="641">
        <v>6</v>
      </c>
      <c r="C64" s="658">
        <f>M18</f>
        <v>19.829999999999998</v>
      </c>
      <c r="D64" s="475">
        <f t="shared" ref="D64:G64" si="45">N18</f>
        <v>0.09</v>
      </c>
      <c r="E64" s="475" t="str">
        <f t="shared" si="45"/>
        <v>-</v>
      </c>
      <c r="F64" s="475">
        <f t="shared" si="45"/>
        <v>0</v>
      </c>
      <c r="G64" s="642">
        <f t="shared" si="45"/>
        <v>0.23002800000000001</v>
      </c>
      <c r="M64" s="476" t="s">
        <v>305</v>
      </c>
      <c r="N64" s="1181" t="s">
        <v>197</v>
      </c>
      <c r="O64" s="1181"/>
      <c r="P64" s="218"/>
      <c r="Q64" s="1180"/>
      <c r="AR64" s="27"/>
    </row>
    <row r="65" spans="1:44" ht="15.75" customHeight="1" x14ac:dyDescent="0.2">
      <c r="A65" s="1196"/>
      <c r="B65" s="641">
        <v>7</v>
      </c>
      <c r="C65" s="658">
        <f>M29</f>
        <v>17.760000000000002</v>
      </c>
      <c r="D65" s="475">
        <f t="shared" ref="D65:G65" si="46">N29</f>
        <v>-0.02</v>
      </c>
      <c r="E65" s="475" t="str">
        <f t="shared" si="46"/>
        <v>-</v>
      </c>
      <c r="F65" s="475">
        <f t="shared" si="46"/>
        <v>0</v>
      </c>
      <c r="G65" s="642">
        <f t="shared" si="46"/>
        <v>0.206016</v>
      </c>
      <c r="M65" s="29" t="s">
        <v>306</v>
      </c>
      <c r="N65" s="351">
        <v>2022</v>
      </c>
      <c r="O65" s="352" t="s">
        <v>109</v>
      </c>
      <c r="P65" s="218"/>
      <c r="Q65" s="634"/>
      <c r="AR65" s="27"/>
    </row>
    <row r="66" spans="1:44" ht="15.75" customHeight="1" x14ac:dyDescent="0.2">
      <c r="A66" s="1196"/>
      <c r="B66" s="641">
        <v>8</v>
      </c>
      <c r="C66" s="657">
        <f>M39</f>
        <v>17.760000000000002</v>
      </c>
      <c r="D66" s="639">
        <f>N39</f>
        <v>1.0000000000000001E-5</v>
      </c>
      <c r="E66" s="639" t="str">
        <f>O39</f>
        <v>-</v>
      </c>
      <c r="F66" s="639">
        <f>P39</f>
        <v>0</v>
      </c>
      <c r="G66" s="640">
        <f>Q39</f>
        <v>0.206016</v>
      </c>
      <c r="M66" s="353">
        <v>1.0000000000000001E-5</v>
      </c>
      <c r="N66" s="353">
        <v>1.0000000000000001E-5</v>
      </c>
      <c r="O66" s="357" t="s">
        <v>109</v>
      </c>
      <c r="P66" s="479">
        <f>0.5*(MAX(N66:O66)-MIN(N66:O66))</f>
        <v>0</v>
      </c>
      <c r="Q66" s="731">
        <v>0.08</v>
      </c>
      <c r="AR66" s="27"/>
    </row>
    <row r="67" spans="1:44" ht="15.75" customHeight="1" x14ac:dyDescent="0.2">
      <c r="A67" s="1196"/>
      <c r="B67" s="641">
        <v>9</v>
      </c>
      <c r="C67" s="657">
        <f>M49</f>
        <v>17.920000000000002</v>
      </c>
      <c r="D67" s="639">
        <f t="shared" ref="D67:G67" si="47">N49</f>
        <v>7.0000000000000007E-2</v>
      </c>
      <c r="E67" s="639" t="str">
        <f t="shared" si="47"/>
        <v>-</v>
      </c>
      <c r="F67" s="639">
        <f t="shared" si="47"/>
        <v>0</v>
      </c>
      <c r="G67" s="639">
        <f t="shared" si="47"/>
        <v>0.210483</v>
      </c>
      <c r="M67" s="729">
        <v>4.9400000000000004</v>
      </c>
      <c r="N67" s="730">
        <v>-0.02</v>
      </c>
      <c r="O67" s="360" t="s">
        <v>109</v>
      </c>
      <c r="P67" s="479">
        <f>0.5*(MAX(N67:O67)-MIN(N67:O67))</f>
        <v>0</v>
      </c>
      <c r="Q67" s="731">
        <v>0.16</v>
      </c>
      <c r="AR67" s="27"/>
    </row>
    <row r="68" spans="1:44" ht="15.75" customHeight="1" x14ac:dyDescent="0.2">
      <c r="A68" s="1196"/>
      <c r="B68" s="641">
        <v>10</v>
      </c>
      <c r="C68" s="657">
        <f>M59</f>
        <v>19.78</v>
      </c>
      <c r="D68" s="639">
        <f t="shared" ref="D68:G68" si="48">N59</f>
        <v>1.0000000000000001E-5</v>
      </c>
      <c r="E68" s="639" t="str">
        <f t="shared" si="48"/>
        <v>-</v>
      </c>
      <c r="F68" s="639">
        <f t="shared" si="48"/>
        <v>0</v>
      </c>
      <c r="G68" s="639">
        <f t="shared" si="48"/>
        <v>1.6</v>
      </c>
      <c r="M68" s="729">
        <v>9.8699999999999992</v>
      </c>
      <c r="N68" s="730">
        <v>-0.03</v>
      </c>
      <c r="O68" s="360" t="s">
        <v>109</v>
      </c>
      <c r="P68" s="479">
        <f>0.5*(MAX(N68:O68)-MIN(N68:O68))</f>
        <v>0</v>
      </c>
      <c r="Q68" s="731">
        <v>0.26</v>
      </c>
      <c r="AR68" s="27"/>
    </row>
    <row r="69" spans="1:44" ht="15.75" customHeight="1" x14ac:dyDescent="0.2">
      <c r="A69" s="1196"/>
      <c r="B69" s="641">
        <v>11</v>
      </c>
      <c r="C69" s="657">
        <f>M69</f>
        <v>19.78</v>
      </c>
      <c r="D69" s="639">
        <f t="shared" ref="D69:G69" si="49">N69</f>
        <v>-0.04</v>
      </c>
      <c r="E69" s="639" t="str">
        <f t="shared" si="49"/>
        <v>-</v>
      </c>
      <c r="F69" s="639">
        <f t="shared" si="49"/>
        <v>0</v>
      </c>
      <c r="G69" s="639">
        <f t="shared" si="49"/>
        <v>1.6</v>
      </c>
      <c r="M69" s="729">
        <v>19.78</v>
      </c>
      <c r="N69" s="730">
        <v>-0.04</v>
      </c>
      <c r="O69" s="357" t="s">
        <v>109</v>
      </c>
      <c r="P69" s="479">
        <f t="shared" ref="P69:P71" si="50">0.5*(MAX(N69:O69)-MIN(N69:O69))</f>
        <v>0</v>
      </c>
      <c r="Q69" s="731">
        <v>1.6</v>
      </c>
      <c r="AR69" s="27"/>
    </row>
    <row r="70" spans="1:44" ht="15.75" customHeight="1" x14ac:dyDescent="0.2">
      <c r="A70" s="1196">
        <v>5</v>
      </c>
      <c r="B70" s="641">
        <v>1</v>
      </c>
      <c r="C70" s="658">
        <f>A9</f>
        <v>51.11</v>
      </c>
      <c r="D70" s="475">
        <f t="shared" ref="D70:G70" si="51">B9</f>
        <v>0.11</v>
      </c>
      <c r="E70" s="475" t="str">
        <f t="shared" si="51"/>
        <v>-</v>
      </c>
      <c r="F70" s="475">
        <f t="shared" si="51"/>
        <v>0</v>
      </c>
      <c r="G70" s="642">
        <f t="shared" si="51"/>
        <v>1.0222</v>
      </c>
      <c r="M70" s="729">
        <v>49.5</v>
      </c>
      <c r="N70" s="730">
        <v>-0.05</v>
      </c>
      <c r="O70" s="357" t="s">
        <v>109</v>
      </c>
      <c r="P70" s="479">
        <f t="shared" si="50"/>
        <v>0</v>
      </c>
      <c r="Q70" s="731">
        <v>3.2</v>
      </c>
      <c r="AR70" s="27"/>
    </row>
    <row r="71" spans="1:44" ht="15.75" customHeight="1" thickBot="1" x14ac:dyDescent="0.25">
      <c r="A71" s="1196"/>
      <c r="B71" s="641">
        <v>2</v>
      </c>
      <c r="C71" s="658">
        <f>A19</f>
        <v>49.82</v>
      </c>
      <c r="D71" s="475">
        <f t="shared" ref="D71:G71" si="52">B19</f>
        <v>0.72</v>
      </c>
      <c r="E71" s="475" t="str">
        <f t="shared" si="52"/>
        <v>-</v>
      </c>
      <c r="F71" s="475">
        <f t="shared" si="52"/>
        <v>0</v>
      </c>
      <c r="G71" s="642">
        <f t="shared" si="52"/>
        <v>0.99639999999999995</v>
      </c>
      <c r="M71" s="729">
        <v>98.9</v>
      </c>
      <c r="N71" s="730">
        <v>-0.03</v>
      </c>
      <c r="O71" s="365" t="s">
        <v>109</v>
      </c>
      <c r="P71" s="480">
        <f t="shared" si="50"/>
        <v>0</v>
      </c>
      <c r="Q71" s="731">
        <v>3.7</v>
      </c>
      <c r="AR71" s="27"/>
    </row>
    <row r="72" spans="1:44" ht="15.75" customHeight="1" x14ac:dyDescent="0.2">
      <c r="A72" s="1196"/>
      <c r="B72" s="641">
        <v>3</v>
      </c>
      <c r="C72" s="658">
        <f>G9</f>
        <v>19.78</v>
      </c>
      <c r="D72" s="475">
        <f t="shared" ref="D72:G72" si="53">H9</f>
        <v>-0.16</v>
      </c>
      <c r="E72" s="475">
        <f t="shared" si="53"/>
        <v>-0.1</v>
      </c>
      <c r="F72" s="475">
        <f t="shared" si="53"/>
        <v>0.03</v>
      </c>
      <c r="G72" s="642">
        <f t="shared" si="53"/>
        <v>0.23142599999999999</v>
      </c>
      <c r="AR72" s="27"/>
    </row>
    <row r="73" spans="1:44" ht="15.75" customHeight="1" x14ac:dyDescent="0.2">
      <c r="A73" s="1196"/>
      <c r="B73" s="641">
        <v>4</v>
      </c>
      <c r="C73" s="658">
        <f>G19</f>
        <v>50.52</v>
      </c>
      <c r="D73" s="475">
        <f t="shared" ref="D73:G73" si="54">H19</f>
        <v>0.32</v>
      </c>
      <c r="E73" s="475" t="str">
        <f t="shared" si="54"/>
        <v>-</v>
      </c>
      <c r="F73" s="475">
        <f t="shared" si="54"/>
        <v>0</v>
      </c>
      <c r="G73" s="642">
        <f t="shared" si="54"/>
        <v>1.0104</v>
      </c>
      <c r="AR73" s="27"/>
    </row>
    <row r="74" spans="1:44" ht="15.75" customHeight="1" x14ac:dyDescent="0.2">
      <c r="A74" s="1196"/>
      <c r="B74" s="641">
        <v>5</v>
      </c>
      <c r="C74" s="658">
        <f>M9</f>
        <v>50.7</v>
      </c>
      <c r="D74" s="475">
        <f t="shared" ref="D74:G74" si="55">N9</f>
        <v>0.09</v>
      </c>
      <c r="E74" s="475" t="str">
        <f t="shared" si="55"/>
        <v>-</v>
      </c>
      <c r="F74" s="475">
        <f t="shared" si="55"/>
        <v>0</v>
      </c>
      <c r="G74" s="642">
        <f t="shared" si="55"/>
        <v>0.38092500000000001</v>
      </c>
      <c r="AR74" s="27"/>
    </row>
    <row r="75" spans="1:44" ht="15.75" customHeight="1" x14ac:dyDescent="0.2">
      <c r="A75" s="1196"/>
      <c r="B75" s="641">
        <v>6</v>
      </c>
      <c r="C75" s="658">
        <f>M19</f>
        <v>50.7</v>
      </c>
      <c r="D75" s="475">
        <f t="shared" ref="D75:G75" si="56">N19</f>
        <v>0.06</v>
      </c>
      <c r="E75" s="475" t="str">
        <f t="shared" si="56"/>
        <v>-</v>
      </c>
      <c r="F75" s="475">
        <f t="shared" si="56"/>
        <v>0</v>
      </c>
      <c r="G75" s="642">
        <f t="shared" si="56"/>
        <v>0.58811999999999998</v>
      </c>
      <c r="AR75" s="27"/>
    </row>
    <row r="76" spans="1:44" ht="15.75" customHeight="1" x14ac:dyDescent="0.2">
      <c r="A76" s="1196"/>
      <c r="B76" s="641">
        <v>7</v>
      </c>
      <c r="C76" s="658">
        <f>M30</f>
        <v>19.760000000000002</v>
      </c>
      <c r="D76" s="475">
        <f t="shared" ref="D76:G76" si="57">N30</f>
        <v>-0.06</v>
      </c>
      <c r="E76" s="475" t="str">
        <f t="shared" si="57"/>
        <v>-</v>
      </c>
      <c r="F76" s="475">
        <f t="shared" si="57"/>
        <v>0</v>
      </c>
      <c r="G76" s="642">
        <f t="shared" si="57"/>
        <v>0.229216</v>
      </c>
      <c r="AR76" s="27"/>
    </row>
    <row r="77" spans="1:44" ht="15.75" customHeight="1" x14ac:dyDescent="0.2">
      <c r="A77" s="1196"/>
      <c r="B77" s="641">
        <v>8</v>
      </c>
      <c r="C77" s="657">
        <f>M40</f>
        <v>19.760000000000002</v>
      </c>
      <c r="D77" s="639">
        <f>N40</f>
        <v>-0.14000000000000001</v>
      </c>
      <c r="E77" s="639" t="str">
        <f>O40</f>
        <v>-</v>
      </c>
      <c r="F77" s="639">
        <f>P40</f>
        <v>0</v>
      </c>
      <c r="G77" s="640">
        <f>Q40</f>
        <v>0.229216</v>
      </c>
      <c r="AR77" s="27"/>
    </row>
    <row r="78" spans="1:44" ht="15.75" customHeight="1" x14ac:dyDescent="0.2">
      <c r="A78" s="1196"/>
      <c r="B78" s="641">
        <v>9</v>
      </c>
      <c r="C78" s="657">
        <f>M50</f>
        <v>19.93</v>
      </c>
      <c r="D78" s="639">
        <f t="shared" ref="D78:G78" si="58">N50</f>
        <v>0.02</v>
      </c>
      <c r="E78" s="639" t="str">
        <f t="shared" si="58"/>
        <v>-</v>
      </c>
      <c r="F78" s="639">
        <f t="shared" si="58"/>
        <v>0</v>
      </c>
      <c r="G78" s="639">
        <f t="shared" si="58"/>
        <v>0.23341500000000001</v>
      </c>
      <c r="AR78" s="27"/>
    </row>
    <row r="79" spans="1:44" ht="15.75" customHeight="1" x14ac:dyDescent="0.2">
      <c r="A79" s="1196"/>
      <c r="B79" s="641">
        <v>10</v>
      </c>
      <c r="C79" s="657">
        <f>M60</f>
        <v>49.46</v>
      </c>
      <c r="D79" s="639">
        <f t="shared" ref="D79:G79" si="59">N60</f>
        <v>-0.01</v>
      </c>
      <c r="E79" s="639" t="str">
        <f t="shared" si="59"/>
        <v>-</v>
      </c>
      <c r="F79" s="639">
        <f t="shared" si="59"/>
        <v>0</v>
      </c>
      <c r="G79" s="639">
        <f t="shared" si="59"/>
        <v>3.2</v>
      </c>
      <c r="AR79" s="27"/>
    </row>
    <row r="80" spans="1:44" ht="15.75" customHeight="1" x14ac:dyDescent="0.2">
      <c r="A80" s="1196"/>
      <c r="B80" s="641">
        <v>11</v>
      </c>
      <c r="C80" s="657">
        <f>M70</f>
        <v>49.5</v>
      </c>
      <c r="D80" s="639">
        <f t="shared" ref="D80:G80" si="60">N70</f>
        <v>-0.05</v>
      </c>
      <c r="E80" s="639" t="str">
        <f t="shared" si="60"/>
        <v>-</v>
      </c>
      <c r="F80" s="639">
        <f t="shared" si="60"/>
        <v>0</v>
      </c>
      <c r="G80" s="639">
        <f t="shared" si="60"/>
        <v>3.2</v>
      </c>
      <c r="AR80" s="27"/>
    </row>
    <row r="81" spans="1:44" ht="15.75" customHeight="1" x14ac:dyDescent="0.2">
      <c r="A81" s="1196">
        <v>6</v>
      </c>
      <c r="B81" s="641">
        <v>1</v>
      </c>
      <c r="C81" s="658">
        <f>A10</f>
        <v>103.4</v>
      </c>
      <c r="D81" s="475">
        <f t="shared" ref="D81:G81" si="61">B10</f>
        <v>0.11</v>
      </c>
      <c r="E81" s="475" t="str">
        <f t="shared" si="61"/>
        <v>-</v>
      </c>
      <c r="F81" s="475">
        <f t="shared" si="61"/>
        <v>0</v>
      </c>
      <c r="G81" s="642">
        <f t="shared" si="61"/>
        <v>2.06</v>
      </c>
      <c r="AR81" s="27"/>
    </row>
    <row r="82" spans="1:44" ht="15.75" customHeight="1" x14ac:dyDescent="0.2">
      <c r="A82" s="1196"/>
      <c r="B82" s="641">
        <v>2</v>
      </c>
      <c r="C82" s="658">
        <f>A20</f>
        <v>101.74</v>
      </c>
      <c r="D82" s="475">
        <f t="shared" ref="D82:G82" si="62">B20</f>
        <v>1.64</v>
      </c>
      <c r="E82" s="475" t="str">
        <f t="shared" si="62"/>
        <v>-</v>
      </c>
      <c r="F82" s="475">
        <f t="shared" si="62"/>
        <v>0</v>
      </c>
      <c r="G82" s="642">
        <f t="shared" si="62"/>
        <v>2.0348000000000002</v>
      </c>
      <c r="AR82" s="27"/>
    </row>
    <row r="83" spans="1:44" ht="15.75" customHeight="1" x14ac:dyDescent="0.2">
      <c r="A83" s="1196"/>
      <c r="B83" s="641">
        <v>3</v>
      </c>
      <c r="C83" s="658">
        <f>G10</f>
        <v>86.66</v>
      </c>
      <c r="D83" s="475">
        <f t="shared" ref="D83:G83" si="63">H10</f>
        <v>-0.39</v>
      </c>
      <c r="E83" s="475">
        <f t="shared" si="63"/>
        <v>-0.6</v>
      </c>
      <c r="F83" s="475">
        <f t="shared" si="63"/>
        <v>0.10499999999999998</v>
      </c>
      <c r="G83" s="642">
        <f t="shared" si="63"/>
        <v>0.65861599999999998</v>
      </c>
      <c r="AR83" s="27"/>
    </row>
    <row r="84" spans="1:44" ht="15.75" customHeight="1" x14ac:dyDescent="0.2">
      <c r="A84" s="1196"/>
      <c r="B84" s="641">
        <v>4</v>
      </c>
      <c r="C84" s="658">
        <f>G20</f>
        <v>100</v>
      </c>
      <c r="D84" s="475">
        <f t="shared" ref="D84:G84" si="64">H20</f>
        <v>0.5</v>
      </c>
      <c r="E84" s="475" t="str">
        <f t="shared" si="64"/>
        <v>-</v>
      </c>
      <c r="F84" s="475">
        <f t="shared" si="64"/>
        <v>0</v>
      </c>
      <c r="G84" s="642">
        <f t="shared" si="64"/>
        <v>2</v>
      </c>
      <c r="AR84" s="27"/>
    </row>
    <row r="85" spans="1:44" ht="15.75" customHeight="1" x14ac:dyDescent="0.2">
      <c r="A85" s="1196"/>
      <c r="B85" s="641">
        <v>5</v>
      </c>
      <c r="C85" s="658">
        <f>M10</f>
        <v>77.42</v>
      </c>
      <c r="D85" s="475">
        <f t="shared" ref="D85:G85" si="65">N10</f>
        <v>-0.28999999999999998</v>
      </c>
      <c r="E85" s="475" t="str">
        <f t="shared" si="65"/>
        <v>-</v>
      </c>
      <c r="F85" s="475">
        <f t="shared" si="65"/>
        <v>0</v>
      </c>
      <c r="G85" s="642">
        <f t="shared" si="65"/>
        <v>0.57847499999999996</v>
      </c>
      <c r="AR85" s="27"/>
    </row>
    <row r="86" spans="1:44" ht="15.75" customHeight="1" x14ac:dyDescent="0.2">
      <c r="A86" s="1196"/>
      <c r="B86" s="641">
        <v>6</v>
      </c>
      <c r="C86" s="658">
        <f>M20</f>
        <v>77.42</v>
      </c>
      <c r="D86" s="475">
        <f t="shared" ref="D86:G86" si="66">N20</f>
        <v>0.23</v>
      </c>
      <c r="E86" s="475" t="str">
        <f t="shared" si="66"/>
        <v>-</v>
      </c>
      <c r="F86" s="475">
        <f t="shared" si="66"/>
        <v>0</v>
      </c>
      <c r="G86" s="642">
        <f t="shared" si="66"/>
        <v>0.58237499999999998</v>
      </c>
      <c r="AR86" s="27"/>
    </row>
    <row r="87" spans="1:44" ht="15.75" customHeight="1" x14ac:dyDescent="0.2">
      <c r="A87" s="1196"/>
      <c r="B87" s="641">
        <v>7</v>
      </c>
      <c r="C87" s="658">
        <f>M31</f>
        <v>90.96</v>
      </c>
      <c r="D87" s="475">
        <f t="shared" ref="D87:G87" si="67">N31</f>
        <v>-0.2</v>
      </c>
      <c r="E87" s="475" t="str">
        <f t="shared" si="67"/>
        <v>-</v>
      </c>
      <c r="F87" s="475">
        <f t="shared" si="67"/>
        <v>0</v>
      </c>
      <c r="G87" s="642">
        <f t="shared" si="67"/>
        <v>0.68220000000000003</v>
      </c>
      <c r="AR87" s="27"/>
    </row>
    <row r="88" spans="1:44" ht="15.75" customHeight="1" x14ac:dyDescent="0.2">
      <c r="A88" s="1196"/>
      <c r="B88" s="641">
        <v>8</v>
      </c>
      <c r="C88" s="657">
        <f>M41</f>
        <v>90.96</v>
      </c>
      <c r="D88" s="639">
        <f>N41</f>
        <v>-0.21</v>
      </c>
      <c r="E88" s="639" t="str">
        <f>O41</f>
        <v>-</v>
      </c>
      <c r="F88" s="639">
        <f>P41</f>
        <v>0</v>
      </c>
      <c r="G88" s="640">
        <f>Q41</f>
        <v>0.68220000000000003</v>
      </c>
      <c r="AR88" s="27"/>
    </row>
    <row r="89" spans="1:44" ht="15.75" customHeight="1" x14ac:dyDescent="0.2">
      <c r="A89" s="1196"/>
      <c r="B89" s="641">
        <v>9</v>
      </c>
      <c r="C89" s="657">
        <f>M51</f>
        <v>90.96</v>
      </c>
      <c r="D89" s="639">
        <f t="shared" ref="D89:G89" si="68">N51</f>
        <v>0.09</v>
      </c>
      <c r="E89" s="639" t="str">
        <f t="shared" si="68"/>
        <v>-</v>
      </c>
      <c r="F89" s="639">
        <f t="shared" si="68"/>
        <v>0</v>
      </c>
      <c r="G89" s="639">
        <f t="shared" si="68"/>
        <v>1.065285</v>
      </c>
      <c r="AR89" s="27"/>
    </row>
    <row r="90" spans="1:44" ht="15.75" customHeight="1" x14ac:dyDescent="0.2">
      <c r="A90" s="1196"/>
      <c r="B90" s="641">
        <v>10</v>
      </c>
      <c r="C90" s="657">
        <f>M61</f>
        <v>98.9</v>
      </c>
      <c r="D90" s="639">
        <f t="shared" ref="D90:G90" si="69">N61</f>
        <v>-0.01</v>
      </c>
      <c r="E90" s="639" t="str">
        <f t="shared" si="69"/>
        <v>-</v>
      </c>
      <c r="F90" s="639">
        <f t="shared" si="69"/>
        <v>0</v>
      </c>
      <c r="G90" s="639">
        <f t="shared" si="69"/>
        <v>3.7</v>
      </c>
      <c r="AR90" s="27"/>
    </row>
    <row r="91" spans="1:44" ht="15.75" customHeight="1" x14ac:dyDescent="0.2">
      <c r="A91" s="1196"/>
      <c r="B91" s="641">
        <v>11</v>
      </c>
      <c r="C91" s="657">
        <f>M71</f>
        <v>98.9</v>
      </c>
      <c r="D91" s="639">
        <f t="shared" ref="D91:G91" si="70">N71</f>
        <v>-0.03</v>
      </c>
      <c r="E91" s="639" t="str">
        <f t="shared" si="70"/>
        <v>-</v>
      </c>
      <c r="F91" s="639">
        <f t="shared" si="70"/>
        <v>0</v>
      </c>
      <c r="G91" s="639">
        <f t="shared" si="70"/>
        <v>3.7</v>
      </c>
      <c r="AR91" s="27"/>
    </row>
    <row r="92" spans="1:44" ht="13.5" thickBot="1" x14ac:dyDescent="0.25">
      <c r="A92" s="174"/>
      <c r="B92" s="1"/>
      <c r="C92" s="1"/>
      <c r="D92" s="1"/>
      <c r="E92" s="1"/>
      <c r="F92" s="1"/>
      <c r="AR92" s="27"/>
    </row>
    <row r="93" spans="1:44" ht="35.25" customHeight="1" x14ac:dyDescent="0.2">
      <c r="A93" s="46">
        <f>A206</f>
        <v>10</v>
      </c>
      <c r="B93" s="1218" t="str">
        <f>A194</f>
        <v>Gas Flow Analyzer, Merek : Fluke, Model : VT900A, SN : 5101035-5102036</v>
      </c>
      <c r="C93" s="1219"/>
      <c r="D93" s="1219"/>
      <c r="E93" s="1220"/>
      <c r="F93" s="47"/>
      <c r="G93" s="48"/>
      <c r="H93" s="48"/>
      <c r="I93" s="48"/>
      <c r="J93" s="48"/>
      <c r="K93" s="48"/>
      <c r="L93" s="48"/>
      <c r="M93" s="48"/>
      <c r="N93" s="49"/>
      <c r="AR93" s="27"/>
    </row>
    <row r="94" spans="1:44" ht="27" customHeight="1" x14ac:dyDescent="0.2">
      <c r="A94" s="369" t="s">
        <v>305</v>
      </c>
      <c r="B94" s="1225" t="s">
        <v>197</v>
      </c>
      <c r="C94" s="1226"/>
      <c r="D94" s="370" t="s">
        <v>198</v>
      </c>
      <c r="E94" s="1221" t="s">
        <v>314</v>
      </c>
      <c r="G94" s="27"/>
      <c r="H94" s="27"/>
      <c r="I94" s="27"/>
      <c r="J94" s="27"/>
      <c r="K94" s="27"/>
      <c r="L94" s="27"/>
      <c r="M94" s="27"/>
      <c r="N94" s="50"/>
      <c r="AR94" s="27"/>
    </row>
    <row r="95" spans="1:44" ht="15" x14ac:dyDescent="0.2">
      <c r="A95" s="371" t="s">
        <v>306</v>
      </c>
      <c r="B95" s="219">
        <f>VLOOKUP(B93,A195:K205,9,FALSE)</f>
        <v>2022</v>
      </c>
      <c r="C95" s="219" t="str">
        <f>VLOOKUP(B93,A195:K205,10,FALSE)</f>
        <v>-</v>
      </c>
      <c r="D95" s="372"/>
      <c r="E95" s="1222"/>
      <c r="G95" s="27"/>
      <c r="H95" s="27"/>
      <c r="I95" s="27"/>
      <c r="J95" s="27"/>
      <c r="K95" s="27"/>
      <c r="L95" s="27"/>
      <c r="M95" s="27"/>
      <c r="N95" s="50"/>
      <c r="R95" s="373"/>
      <c r="S95" s="27"/>
      <c r="T95" s="27"/>
      <c r="U95" s="27"/>
      <c r="V95" s="27"/>
      <c r="W95" s="27"/>
      <c r="Z95" s="27"/>
      <c r="AA95" s="27"/>
      <c r="AB95" s="27"/>
    </row>
    <row r="96" spans="1:44" x14ac:dyDescent="0.2">
      <c r="A96" s="374">
        <f>VLOOKUP(A93,B26:G36,2)</f>
        <v>1.0000000000000001E-5</v>
      </c>
      <c r="B96" s="86">
        <f>VLOOKUP(A93,B26:G36,3,FALSE)</f>
        <v>1.0000000000000001E-5</v>
      </c>
      <c r="C96" s="86" t="str">
        <f>VLOOKUP($A$93,B26:G36,4,FALSE)</f>
        <v>-</v>
      </c>
      <c r="D96" s="86">
        <f>VLOOKUP($A$93,B26:G36,5,FALSE)</f>
        <v>0</v>
      </c>
      <c r="E96" s="482">
        <f>VLOOKUP($A$93,B26:G36,6,FALSE)</f>
        <v>0.08</v>
      </c>
      <c r="G96" s="27"/>
      <c r="H96" s="27"/>
      <c r="I96" s="27"/>
      <c r="J96" s="27"/>
      <c r="K96" s="27"/>
      <c r="L96" s="27"/>
      <c r="M96" s="27"/>
      <c r="N96" s="50"/>
      <c r="W96" s="27"/>
      <c r="Z96" s="27"/>
      <c r="AA96" s="27"/>
      <c r="AB96" s="27"/>
    </row>
    <row r="97" spans="1:28" x14ac:dyDescent="0.2">
      <c r="A97" s="374">
        <f>VLOOKUP(A93,B37:G47,2)</f>
        <v>4.95</v>
      </c>
      <c r="B97" s="86">
        <f>VLOOKUP(A93,B37:G47,3,FALSE)</f>
        <v>1.0000000000000001E-5</v>
      </c>
      <c r="C97" s="86" t="str">
        <f>VLOOKUP($A$93,B37:G47,4,FALSE)</f>
        <v>-</v>
      </c>
      <c r="D97" s="86">
        <f>VLOOKUP($A$93,B37:G47,5,FALSE)</f>
        <v>0</v>
      </c>
      <c r="E97" s="482">
        <f>VLOOKUP($A$93,B37:G47,6,FALSE)</f>
        <v>0.16</v>
      </c>
      <c r="G97" s="27"/>
      <c r="H97" s="27"/>
      <c r="I97" s="27"/>
      <c r="J97" s="27"/>
      <c r="K97" s="27"/>
      <c r="L97" s="27"/>
      <c r="M97" s="27"/>
      <c r="N97" s="50"/>
      <c r="W97" s="375"/>
      <c r="Z97" s="375"/>
      <c r="AA97" s="375"/>
      <c r="AB97" s="375"/>
    </row>
    <row r="98" spans="1:28" x14ac:dyDescent="0.2">
      <c r="A98" s="374">
        <f>VLOOKUP(A93,B48:G58,2)</f>
        <v>9.8800000000000008</v>
      </c>
      <c r="B98" s="86">
        <f>VLOOKUP(A93,B48:G58,3,FALSE)</f>
        <v>1.0000000000000001E-5</v>
      </c>
      <c r="C98" s="86" t="str">
        <f>VLOOKUP($A$93,B48:G58,4,FALSE)</f>
        <v>-</v>
      </c>
      <c r="D98" s="86">
        <f>VLOOKUP($A$93,B48:G58,5,FALSE)</f>
        <v>0</v>
      </c>
      <c r="E98" s="482">
        <f>VLOOKUP($A$93,B48:G58,6,FALSE)</f>
        <v>0.26</v>
      </c>
      <c r="G98" s="27"/>
      <c r="H98" s="27"/>
      <c r="I98" s="27"/>
      <c r="J98" s="27"/>
      <c r="K98" s="27"/>
      <c r="L98" s="27"/>
      <c r="M98" s="27"/>
      <c r="N98" s="50"/>
      <c r="W98" s="376"/>
      <c r="Z98" s="376"/>
      <c r="AA98" s="376"/>
      <c r="AB98" s="376"/>
    </row>
    <row r="99" spans="1:28" x14ac:dyDescent="0.2">
      <c r="A99" s="374">
        <f>VLOOKUP(A93,B59:G69,2)</f>
        <v>19.78</v>
      </c>
      <c r="B99" s="86">
        <f>VLOOKUP(A93,B59:G69,3,FALSE)</f>
        <v>1.0000000000000001E-5</v>
      </c>
      <c r="C99" s="86" t="str">
        <f>VLOOKUP($A$93,B59:G69,4,FALSE)</f>
        <v>-</v>
      </c>
      <c r="D99" s="86">
        <f>VLOOKUP($A$93,B59:G69,5,FALSE)</f>
        <v>0</v>
      </c>
      <c r="E99" s="482">
        <f>VLOOKUP($A$93,B59:G69,6,FALSE)</f>
        <v>1.6</v>
      </c>
      <c r="G99" s="27"/>
      <c r="H99" s="27"/>
      <c r="I99" s="27"/>
      <c r="J99" s="27"/>
      <c r="K99" s="27"/>
      <c r="L99" s="27"/>
      <c r="M99" s="27"/>
      <c r="N99" s="50"/>
      <c r="W99" s="376"/>
      <c r="Z99" s="376"/>
      <c r="AA99" s="376"/>
      <c r="AB99" s="376"/>
    </row>
    <row r="100" spans="1:28" x14ac:dyDescent="0.2">
      <c r="A100" s="374">
        <f>VLOOKUP(A93,B70:G80,2)</f>
        <v>49.46</v>
      </c>
      <c r="B100" s="86">
        <f>VLOOKUP(A93,B70:G80,3,FALSE)</f>
        <v>-0.01</v>
      </c>
      <c r="C100" s="86" t="str">
        <f>VLOOKUP($A$93,B70:G80,4,FALSE)</f>
        <v>-</v>
      </c>
      <c r="D100" s="86">
        <f>VLOOKUP($A$93,B70:G80,5,FALSE)</f>
        <v>0</v>
      </c>
      <c r="E100" s="482">
        <f>VLOOKUP($A$93,B70:G80,6,FALSE)</f>
        <v>3.2</v>
      </c>
      <c r="G100" s="27"/>
      <c r="H100" s="27"/>
      <c r="I100" s="27"/>
      <c r="J100" s="27"/>
      <c r="K100" s="27"/>
      <c r="L100" s="27"/>
      <c r="M100" s="27"/>
      <c r="N100" s="50"/>
      <c r="W100" s="376"/>
      <c r="Z100" s="376"/>
      <c r="AA100" s="376"/>
      <c r="AB100" s="376"/>
    </row>
    <row r="101" spans="1:28" ht="13.5" thickBot="1" x14ac:dyDescent="0.25">
      <c r="A101" s="377">
        <f>VLOOKUP(A93,B81:G91,2)</f>
        <v>98.9</v>
      </c>
      <c r="B101" s="88">
        <f>VLOOKUP(A93,B81:G91,3,FALSE)</f>
        <v>-0.01</v>
      </c>
      <c r="C101" s="88" t="str">
        <f>VLOOKUP($A$93,B81:G91,4,FALSE)</f>
        <v>-</v>
      </c>
      <c r="D101" s="88">
        <f>VLOOKUP($A$93,B81:G91,5,FALSE)</f>
        <v>0</v>
      </c>
      <c r="E101" s="483">
        <f>VLOOKUP($A$93,B81:G91,6,FALSE)</f>
        <v>3.7</v>
      </c>
      <c r="G101" s="27"/>
      <c r="H101" s="27"/>
      <c r="I101" s="27"/>
      <c r="J101" s="27"/>
      <c r="K101" s="27"/>
      <c r="L101" s="27"/>
      <c r="M101" s="27"/>
      <c r="N101" s="50"/>
      <c r="W101" s="376"/>
      <c r="Z101" s="376"/>
      <c r="AA101" s="376"/>
      <c r="AB101" s="376"/>
    </row>
    <row r="102" spans="1:28" ht="13.5" thickBot="1" x14ac:dyDescent="0.25">
      <c r="A102" s="51"/>
      <c r="B102" s="1"/>
      <c r="C102" s="52"/>
      <c r="D102" s="52"/>
      <c r="E102" s="52"/>
      <c r="F102" s="52"/>
      <c r="G102" s="27"/>
      <c r="H102" s="27"/>
      <c r="I102" s="27"/>
      <c r="J102" s="27"/>
      <c r="K102" s="27"/>
      <c r="L102" s="27"/>
      <c r="M102" s="27"/>
      <c r="N102" s="50"/>
      <c r="W102" s="376"/>
      <c r="Z102" s="376"/>
      <c r="AA102" s="376"/>
      <c r="AB102" s="376"/>
    </row>
    <row r="103" spans="1:28" ht="16.5" thickBot="1" x14ac:dyDescent="0.25">
      <c r="A103" s="1171" t="s">
        <v>315</v>
      </c>
      <c r="B103" s="1172"/>
      <c r="C103" s="1172"/>
      <c r="D103" s="1173"/>
      <c r="E103" s="50"/>
      <c r="F103" s="1174" t="s">
        <v>316</v>
      </c>
      <c r="G103" s="1175"/>
      <c r="H103" s="1175"/>
      <c r="I103" s="1176"/>
      <c r="J103" s="53"/>
      <c r="K103" s="1174" t="s">
        <v>317</v>
      </c>
      <c r="L103" s="1175"/>
      <c r="M103" s="1175"/>
      <c r="N103" s="1176"/>
      <c r="W103" s="376"/>
      <c r="Z103" s="376"/>
      <c r="AA103" s="376"/>
      <c r="AB103" s="376"/>
    </row>
    <row r="104" spans="1:28" x14ac:dyDescent="0.2">
      <c r="A104" s="340"/>
      <c r="B104" s="54">
        <f>IF(A105&lt;=$A$97,$A$96,IF(A105&lt;=$A$98,$A$97,IF(A105&lt;=$A$99,$A$98,IF(A105&lt;=$A$100,$A$99,IF(A105&lt;=$A$101,$A$100)))))</f>
        <v>1.0000000000000001E-5</v>
      </c>
      <c r="C104" s="220"/>
      <c r="D104" s="55">
        <f>IF(A105&lt;=$A$97,$B$96,IF(A105&lt;=$A$98,$B$97,IF(A105&lt;=$A$99,$B$98,IF(A105&lt;=$A$100,$B$99,IF(A105&lt;=$A$101,$B$100)))))</f>
        <v>1.0000000000000001E-5</v>
      </c>
      <c r="E104" s="27"/>
      <c r="F104" s="2"/>
      <c r="G104" s="54">
        <f>IF(F105&lt;=$A$97,$A$96,IF(F105&lt;=$A$98,$A$97,IF(F105&lt;=$A$99,$A$98,IF(F105&lt;=$A$100,$A$99,IF(F105&lt;=$A$101,$A$100)))))</f>
        <v>1.0000000000000001E-5</v>
      </c>
      <c r="H104" s="220"/>
      <c r="I104" s="55">
        <f>IF(F105&lt;=$A$97,$D$96,IF(F105&lt;=$A$98,$D$97,IF(F105&lt;=$A$99,$D$98,IF(F105&lt;=$A$100,$D$99,IF(F105&lt;=$A$101,$D$100)))))</f>
        <v>0</v>
      </c>
      <c r="J104" s="27"/>
      <c r="K104" s="2"/>
      <c r="L104" s="54">
        <f>IF(K105&lt;=$A$97,$A$96,IF(K105&lt;=$A$98,$A$97,IF(K105&lt;=$A$99,$A$98,IF(K105&lt;=$A$100,$A$99,IF(K105&lt;=$A$101,$A$100)))))</f>
        <v>1.0000000000000001E-5</v>
      </c>
      <c r="M104" s="220"/>
      <c r="N104" s="484">
        <f>IF(K105&lt;=$A$97,$E$96,IF(K105&lt;=$A$98,$E$97,IF(K105&lt;=$A$99,$E$98,IF(K105&lt;=$A$100,$E$99,IF(K105&lt;=$A$101,$E$100)))))</f>
        <v>0.08</v>
      </c>
      <c r="W104" s="376"/>
      <c r="Z104" s="376"/>
      <c r="AA104" s="376"/>
      <c r="AB104" s="376"/>
    </row>
    <row r="105" spans="1:28" x14ac:dyDescent="0.2">
      <c r="A105" s="3">
        <f>B151</f>
        <v>0.99499999999999988</v>
      </c>
      <c r="B105" s="221"/>
      <c r="C105" s="7">
        <f>((A105-B104)/(B106-B104)*(D106-D104)+D104)</f>
        <v>1.0000000000000001E-5</v>
      </c>
      <c r="D105" s="56"/>
      <c r="E105" s="27"/>
      <c r="F105" s="3">
        <f>C151</f>
        <v>0.99500999999999984</v>
      </c>
      <c r="G105" s="221"/>
      <c r="H105" s="7">
        <f>((F105-G104)/(G106-G104)*(I106-I104)+I104)</f>
        <v>0</v>
      </c>
      <c r="I105" s="56"/>
      <c r="J105" s="27"/>
      <c r="K105" s="3">
        <f>C151</f>
        <v>0.99500999999999984</v>
      </c>
      <c r="L105" s="221"/>
      <c r="M105" s="7">
        <f>((K105-L104)/(L106-L104)*(N106-N104)+N104)</f>
        <v>9.6080840567354678E-2</v>
      </c>
      <c r="N105" s="485"/>
      <c r="W105" s="376"/>
      <c r="Z105" s="376"/>
      <c r="AA105" s="376"/>
      <c r="AB105" s="376"/>
    </row>
    <row r="106" spans="1:28" ht="13.5" thickBot="1" x14ac:dyDescent="0.25">
      <c r="A106" s="5"/>
      <c r="B106" s="57">
        <f>IF(A105&lt;=$A$97,$A$97,IF(A105&lt;=$A$98,$A$98,IF(A105&lt;=$A$99,$A$99,IF(A105&lt;=$A$100,$A$100,IF(A105&lt;=$A$101,$A$101)))))</f>
        <v>4.95</v>
      </c>
      <c r="C106" s="8"/>
      <c r="D106" s="58">
        <f>IF(A105&lt;=$A$97,$B$97,IF(A105&lt;=$A$98,$B$98,IF(A105&lt;=$A$99,$B$99,IF(A105&lt;=$A$100,$B$100,IF(A105&lt;=$A$101,$B$101)))))</f>
        <v>1.0000000000000001E-5</v>
      </c>
      <c r="E106" s="27"/>
      <c r="F106" s="4"/>
      <c r="G106" s="57">
        <f>IF(F105&lt;=$A$97,$A$97,IF(F105&lt;=$A$98,$A$98,IF(F105&lt;=$A$99,$A$99,IF(F105&lt;=$A$100,$A$100,IF(F105&lt;=$A$101,$A$101)))))</f>
        <v>4.95</v>
      </c>
      <c r="H106" s="8"/>
      <c r="I106" s="58">
        <f>IF(F105&lt;=$A$97,$D$97,IF(F105&lt;=$A$98,$D$98,IF(F105&lt;=$A$99,$D$99,IF(F105&lt;=$A$100,$D$100,IF(F105&lt;=$A$101,$D$101)))))</f>
        <v>0</v>
      </c>
      <c r="J106" s="27"/>
      <c r="K106" s="4"/>
      <c r="L106" s="57">
        <f>IF(K105&lt;=$A$97,$A$97,IF(K105&lt;=$A$98,$A$98,IF(K105&lt;=$A$99,$A$99,IF(K105&lt;=$A$100,$A$100,IF(K105&lt;=$A$101,$A$101)))))</f>
        <v>4.95</v>
      </c>
      <c r="M106" s="8"/>
      <c r="N106" s="486">
        <f>IF(K105&lt;=$A$97,$E$97,IF(K105&lt;=$A$98,$E$98,IF(K105&lt;=$A$99,$E$99,IF(K105&lt;=$A$100,$E$100,IF(K105&lt;=$A$101,$E$101)))))</f>
        <v>0.16</v>
      </c>
      <c r="W106" s="376"/>
      <c r="Z106" s="376"/>
      <c r="AA106" s="376"/>
      <c r="AB106" s="376"/>
    </row>
    <row r="107" spans="1:28" ht="16.5" thickBot="1" x14ac:dyDescent="0.25">
      <c r="A107" s="1171" t="s">
        <v>315</v>
      </c>
      <c r="B107" s="1172"/>
      <c r="C107" s="1172"/>
      <c r="D107" s="1173"/>
      <c r="E107" s="27"/>
      <c r="F107" s="1174" t="s">
        <v>316</v>
      </c>
      <c r="G107" s="1175"/>
      <c r="H107" s="1175"/>
      <c r="I107" s="1176"/>
      <c r="J107" s="27"/>
      <c r="K107" s="1174" t="s">
        <v>317</v>
      </c>
      <c r="L107" s="1175"/>
      <c r="M107" s="1175"/>
      <c r="N107" s="1176"/>
      <c r="W107" s="376"/>
      <c r="Z107" s="376"/>
      <c r="AA107" s="376"/>
      <c r="AB107" s="376"/>
    </row>
    <row r="108" spans="1:28" x14ac:dyDescent="0.2">
      <c r="A108" s="2"/>
      <c r="B108" s="54">
        <f>IF(A109&lt;=$A$97,$A$96,IF(A109&lt;=$A$98,$A$97,IF(A109&lt;=$A$99,$A$98,IF(A109&lt;=$A$100,$A$99,IF(A109&lt;=$A$101,$A$100)))))</f>
        <v>1.0000000000000001E-5</v>
      </c>
      <c r="C108" s="220"/>
      <c r="D108" s="55">
        <f>IF(A109&lt;=$A$97,$B$96,IF(A109&lt;=$A$98,$B$97,IF(A109&lt;=$A$99,$B$98,IF(A109&lt;=$A$100,$B$99,IF(A109&lt;=$A$101,$B$100)))))</f>
        <v>1.0000000000000001E-5</v>
      </c>
      <c r="E108" s="27"/>
      <c r="F108" s="2"/>
      <c r="G108" s="54">
        <f>IF(F109&lt;=$A$97,$A$96,IF(F109&lt;=$A$98,$A$97,IF(F109&lt;=$A$99,$A$98,IF(F109&lt;=$A$100,$A$99,IF(F109&lt;=$A$101,$A$100)))))</f>
        <v>1.0000000000000001E-5</v>
      </c>
      <c r="H108" s="220"/>
      <c r="I108" s="55">
        <f>IF(F109&lt;=$A$97,$D$96,IF(F109&lt;=$A$98,$D$97,IF(F109&lt;=$A$99,$D$98,IF(F109&lt;=$A$100,$D$99,IF(F109&lt;=$A$101,$D$100)))))</f>
        <v>0</v>
      </c>
      <c r="J108" s="27"/>
      <c r="K108" s="2"/>
      <c r="L108" s="54">
        <f>IF(K109&lt;=$A$97,$A$96,IF(K109&lt;=$A$98,$A$97,IF(K109&lt;=$A$99,$A$98,IF(K109&lt;=$A$100,$A$99,IF(K109&lt;=$A$101,$A$100)))))</f>
        <v>1.0000000000000001E-5</v>
      </c>
      <c r="M108" s="220"/>
      <c r="N108" s="484">
        <f>IF(K109&lt;=$A$97,$E$96,IF(K109&lt;=$A$98,$E$97,IF(K109&lt;=$A$99,$E$98,IF(K109&lt;=$A$100,$E$99,IF(K109&lt;=$A$101,$E$100)))))</f>
        <v>0.08</v>
      </c>
      <c r="W108" s="376"/>
      <c r="Z108" s="376"/>
      <c r="AA108" s="376"/>
      <c r="AB108" s="376"/>
    </row>
    <row r="109" spans="1:28" x14ac:dyDescent="0.2">
      <c r="A109" s="3">
        <f>B152</f>
        <v>2.0968</v>
      </c>
      <c r="B109" s="221"/>
      <c r="C109" s="7">
        <f>((A109-B108)/(B110-B108)*(D110-D108)+D108)</f>
        <v>1.0000000000000001E-5</v>
      </c>
      <c r="D109" s="56"/>
      <c r="E109" s="27"/>
      <c r="F109" s="3">
        <f>C152</f>
        <v>2.0968100000000001</v>
      </c>
      <c r="G109" s="221"/>
      <c r="H109" s="7">
        <f>((F109-G108)/(G110-G108)*(I110-I108)+I108)</f>
        <v>0</v>
      </c>
      <c r="I109" s="56"/>
      <c r="J109" s="27"/>
      <c r="K109" s="3">
        <f>C152</f>
        <v>2.0968100000000001</v>
      </c>
      <c r="L109" s="221"/>
      <c r="M109" s="7">
        <f>((K109-L108)/(L110-L108)*(N110-N108)+N108)</f>
        <v>0.11388774522776814</v>
      </c>
      <c r="N109" s="485"/>
      <c r="W109" s="376"/>
      <c r="Z109" s="376"/>
      <c r="AA109" s="376"/>
      <c r="AB109" s="376"/>
    </row>
    <row r="110" spans="1:28" ht="13.5" thickBot="1" x14ac:dyDescent="0.25">
      <c r="A110" s="5"/>
      <c r="B110" s="57">
        <f>IF(A109&lt;=$A$97,$A$97,IF(A109&lt;=$A$98,$A$98,IF(A109&lt;=$A$99,$A$99,IF(A109&lt;=$A$100,$A$100,IF(A109&lt;=$A$101,$A$101)))))</f>
        <v>4.95</v>
      </c>
      <c r="C110" s="8"/>
      <c r="D110" s="58">
        <f>IF(A109&lt;=$A$97,$B$97,IF(A109&lt;=$A$98,$B$98,IF(A109&lt;=$A$99,$B$99,IF(A109&lt;=$A$100,$B$100,IF(A109&lt;=$A$101,$B$101)))))</f>
        <v>1.0000000000000001E-5</v>
      </c>
      <c r="E110" s="27"/>
      <c r="F110" s="4"/>
      <c r="G110" s="57">
        <f>IF(F109&lt;=$A$97,$A$97,IF(F109&lt;=$A$98,$A$98,IF(F109&lt;=$A$99,$A$99,IF(F109&lt;=$A$100,$A$100,IF(F109&lt;=$A$101,$A$101)))))</f>
        <v>4.95</v>
      </c>
      <c r="H110" s="8"/>
      <c r="I110" s="58">
        <f>IF(F109&lt;=$A$97,$D$97,IF(F109&lt;=$A$98,$D$98,IF(F109&lt;=$A$99,$D$99,IF(F109&lt;=$A$100,$D$100,IF(F109&lt;=$A$101,$D$101)))))</f>
        <v>0</v>
      </c>
      <c r="J110" s="27"/>
      <c r="K110" s="4"/>
      <c r="L110" s="57">
        <f>IF(K109&lt;=$A$97,$A$97,IF(K109&lt;=$A$98,$A$98,IF(K109&lt;=$A$99,$A$99,IF(K109&lt;=$A$100,$A$100,IF(K109&lt;=$A$101,$A$101)))))</f>
        <v>4.95</v>
      </c>
      <c r="M110" s="8"/>
      <c r="N110" s="486">
        <f>IF(K109&lt;=$A$97,$E$97,IF(K109&lt;=$A$98,$E$98,IF(K109&lt;=$A$99,$E$99,IF(K109&lt;=$A$100,$E$100,IF(K109&lt;=$A$101,$E$101)))))</f>
        <v>0.16</v>
      </c>
      <c r="W110" s="376"/>
      <c r="Z110" s="376"/>
      <c r="AA110" s="376"/>
      <c r="AB110" s="376"/>
    </row>
    <row r="111" spans="1:28" ht="16.5" thickBot="1" x14ac:dyDescent="0.25">
      <c r="A111" s="1171" t="s">
        <v>315</v>
      </c>
      <c r="B111" s="1172"/>
      <c r="C111" s="1172"/>
      <c r="D111" s="1173"/>
      <c r="E111" s="27"/>
      <c r="F111" s="1174" t="s">
        <v>316</v>
      </c>
      <c r="G111" s="1175"/>
      <c r="H111" s="1175"/>
      <c r="I111" s="1176"/>
      <c r="J111" s="27"/>
      <c r="K111" s="1174" t="s">
        <v>317</v>
      </c>
      <c r="L111" s="1175"/>
      <c r="M111" s="1175"/>
      <c r="N111" s="1176"/>
      <c r="W111" s="376"/>
      <c r="Z111" s="376"/>
      <c r="AA111" s="376"/>
      <c r="AB111" s="376"/>
    </row>
    <row r="112" spans="1:28" x14ac:dyDescent="0.2">
      <c r="A112" s="2"/>
      <c r="B112" s="54">
        <f>IF(A113&lt;=$A$97,$A$96,IF(A113&lt;=$A$98,$A$97,IF(A113&lt;=$A$99,$A$98,IF(A113&lt;=$A$100,$A$99,IF(A113&lt;=$A$101,$A$100)))))</f>
        <v>1.0000000000000001E-5</v>
      </c>
      <c r="C112" s="220"/>
      <c r="D112" s="55">
        <f>IF(A113&lt;=$A$97,$B$96,IF(A113&lt;=$A$98,$B$97,IF(A113&lt;=$A$99,$B$98,IF(A113&lt;=$A$100,$B$99,IF(A113&lt;=$A$101,$B$100)))))</f>
        <v>1.0000000000000001E-5</v>
      </c>
      <c r="E112" s="27"/>
      <c r="F112" s="2"/>
      <c r="G112" s="54">
        <f>IF(F113&lt;=$A$97,$A$96,IF(F113&lt;=$A$98,$A$97,IF(F113&lt;=$A$99,$A$98,IF(F113&lt;=$A$100,$A$99,IF(F113&lt;=$A$101,$A$100)))))</f>
        <v>1.0000000000000001E-5</v>
      </c>
      <c r="H112" s="220"/>
      <c r="I112" s="55">
        <f>IF(F113&lt;=$A$97,$D$96,IF(F113&lt;=$A$98,$D$97,IF(F113&lt;=$A$99,$D$98,IF(F113&lt;=$A$100,$D$99,IF(F113&lt;=$A$101,$D$100)))))</f>
        <v>0</v>
      </c>
      <c r="J112" s="27"/>
      <c r="K112" s="2"/>
      <c r="L112" s="54">
        <f>IF(K113&lt;=$A$97,$A$96,IF(K113&lt;=$A$98,$A$97,IF(K113&lt;=$A$99,$A$98,IF(K113&lt;=$A$100,$A$99,IF(K113&lt;=$A$101,$A$100)))))</f>
        <v>1.0000000000000001E-5</v>
      </c>
      <c r="M112" s="220"/>
      <c r="N112" s="484">
        <f>IF(K113&lt;=$A$97,$E$96,IF(K113&lt;=$A$98,$E$97,IF(K113&lt;=$A$99,$E$98,IF(K113&lt;=$A$100,$E$99,IF(K113&lt;=$A$101,$E$100)))))</f>
        <v>0.08</v>
      </c>
      <c r="W112" s="376"/>
      <c r="Z112" s="376"/>
      <c r="AA112" s="376"/>
      <c r="AB112" s="376"/>
    </row>
    <row r="113" spans="1:28" x14ac:dyDescent="0.2">
      <c r="A113" s="3">
        <f>B153</f>
        <v>3.1531999999999996</v>
      </c>
      <c r="B113" s="221"/>
      <c r="C113" s="7">
        <f>((A113-B112)/(B114-B112)*(D114-D112)+D112)</f>
        <v>1.0000000000000001E-5</v>
      </c>
      <c r="D113" s="56"/>
      <c r="E113" s="27"/>
      <c r="F113" s="3">
        <f>C153</f>
        <v>3.1532099999999996</v>
      </c>
      <c r="G113" s="221"/>
      <c r="H113" s="7">
        <f>((F113-G112)/(G114-G112)*(I114-I112)+I112)</f>
        <v>0</v>
      </c>
      <c r="I113" s="56"/>
      <c r="J113" s="27"/>
      <c r="K113" s="3">
        <f>C153</f>
        <v>3.1532099999999996</v>
      </c>
      <c r="L113" s="221"/>
      <c r="M113" s="7">
        <f>((K113-L112)/(L114-L112)*(N114-N112)+N112)</f>
        <v>0.1309609110321435</v>
      </c>
      <c r="N113" s="485"/>
      <c r="W113" s="376"/>
      <c r="Z113" s="376"/>
      <c r="AA113" s="376"/>
      <c r="AB113" s="376"/>
    </row>
    <row r="114" spans="1:28" ht="13.5" thickBot="1" x14ac:dyDescent="0.25">
      <c r="A114" s="5"/>
      <c r="B114" s="57">
        <f>IF(A113&lt;=$A$97,$A$97,IF(A113&lt;=$A$98,$A$98,IF(A113&lt;=$A$99,$A$99,IF(A113&lt;=$A$100,$A$100,IF(A113&lt;=$A$101,$A$101)))))</f>
        <v>4.95</v>
      </c>
      <c r="C114" s="8"/>
      <c r="D114" s="58">
        <f>IF(A113&lt;=$A$97,$B$97,IF(A113&lt;=$A$98,$B$98,IF(A113&lt;=$A$99,$B$99,IF(A113&lt;=$A$100,$B$100,IF(A113&lt;=$A$101,$B$101)))))</f>
        <v>1.0000000000000001E-5</v>
      </c>
      <c r="E114" s="27"/>
      <c r="F114" s="4"/>
      <c r="G114" s="57">
        <f>IF(F113&lt;=$A$97,$A$97,IF(F113&lt;=$A$98,$A$98,IF(F113&lt;=$A$99,$A$99,IF(F113&lt;=$A$100,$A$100,IF(F113&lt;=$A$101,$A$101)))))</f>
        <v>4.95</v>
      </c>
      <c r="H114" s="8"/>
      <c r="I114" s="58">
        <f>IF(F113&lt;=$A$97,$D$97,IF(F113&lt;=$A$98,$D$98,IF(F113&lt;=$A$99,$D$99,IF(F113&lt;=$A$100,$D$100,IF(F113&lt;=$A$101,$D$101)))))</f>
        <v>0</v>
      </c>
      <c r="J114" s="27"/>
      <c r="K114" s="4"/>
      <c r="L114" s="57">
        <f>IF(K113&lt;=$A$97,$A$97,IF(K113&lt;=$A$98,$A$98,IF(K113&lt;=$A$99,$A$99,IF(K113&lt;=$A$100,$A$100,IF(K113&lt;=$A$101,$A$101)))))</f>
        <v>4.95</v>
      </c>
      <c r="M114" s="8"/>
      <c r="N114" s="486">
        <f>IF(K113&lt;=$A$97,$E$97,IF(K113&lt;=$A$98,$E$98,IF(K113&lt;=$A$99,$E$99,IF(K113&lt;=$A$100,$E$100,IF(K113&lt;=$A$101,$E$101)))))</f>
        <v>0.16</v>
      </c>
      <c r="W114" s="376"/>
      <c r="Z114" s="376"/>
      <c r="AA114" s="376"/>
      <c r="AB114" s="376"/>
    </row>
    <row r="115" spans="1:28" ht="16.5" thickBot="1" x14ac:dyDescent="0.25">
      <c r="A115" s="1171" t="s">
        <v>315</v>
      </c>
      <c r="B115" s="1172"/>
      <c r="C115" s="1172"/>
      <c r="D115" s="1173"/>
      <c r="E115" s="27"/>
      <c r="F115" s="1174" t="s">
        <v>316</v>
      </c>
      <c r="G115" s="1175"/>
      <c r="H115" s="1175"/>
      <c r="I115" s="1176"/>
      <c r="J115" s="27"/>
      <c r="K115" s="1174" t="s">
        <v>317</v>
      </c>
      <c r="L115" s="1175"/>
      <c r="M115" s="1175"/>
      <c r="N115" s="1176"/>
      <c r="W115" s="376"/>
      <c r="Z115" s="376"/>
      <c r="AA115" s="376"/>
      <c r="AB115" s="376"/>
    </row>
    <row r="116" spans="1:28" x14ac:dyDescent="0.2">
      <c r="A116" s="2"/>
      <c r="B116" s="54">
        <f>IF(A117&lt;=$A$97,$A$96,IF(A117&lt;=$A$98,$A$97,IF(A117&lt;=$A$99,$A$98,IF(A117&lt;=$A$100,$A$99,IF(A117&lt;=$A$101,$A$100)))))</f>
        <v>1.0000000000000001E-5</v>
      </c>
      <c r="C116" s="220"/>
      <c r="D116" s="55">
        <f>IF(A117&lt;=$A$97,$B$96,IF(A117&lt;=$A$98,$B$97,IF(A117&lt;=$A$99,$B$98,IF(A117&lt;=$A$100,$B$99,IF(A117&lt;=$A$101,$B$100)))))</f>
        <v>1.0000000000000001E-5</v>
      </c>
      <c r="E116" s="27"/>
      <c r="F116" s="2"/>
      <c r="G116" s="54">
        <f>IF(F117&lt;=$A$97,$A$96,IF(F117&lt;=$A$98,$A$97,IF(F117&lt;=$A$99,$A$98,IF(F117&lt;=$A$100,$A$99,IF(F117&lt;=$A$101,$A$100)))))</f>
        <v>1.0000000000000001E-5</v>
      </c>
      <c r="H116" s="220"/>
      <c r="I116" s="55">
        <f>IF(F117&lt;=$A$97,$D$96,IF(F117&lt;=$A$98,$D$97,IF(F117&lt;=$A$99,$D$98,IF(F117&lt;=$A$100,$D$99,IF(F117&lt;=$A$101,$D$100)))))</f>
        <v>0</v>
      </c>
      <c r="J116" s="27"/>
      <c r="K116" s="2"/>
      <c r="L116" s="54">
        <f>IF(K117&lt;=$A$97,$A$96,IF(K117&lt;=$A$98,$A$97,IF(K117&lt;=$A$99,$A$98,IF(K117&lt;=$A$100,$A$99,IF(K117&lt;=$A$101,$A$100)))))</f>
        <v>1.0000000000000001E-5</v>
      </c>
      <c r="M116" s="220"/>
      <c r="N116" s="484">
        <f>IF(K117&lt;=$A$97,$E$96,IF(K117&lt;=$A$98,$E$97,IF(K117&lt;=$A$99,$E$98,IF(K117&lt;=$A$100,$E$99,IF(K117&lt;=$A$101,$E$100)))))</f>
        <v>0.08</v>
      </c>
      <c r="W116" s="376"/>
      <c r="Z116" s="376"/>
      <c r="AA116" s="376"/>
      <c r="AB116" s="376"/>
    </row>
    <row r="117" spans="1:28" x14ac:dyDescent="0.2">
      <c r="A117" s="3">
        <f>B154</f>
        <v>4.3604000000000003</v>
      </c>
      <c r="B117" s="221"/>
      <c r="C117" s="7">
        <f>((A117-B116)/(B118-B116)*(D118-D116)+D116)</f>
        <v>1.0000000000000001E-5</v>
      </c>
      <c r="D117" s="56"/>
      <c r="E117" s="27"/>
      <c r="F117" s="3">
        <f>C154</f>
        <v>4.3604099999999999</v>
      </c>
      <c r="G117" s="221"/>
      <c r="H117" s="7">
        <f>((F117-G116)/(G118-G116)*(I118-I116)+I116)</f>
        <v>0</v>
      </c>
      <c r="I117" s="56"/>
      <c r="J117" s="27"/>
      <c r="K117" s="3">
        <f>C154</f>
        <v>4.3604099999999999</v>
      </c>
      <c r="L117" s="221"/>
      <c r="M117" s="7">
        <f>((K117-L116)/(L118-L116)*(N118-N116)+N116)</f>
        <v>0.15047125347727974</v>
      </c>
      <c r="N117" s="485"/>
      <c r="W117" s="376"/>
      <c r="Z117" s="376"/>
      <c r="AA117" s="376"/>
      <c r="AB117" s="376"/>
    </row>
    <row r="118" spans="1:28" ht="13.5" thickBot="1" x14ac:dyDescent="0.25">
      <c r="A118" s="5"/>
      <c r="B118" s="57">
        <f>IF(A117&lt;=$A$97,$A$97,IF(A117&lt;=$A$98,$A$98,IF(A117&lt;=$A$99,$A$99,IF(A117&lt;=$A$100,$A$100,IF(A117&lt;=$A$101,$A$101)))))</f>
        <v>4.95</v>
      </c>
      <c r="C118" s="8"/>
      <c r="D118" s="58">
        <f>IF(A117&lt;=$A$97,$B$97,IF(A117&lt;=$A$98,$B$98,IF(A117&lt;=$A$99,$B$99,IF(A117&lt;=$A$100,$B$100,IF(A117&lt;=$A$101,$B$101)))))</f>
        <v>1.0000000000000001E-5</v>
      </c>
      <c r="E118" s="27"/>
      <c r="F118" s="4"/>
      <c r="G118" s="57">
        <f>IF(F117&lt;=$A$97,$A$97,IF(F117&lt;=$A$98,$A$98,IF(F117&lt;=$A$99,$A$99,IF(F117&lt;=$A$100,$A$100,IF(F117&lt;=$A$101,$A$101)))))</f>
        <v>4.95</v>
      </c>
      <c r="H118" s="8"/>
      <c r="I118" s="58">
        <f>IF(F117&lt;=$A$97,$D$97,IF(F117&lt;=$A$98,$D$98,IF(F117&lt;=$A$99,$D$99,IF(F117&lt;=$A$100,$D$100,IF(F117&lt;=$A$101,$D$101)))))</f>
        <v>0</v>
      </c>
      <c r="J118" s="27"/>
      <c r="K118" s="4"/>
      <c r="L118" s="57">
        <f>IF(K117&lt;=$A$97,$A$97,IF(K117&lt;=$A$98,$A$98,IF(K117&lt;=$A$99,$A$99,IF(K117&lt;=$A$100,$A$100,IF(K117&lt;=$A$101,$A$101)))))</f>
        <v>4.95</v>
      </c>
      <c r="M118" s="8"/>
      <c r="N118" s="486">
        <f>IF(K117&lt;=$A$97,$E$97,IF(K117&lt;=$A$98,$E$98,IF(K117&lt;=$A$99,$E$99,IF(K117&lt;=$A$100,$E$100,IF(K117&lt;=$A$101,$E$101)))))</f>
        <v>0.16</v>
      </c>
      <c r="W118" s="376"/>
      <c r="Z118" s="376"/>
      <c r="AA118" s="376"/>
      <c r="AB118" s="376"/>
    </row>
    <row r="119" spans="1:28" ht="16.5" thickBot="1" x14ac:dyDescent="0.25">
      <c r="A119" s="1171" t="s">
        <v>315</v>
      </c>
      <c r="B119" s="1172"/>
      <c r="C119" s="1172"/>
      <c r="D119" s="1173"/>
      <c r="E119" s="27"/>
      <c r="F119" s="1174" t="s">
        <v>316</v>
      </c>
      <c r="G119" s="1175"/>
      <c r="H119" s="1175"/>
      <c r="I119" s="1176"/>
      <c r="J119" s="27"/>
      <c r="K119" s="1174" t="s">
        <v>317</v>
      </c>
      <c r="L119" s="1175"/>
      <c r="M119" s="1175"/>
      <c r="N119" s="1176"/>
      <c r="W119" s="376"/>
      <c r="Z119" s="376"/>
      <c r="AA119" s="376"/>
      <c r="AB119" s="376"/>
    </row>
    <row r="120" spans="1:28" x14ac:dyDescent="0.2">
      <c r="A120" s="2"/>
      <c r="B120" s="54">
        <f>IF(A121&lt;=$A$97,$A$96,IF(A121&lt;=$A$98,$A$97,IF(A121&lt;=$A$99,$A$98,IF(A121&lt;=$A$100,$A$99,IF(A121&lt;=$A$101,$A$100)))))</f>
        <v>4.95</v>
      </c>
      <c r="C120" s="220"/>
      <c r="D120" s="55">
        <f>IF(A121&lt;=$A$97,$B$96,IF(A121&lt;=$A$98,$B$97,IF(A121&lt;=$A$99,$B$98,IF(A121&lt;=$A$100,$B$99,IF(A121&lt;=$A$101,$B$100)))))</f>
        <v>1.0000000000000001E-5</v>
      </c>
      <c r="E120" s="27"/>
      <c r="F120" s="2"/>
      <c r="G120" s="54">
        <f>IF(F121&lt;=$A$97,$A$96,IF(F121&lt;=$A$98,$A$97,IF(F121&lt;=$A$99,$A$98,IF(F121&lt;=$A$100,$A$99,IF(F121&lt;=$A$101,$A$100)))))</f>
        <v>4.95</v>
      </c>
      <c r="H120" s="220"/>
      <c r="I120" s="55">
        <f>IF(F121&lt;=$A$97,$D$96,IF(F121&lt;=$A$98,$D$97,IF(F121&lt;=$A$99,$D$98,IF(F121&lt;=$A$100,$D$99,IF(F121&lt;=$A$101,$D$100)))))</f>
        <v>0</v>
      </c>
      <c r="J120" s="27"/>
      <c r="K120" s="2"/>
      <c r="L120" s="54">
        <f>IF(K121&lt;=$A$97,$A$96,IF(K121&lt;=$A$98,$A$97,IF(K121&lt;=$A$99,$A$98,IF(K121&lt;=$A$100,$A$99,IF(K121&lt;=$A$101,$A$100)))))</f>
        <v>4.95</v>
      </c>
      <c r="M120" s="220"/>
      <c r="N120" s="484">
        <f>IF(K121&lt;=$A$97,$E$96,IF(K121&lt;=$A$98,$E$97,IF(K121&lt;=$A$99,$E$98,IF(K121&lt;=$A$100,$E$99,IF(K121&lt;=$A$101,$E$100)))))</f>
        <v>0.16</v>
      </c>
      <c r="W120" s="376"/>
      <c r="Z120" s="376"/>
      <c r="AA120" s="376"/>
      <c r="AB120" s="376"/>
    </row>
    <row r="121" spans="1:28" x14ac:dyDescent="0.2">
      <c r="A121" s="3">
        <f>B155</f>
        <v>5.492</v>
      </c>
      <c r="B121" s="221"/>
      <c r="C121" s="7">
        <f>((A121-B120)/(B122-B120)*(D122-D120)+D120)</f>
        <v>1.0000000000000001E-5</v>
      </c>
      <c r="D121" s="56"/>
      <c r="E121" s="27"/>
      <c r="F121" s="3">
        <f>C155</f>
        <v>5.4920099999999996</v>
      </c>
      <c r="G121" s="221"/>
      <c r="H121" s="7">
        <f>((F121-G120)/(G122-G120)*(I122-I120)+I120)</f>
        <v>0</v>
      </c>
      <c r="I121" s="56"/>
      <c r="J121" s="27"/>
      <c r="K121" s="3">
        <f>C155</f>
        <v>5.4920099999999996</v>
      </c>
      <c r="L121" s="221"/>
      <c r="M121" s="7">
        <f>((K121-L120)/(L122-L120)*(N122-N120)+N120)</f>
        <v>0.17099411764705882</v>
      </c>
      <c r="N121" s="485"/>
      <c r="W121" s="376"/>
      <c r="Z121" s="376"/>
      <c r="AA121" s="376"/>
      <c r="AB121" s="376"/>
    </row>
    <row r="122" spans="1:28" ht="13.5" thickBot="1" x14ac:dyDescent="0.25">
      <c r="A122" s="5"/>
      <c r="B122" s="57">
        <f>IF(A121&lt;=$A$97,$A$97,IF(A121&lt;=$A$98,$A$98,IF(A121&lt;=$A$99,$A$99,IF(A121&lt;=$A$100,$A$100,IF(A121&lt;=$A$101,$A$101)))))</f>
        <v>9.8800000000000008</v>
      </c>
      <c r="C122" s="8"/>
      <c r="D122" s="58">
        <f>IF(A121&lt;=$A$97,$B$97,IF(A121&lt;=$A$98,$B$98,IF(A121&lt;=$A$99,$B$99,IF(A121&lt;=$A$100,$B$100,IF(A121&lt;=$A$101,$B$101)))))</f>
        <v>1.0000000000000001E-5</v>
      </c>
      <c r="E122" s="27"/>
      <c r="F122" s="5"/>
      <c r="G122" s="57">
        <f>IF(F121&lt;=$A$97,$A$97,IF(F121&lt;=$A$98,$A$98,IF(F121&lt;=$A$99,$A$99,IF(F121&lt;=$A$100,$A$100,IF(F121&lt;=$A$101,$A$101)))))</f>
        <v>9.8800000000000008</v>
      </c>
      <c r="H122" s="8"/>
      <c r="I122" s="58">
        <f>IF(F121&lt;=$A$97,$D$97,IF(F121&lt;=$A$98,$D$98,IF(F121&lt;=$A$99,$D$99,IF(F121&lt;=$A$100,$D$100,IF(F121&lt;=$A$101,$D$101)))))</f>
        <v>0</v>
      </c>
      <c r="J122" s="27"/>
      <c r="K122" s="5"/>
      <c r="L122" s="57">
        <f>IF(K121&lt;=$A$97,$A$97,IF(K121&lt;=$A$98,$A$98,IF(K121&lt;=$A$99,$A$99,IF(K121&lt;=$A$100,$A$100,IF(K121&lt;=$A$101,$A$101)))))</f>
        <v>9.8800000000000008</v>
      </c>
      <c r="M122" s="8"/>
      <c r="N122" s="486">
        <f>IF(K121&lt;=$A$97,$E$97,IF(K121&lt;=$A$98,$E$98,IF(K121&lt;=$A$99,$E$99,IF(K121&lt;=$A$100,$E$100,IF(K121&lt;=$A$101,$E$101)))))</f>
        <v>0.26</v>
      </c>
      <c r="W122" s="376"/>
      <c r="Z122" s="376"/>
      <c r="AA122" s="376"/>
      <c r="AB122" s="376"/>
    </row>
    <row r="123" spans="1:28" ht="16.5" thickBot="1" x14ac:dyDescent="0.25">
      <c r="A123" s="1171" t="s">
        <v>315</v>
      </c>
      <c r="B123" s="1172"/>
      <c r="C123" s="1172"/>
      <c r="D123" s="1173"/>
      <c r="E123" s="27"/>
      <c r="F123" s="1174" t="s">
        <v>316</v>
      </c>
      <c r="G123" s="1175"/>
      <c r="H123" s="1175"/>
      <c r="I123" s="1176"/>
      <c r="J123" s="27"/>
      <c r="K123" s="1174" t="s">
        <v>317</v>
      </c>
      <c r="L123" s="1175"/>
      <c r="M123" s="1175"/>
      <c r="N123" s="1176"/>
      <c r="W123" s="376"/>
      <c r="Z123" s="376"/>
      <c r="AA123" s="376"/>
      <c r="AB123" s="376"/>
    </row>
    <row r="124" spans="1:28" x14ac:dyDescent="0.2">
      <c r="A124" s="340"/>
      <c r="B124" s="54">
        <f>IF(A125&lt;=$A$97,$A$96,IF(A125&lt;=$A$98,$A$97,IF(A125&lt;=$A$99,$A$98,IF(A125&lt;=$A$100,$A$99,IF(A125&lt;=$A$101,$A$100)))))</f>
        <v>4.95</v>
      </c>
      <c r="C124" s="220"/>
      <c r="D124" s="55">
        <f>IF(A125&lt;=$A$97,$B$96,IF(A125&lt;=$A$98,$B$97,IF(A125&lt;=$A$99,$B$98,IF(A125&lt;=$A$100,$B$99,IF(A125&lt;=$A$101,$B$100)))))</f>
        <v>1.0000000000000001E-5</v>
      </c>
      <c r="E124" s="27"/>
      <c r="F124" s="2"/>
      <c r="G124" s="54">
        <f>IF(F125&lt;=$A$97,$A$96,IF(F125&lt;=$A$98,$A$97,IF(F125&lt;=$A$99,$A$98,IF(F125&lt;=$A$100,$A$99,IF(F125&lt;=$A$101,$A$100)))))</f>
        <v>4.95</v>
      </c>
      <c r="H124" s="220"/>
      <c r="I124" s="55">
        <f>IF(F125&lt;=$A$97,$D$96,IF(F125&lt;=$A$98,$D$97,IF(F125&lt;=$A$99,$D$98,IF(F125&lt;=$A$100,$D$99,IF(F125&lt;=$A$101,$D$100)))))</f>
        <v>0</v>
      </c>
      <c r="J124" s="27"/>
      <c r="K124" s="2"/>
      <c r="L124" s="54">
        <f>IF(K125&lt;=$A$97,$A$96,IF(K125&lt;=$A$98,$A$97,IF(K125&lt;=$A$99,$A$98,IF(K125&lt;=$A$100,$A$99,IF(K125&lt;=$A$101,$A$100)))))</f>
        <v>4.95</v>
      </c>
      <c r="M124" s="220"/>
      <c r="N124" s="484">
        <f>IF(K125&lt;=$A$97,$E$96,IF(K125&lt;=$A$98,$E$97,IF(K125&lt;=$A$99,$E$98,IF(K125&lt;=$A$100,$E$99,IF(K125&lt;=$A$101,$E$100)))))</f>
        <v>0.16</v>
      </c>
      <c r="W124" s="376"/>
      <c r="Z124" s="376"/>
      <c r="AA124" s="376"/>
      <c r="AB124" s="376"/>
    </row>
    <row r="125" spans="1:28" x14ac:dyDescent="0.2">
      <c r="A125" s="3">
        <f>B156</f>
        <v>6</v>
      </c>
      <c r="B125" s="221"/>
      <c r="C125" s="7">
        <f>((A125-B124)/(B126-B124)*(D126-D124)+D124)</f>
        <v>1.0000000000000001E-5</v>
      </c>
      <c r="D125" s="56"/>
      <c r="E125" s="27"/>
      <c r="F125" s="3">
        <f>C156</f>
        <v>6.0000099999999996</v>
      </c>
      <c r="G125" s="221"/>
      <c r="H125" s="7">
        <f>((F125-G124)/(G126-G124)*(I126-I124)+I124)</f>
        <v>0</v>
      </c>
      <c r="I125" s="56"/>
      <c r="J125" s="27"/>
      <c r="K125" s="3">
        <f>C156</f>
        <v>6.0000099999999996</v>
      </c>
      <c r="L125" s="221"/>
      <c r="M125" s="7">
        <f>((K125-L124)/(L126-L124)*(N126-N124)+N124)</f>
        <v>0.18129837728194725</v>
      </c>
      <c r="N125" s="485"/>
      <c r="W125" s="376"/>
      <c r="Z125" s="376"/>
      <c r="AA125" s="376"/>
      <c r="AB125" s="376"/>
    </row>
    <row r="126" spans="1:28" ht="13.5" thickBot="1" x14ac:dyDescent="0.25">
      <c r="A126" s="5"/>
      <c r="B126" s="57">
        <f>IF(A125&lt;=$A$97,$A$97,IF(A125&lt;=$A$98,$A$98,IF(A125&lt;=$A$99,$A$99,IF(A125&lt;=$A$100,$A$100,IF(A125&lt;=$A$101,$A$101)))))</f>
        <v>9.8800000000000008</v>
      </c>
      <c r="C126" s="8"/>
      <c r="D126" s="58">
        <f>IF(A125&lt;=$A$97,$B$97,IF(A125&lt;=$A$98,$B$98,IF(A125&lt;=$A$99,$B$99,IF(A125&lt;=$A$100,$B$100,IF(A125&lt;=$A$101,$B$101)))))</f>
        <v>1.0000000000000001E-5</v>
      </c>
      <c r="E126" s="27"/>
      <c r="F126" s="4"/>
      <c r="G126" s="57">
        <f>IF(F125&lt;=$A$97,$A$97,IF(F125&lt;=$A$98,$A$98,IF(F125&lt;=$A$99,$A$99,IF(F125&lt;=$A$100,$A$100,IF(F125&lt;=$A$101,$A$101)))))</f>
        <v>9.8800000000000008</v>
      </c>
      <c r="H126" s="8"/>
      <c r="I126" s="58">
        <f>IF(F125&lt;=$A$97,$D$97,IF(F125&lt;=$A$98,$D$98,IF(F125&lt;=$A$99,$D$99,IF(F125&lt;=$A$100,$D$100,IF(F125&lt;=$A$101,$D$101)))))</f>
        <v>0</v>
      </c>
      <c r="J126" s="27"/>
      <c r="K126" s="4"/>
      <c r="L126" s="57">
        <f>IF(K125&lt;=$A$97,$A$97,IF(K125&lt;=$A$98,$A$98,IF(K125&lt;=$A$99,$A$99,IF(K125&lt;=$A$100,$A$100,IF(K125&lt;=$A$101,$A$101)))))</f>
        <v>9.8800000000000008</v>
      </c>
      <c r="M126" s="8"/>
      <c r="N126" s="486">
        <f>IF(K125&lt;=$A$97,$E$97,IF(K125&lt;=$A$98,$E$98,IF(K125&lt;=$A$99,$E$99,IF(K125&lt;=$A$100,$E$100,IF(K125&lt;=$A$101,$E$101)))))</f>
        <v>0.26</v>
      </c>
      <c r="W126" s="376"/>
      <c r="Z126" s="376"/>
      <c r="AA126" s="376"/>
      <c r="AB126" s="376"/>
    </row>
    <row r="127" spans="1:28" ht="16.5" thickBot="1" x14ac:dyDescent="0.25">
      <c r="A127" s="1171" t="s">
        <v>315</v>
      </c>
      <c r="B127" s="1172"/>
      <c r="C127" s="1172"/>
      <c r="D127" s="1173"/>
      <c r="E127" s="27"/>
      <c r="F127" s="1174" t="s">
        <v>316</v>
      </c>
      <c r="G127" s="1175"/>
      <c r="H127" s="1175"/>
      <c r="I127" s="1176"/>
      <c r="J127" s="27"/>
      <c r="K127" s="1174" t="s">
        <v>317</v>
      </c>
      <c r="L127" s="1175"/>
      <c r="M127" s="1175"/>
      <c r="N127" s="1176"/>
      <c r="W127" s="376"/>
      <c r="Z127" s="376"/>
      <c r="AA127" s="376"/>
      <c r="AB127" s="376"/>
    </row>
    <row r="128" spans="1:28" x14ac:dyDescent="0.2">
      <c r="A128" s="2"/>
      <c r="B128" s="54">
        <f>IF(A129&lt;=$A$97,$A$96,IF(A129&lt;=$A$98,$A$97,IF(A129&lt;=$A$99,$A$98,IF(A129&lt;=$A$100,$A$99,IF(A129&lt;=$A$101,$A$100)))))</f>
        <v>4.95</v>
      </c>
      <c r="C128" s="220"/>
      <c r="D128" s="55">
        <f>IF(A129&lt;=$A$97,$B$96,IF(A129&lt;=$A$98,$B$97,IF(A129&lt;=$A$99,$B$98,IF(A129&lt;=$A$100,$B$99,IF(A129&lt;=$A$101,$B$100)))))</f>
        <v>1.0000000000000001E-5</v>
      </c>
      <c r="E128" s="27"/>
      <c r="F128" s="2"/>
      <c r="G128" s="54">
        <f>IF(F129&lt;=$A$97,$A$96,IF(F129&lt;=$A$98,$A$97,IF(F129&lt;=$A$99,$A$98,IF(F129&lt;=$A$100,$A$99,IF(F129&lt;=$A$101,$A$100)))))</f>
        <v>4.95</v>
      </c>
      <c r="H128" s="220"/>
      <c r="I128" s="55">
        <f>IF(F129&lt;=$A$97,$D$96,IF(F129&lt;=$A$98,$D$97,IF(F129&lt;=$A$99,$D$98,IF(F129&lt;=$A$100,$D$99,IF(F129&lt;=$A$101,$D$100)))))</f>
        <v>0</v>
      </c>
      <c r="J128" s="27"/>
      <c r="K128" s="2"/>
      <c r="L128" s="54">
        <f>IF(K129&lt;=$A$97,$A$96,IF(K129&lt;=$A$98,$A$97,IF(K129&lt;=$A$99,$A$98,IF(K129&lt;=$A$100,$A$99,IF(K129&lt;=$A$101,$A$100)))))</f>
        <v>4.95</v>
      </c>
      <c r="M128" s="220"/>
      <c r="N128" s="484">
        <f>IF(K129&lt;=$A$97,$E$96,IF(K129&lt;=$A$98,$E$97,IF(K129&lt;=$A$99,$E$98,IF(K129&lt;=$A$100,$E$99,IF(K129&lt;=$A$101,$E$100)))))</f>
        <v>0.16</v>
      </c>
      <c r="W128" s="376"/>
      <c r="Z128" s="376"/>
      <c r="AA128" s="376"/>
      <c r="AB128" s="376"/>
    </row>
    <row r="129" spans="1:28" x14ac:dyDescent="0.2">
      <c r="A129" s="3">
        <f>B157</f>
        <v>7</v>
      </c>
      <c r="B129" s="221"/>
      <c r="C129" s="7">
        <f>((A129-B128)/(B130-B128)*(D130-D128)+D128)</f>
        <v>1.0000000000000001E-5</v>
      </c>
      <c r="D129" s="56"/>
      <c r="E129" s="27"/>
      <c r="F129" s="3">
        <f>C157</f>
        <v>7.0000099999999996</v>
      </c>
      <c r="G129" s="221"/>
      <c r="H129" s="7">
        <f>((F129-G128)/(G130-G128)*(I130-I128)+I128)</f>
        <v>0</v>
      </c>
      <c r="I129" s="56"/>
      <c r="J129" s="27"/>
      <c r="K129" s="3">
        <f>C157</f>
        <v>7.0000099999999996</v>
      </c>
      <c r="L129" s="221"/>
      <c r="M129" s="7">
        <f>((K129-L128)/(L130-L128)*(N130-N128)+N128)</f>
        <v>0.20158235294117646</v>
      </c>
      <c r="N129" s="485"/>
      <c r="W129" s="376"/>
      <c r="Z129" s="376"/>
      <c r="AA129" s="376"/>
      <c r="AB129" s="376"/>
    </row>
    <row r="130" spans="1:28" ht="13.5" thickBot="1" x14ac:dyDescent="0.25">
      <c r="A130" s="5"/>
      <c r="B130" s="57">
        <f>IF(A129&lt;=$A$97,$A$97,IF(A129&lt;=$A$98,$A$98,IF(A129&lt;=$A$99,$A$99,IF(A129&lt;=$A$100,$A$100,IF(A129&lt;=$A$101,$A$101)))))</f>
        <v>9.8800000000000008</v>
      </c>
      <c r="C130" s="8"/>
      <c r="D130" s="58">
        <f>IF(A129&lt;=$A$97,$B$97,IF(A129&lt;=$A$98,$B$98,IF(A129&lt;=$A$99,$B$99,IF(A129&lt;=$A$100,$B$100,IF(A129&lt;=$A$101,$B$101)))))</f>
        <v>1.0000000000000001E-5</v>
      </c>
      <c r="E130" s="27"/>
      <c r="F130" s="4"/>
      <c r="G130" s="57">
        <f>IF(F129&lt;=$A$97,$A$97,IF(F129&lt;=$A$98,$A$98,IF(F129&lt;=$A$99,$A$99,IF(F129&lt;=$A$100,$A$100,IF(F129&lt;=$A$101,$A$101)))))</f>
        <v>9.8800000000000008</v>
      </c>
      <c r="H130" s="8"/>
      <c r="I130" s="58">
        <f>IF(F129&lt;=$A$97,$D$97,IF(F129&lt;=$A$98,$D$98,IF(F129&lt;=$A$99,$D$99,IF(F129&lt;=$A$100,$D$100,IF(F129&lt;=$A$101,$D$101)))))</f>
        <v>0</v>
      </c>
      <c r="J130" s="27"/>
      <c r="K130" s="4"/>
      <c r="L130" s="57">
        <f>IF(K129&lt;=$A$97,$A$97,IF(K129&lt;=$A$98,$A$98,IF(K129&lt;=$A$99,$A$99,IF(K129&lt;=$A$100,$A$100,IF(K129&lt;=$A$101,$A$101)))))</f>
        <v>9.8800000000000008</v>
      </c>
      <c r="M130" s="8"/>
      <c r="N130" s="486">
        <f>IF(K129&lt;=$A$97,$E$97,IF(K129&lt;=$A$98,$E$98,IF(K129&lt;=$A$99,$E$99,IF(K129&lt;=$A$100,$E$100,IF(K129&lt;=$A$101,$E$101)))))</f>
        <v>0.26</v>
      </c>
      <c r="W130" s="376"/>
      <c r="Z130" s="376"/>
      <c r="AA130" s="376"/>
      <c r="AB130" s="376"/>
    </row>
    <row r="131" spans="1:28" ht="13.5" thickBot="1" x14ac:dyDescent="0.25">
      <c r="A131" s="427"/>
      <c r="B131" s="9"/>
      <c r="C131" s="6"/>
      <c r="D131" s="9"/>
      <c r="E131" s="27"/>
      <c r="F131" s="6"/>
      <c r="G131" s="9"/>
      <c r="H131" s="6"/>
      <c r="I131" s="9"/>
      <c r="J131" s="27"/>
      <c r="K131" s="6"/>
      <c r="L131" s="9"/>
      <c r="M131" s="6"/>
      <c r="N131" s="89"/>
      <c r="W131" s="376"/>
      <c r="Z131" s="376"/>
      <c r="AA131" s="376"/>
      <c r="AB131" s="376"/>
    </row>
    <row r="132" spans="1:28" ht="16.5" thickBot="1" x14ac:dyDescent="0.25">
      <c r="A132" s="1209" t="s">
        <v>318</v>
      </c>
      <c r="B132" s="1210"/>
      <c r="C132" s="1210"/>
      <c r="D132" s="1211"/>
      <c r="E132" s="441"/>
      <c r="F132" s="1204" t="s">
        <v>319</v>
      </c>
      <c r="G132" s="1205"/>
      <c r="H132" s="1205"/>
      <c r="I132" s="1206"/>
      <c r="J132" s="441"/>
      <c r="K132" s="1204" t="s">
        <v>320</v>
      </c>
      <c r="L132" s="1205"/>
      <c r="M132" s="1205"/>
      <c r="N132" s="1206"/>
      <c r="W132" s="376"/>
      <c r="Z132" s="376"/>
      <c r="AA132" s="376"/>
      <c r="AB132" s="376"/>
    </row>
    <row r="133" spans="1:28" x14ac:dyDescent="0.2">
      <c r="A133" s="429"/>
      <c r="B133" s="430">
        <f>IF(A134&lt;=$A$97,$A$96,IF(A134&lt;=$A$98,$A$97,IF(A134&lt;=$A$99,$A$98,IF(A134&lt;=$A$100,$A$99,IF(A134&lt;=$A$101,$A$100)))))</f>
        <v>49.46</v>
      </c>
      <c r="C133" s="431"/>
      <c r="D133" s="432">
        <f>IF(A134&lt;=$A$97,$B$96,IF(A134&lt;=$A$98,$B$97,IF(A134&lt;=$A$99,$B$98,IF(A134&lt;=$A$100,$B$99,IF(A134&lt;=$A$101,$B$100)))))</f>
        <v>-0.01</v>
      </c>
      <c r="E133" s="428"/>
      <c r="F133" s="429"/>
      <c r="G133" s="430">
        <f>IF(F134&lt;=$A$97,$A$96,IF(F134&lt;=$A$98,$A$97,IF(F134&lt;=$A$99,$A$98,IF(F134&lt;=$A$100,$A$99,IF(F134&lt;=$A$101,$A$100)))))</f>
        <v>49.46</v>
      </c>
      <c r="H133" s="431"/>
      <c r="I133" s="432">
        <f>IF(F134&lt;=$A$97,$D$96,IF(F134&lt;=$A$98,$D$97,IF(F134&lt;=$A$99,$D$98,IF(F134&lt;=$A$100,$D$99,IF(F134&lt;=$A$101,$D$100)))))</f>
        <v>0</v>
      </c>
      <c r="J133" s="428"/>
      <c r="K133" s="429"/>
      <c r="L133" s="430">
        <f>IF(K134&lt;=$A$97,$A$96,IF(K134&lt;=$A$98,$A$97,IF(K134&lt;=$A$99,$A$98,IF(K134&lt;=$A$100,$A$99,IF(K134&lt;=$A$101,$A$100)))))</f>
        <v>49.46</v>
      </c>
      <c r="M133" s="431"/>
      <c r="N133" s="487">
        <f>IF(K134&lt;=$A$97,$E$96,IF(K134&lt;=$A$98,$E$97,IF(K134&lt;=$A$99,$E$98,IF(K134&lt;=$A$100,$E$99,IF(K134&lt;=$A$101,$E$100)))))</f>
        <v>3.2</v>
      </c>
      <c r="W133" s="376"/>
      <c r="Z133" s="376"/>
      <c r="AA133" s="376"/>
      <c r="AB133" s="376"/>
    </row>
    <row r="134" spans="1:28" x14ac:dyDescent="0.2">
      <c r="A134" s="433">
        <f>A147</f>
        <v>70</v>
      </c>
      <c r="B134" s="434"/>
      <c r="C134" s="435">
        <f>((A134-B133)/(B135-B133)*(D135-D133)+D133)</f>
        <v>-0.01</v>
      </c>
      <c r="D134" s="436"/>
      <c r="E134" s="428"/>
      <c r="F134" s="433">
        <f>C147</f>
        <v>69.989999999999995</v>
      </c>
      <c r="G134" s="434"/>
      <c r="H134" s="435">
        <f>((F134-G133)/(G135-G133)*(I135-I133)+I133)</f>
        <v>0</v>
      </c>
      <c r="I134" s="436"/>
      <c r="J134" s="428"/>
      <c r="K134" s="433">
        <f>C147</f>
        <v>69.989999999999995</v>
      </c>
      <c r="L134" s="434"/>
      <c r="M134" s="435">
        <f>((K134-L133)/(L135-L133)*(N135-N133)+N133)</f>
        <v>3.4076254045307444</v>
      </c>
      <c r="N134" s="488"/>
      <c r="W134" s="376"/>
      <c r="Z134" s="376"/>
      <c r="AA134" s="376"/>
      <c r="AB134" s="376"/>
    </row>
    <row r="135" spans="1:28" ht="13.5" thickBot="1" x14ac:dyDescent="0.25">
      <c r="A135" s="437"/>
      <c r="B135" s="438">
        <f>IF(A134&lt;=$A$97,$A$97,IF(A134&lt;=$A$98,$A$98,IF(A134&lt;=$A$99,$A$99,IF(A134&lt;=$A$100,$A$100,IF(A134&lt;=$A$101,$A$101)))))</f>
        <v>98.9</v>
      </c>
      <c r="C135" s="439"/>
      <c r="D135" s="440">
        <f>IF(A134&lt;=$A$97,$B$97,IF(A134&lt;=$A$98,$B$98,IF(A134&lt;=$A$99,$B$99,IF(A134&lt;=$A$100,$B$100,IF(A134&lt;=$A$101,$B$101)))))</f>
        <v>-0.01</v>
      </c>
      <c r="E135" s="442"/>
      <c r="F135" s="437"/>
      <c r="G135" s="438">
        <f>IF(F134&lt;=$A$97,$A$97,IF(F134&lt;=$A$98,$A$98,IF(F134&lt;=$A$99,$A$99,IF(F134&lt;=$A$100,$A$100,IF(F134&lt;=$A$101,$A$101)))))</f>
        <v>98.9</v>
      </c>
      <c r="H135" s="439"/>
      <c r="I135" s="440">
        <f>IF(F134&lt;=$A$97,$D$97,IF(F134&lt;=$A$98,$D$98,IF(F134&lt;=$A$99,$D$99,IF(F134&lt;=$A$100,$D$100,IF(F134&lt;=$A$101,$D$101)))))</f>
        <v>0</v>
      </c>
      <c r="J135" s="442"/>
      <c r="K135" s="437"/>
      <c r="L135" s="438">
        <f>IF(K134&lt;=$A$97,$A$97,IF(K134&lt;=$A$98,$A$98,IF(K134&lt;=$A$99,$A$99,IF(K134&lt;=$A$100,$A$100,IF(K134&lt;=$A$101,$A$101)))))</f>
        <v>98.9</v>
      </c>
      <c r="M135" s="439"/>
      <c r="N135" s="489">
        <f>IF(K134&lt;=$A$97,$E$97,IF(K134&lt;=$A$98,$E$98,IF(K134&lt;=$A$99,$E$99,IF(K134&lt;=$A$100,$E$100,IF(K134&lt;=$A$101,$E$101)))))</f>
        <v>3.7</v>
      </c>
      <c r="W135" s="376"/>
      <c r="Z135" s="376"/>
      <c r="AA135" s="376"/>
      <c r="AB135" s="376"/>
    </row>
    <row r="136" spans="1:28" x14ac:dyDescent="0.2">
      <c r="A136" s="427"/>
      <c r="B136" s="9"/>
      <c r="C136" s="6"/>
      <c r="D136" s="9"/>
      <c r="E136" s="27"/>
      <c r="F136" s="6"/>
      <c r="G136" s="9"/>
      <c r="H136" s="6"/>
      <c r="I136" s="9"/>
      <c r="J136" s="27"/>
      <c r="K136" s="6"/>
      <c r="L136" s="9"/>
      <c r="M136" s="6"/>
      <c r="N136" s="89"/>
      <c r="W136" s="376"/>
      <c r="Z136" s="376"/>
      <c r="AA136" s="376"/>
      <c r="AB136" s="376"/>
    </row>
    <row r="137" spans="1:28" ht="21" x14ac:dyDescent="0.2">
      <c r="A137" s="496" t="s">
        <v>51</v>
      </c>
      <c r="B137" s="1217" t="s">
        <v>321</v>
      </c>
      <c r="C137" s="1217"/>
      <c r="D137" s="1217"/>
      <c r="E137" s="1217"/>
      <c r="F137" s="1217"/>
      <c r="G137" s="9"/>
      <c r="H137" s="6"/>
      <c r="I137" s="9"/>
      <c r="J137" s="27"/>
      <c r="K137" s="6"/>
      <c r="L137" s="9"/>
      <c r="M137" s="6"/>
      <c r="N137" s="89"/>
      <c r="W137" s="376"/>
      <c r="Z137" s="376"/>
      <c r="AA137" s="376"/>
      <c r="AB137" s="376"/>
    </row>
    <row r="138" spans="1:28" x14ac:dyDescent="0.2">
      <c r="A138" s="221">
        <f>ID!D40</f>
        <v>1</v>
      </c>
      <c r="B138" s="144">
        <f>ID!F40/1000</f>
        <v>0.99399999999999999</v>
      </c>
      <c r="C138" s="144">
        <f>ID!G40/1000</f>
        <v>0.99399999999999999</v>
      </c>
      <c r="D138" s="144">
        <f>ID!H40/1000</f>
        <v>0.999</v>
      </c>
      <c r="E138" s="144">
        <f>ID!I40/1000</f>
        <v>0.99399999999999999</v>
      </c>
      <c r="F138" s="144">
        <f>ID!J40/1000</f>
        <v>0.99399999999999999</v>
      </c>
      <c r="G138" s="9"/>
      <c r="H138" s="6"/>
      <c r="I138" s="9"/>
      <c r="J138" s="27"/>
      <c r="K138" s="6"/>
      <c r="L138" s="9"/>
      <c r="M138" s="6"/>
      <c r="N138" s="89"/>
      <c r="W138" s="376"/>
      <c r="Z138" s="376"/>
      <c r="AA138" s="376"/>
      <c r="AB138" s="376"/>
    </row>
    <row r="139" spans="1:28" x14ac:dyDescent="0.2">
      <c r="A139" s="221">
        <f>ID!D41</f>
        <v>2</v>
      </c>
      <c r="B139" s="144">
        <f>ID!F41/1000</f>
        <v>2.097</v>
      </c>
      <c r="C139" s="144">
        <f>ID!G41/1000</f>
        <v>2.097</v>
      </c>
      <c r="D139" s="144">
        <f>ID!H41/1000</f>
        <v>2.0960000000000001</v>
      </c>
      <c r="E139" s="144">
        <f>ID!I41/1000</f>
        <v>2.097</v>
      </c>
      <c r="F139" s="144">
        <f>ID!J41/1000</f>
        <v>2.097</v>
      </c>
      <c r="G139" s="9"/>
      <c r="H139" s="6"/>
      <c r="I139" s="9"/>
      <c r="J139" s="27"/>
      <c r="K139" s="6"/>
      <c r="L139" s="9"/>
      <c r="M139" s="6"/>
      <c r="N139" s="89"/>
      <c r="W139" s="376"/>
      <c r="Z139" s="376"/>
      <c r="AA139" s="376"/>
      <c r="AB139" s="376"/>
    </row>
    <row r="140" spans="1:28" x14ac:dyDescent="0.2">
      <c r="A140" s="221">
        <f>ID!D42</f>
        <v>3</v>
      </c>
      <c r="B140" s="144">
        <f>ID!F42/1000</f>
        <v>3</v>
      </c>
      <c r="C140" s="144">
        <f>ID!G42/1000</f>
        <v>3.19</v>
      </c>
      <c r="D140" s="144">
        <f>ID!H42/1000</f>
        <v>3.1960000000000002</v>
      </c>
      <c r="E140" s="144">
        <f>ID!I42/1000</f>
        <v>3.19</v>
      </c>
      <c r="F140" s="144">
        <f>ID!J42/1000</f>
        <v>3.19</v>
      </c>
      <c r="G140" s="9"/>
      <c r="H140" s="6"/>
      <c r="I140" s="9"/>
      <c r="J140" s="27"/>
      <c r="K140" s="6"/>
      <c r="L140" s="9"/>
      <c r="M140" s="6"/>
      <c r="N140" s="89"/>
      <c r="W140" s="376"/>
      <c r="Z140" s="376"/>
      <c r="AA140" s="376"/>
      <c r="AB140" s="376"/>
    </row>
    <row r="141" spans="1:28" x14ac:dyDescent="0.2">
      <c r="A141" s="221">
        <f>ID!D43</f>
        <v>4</v>
      </c>
      <c r="B141" s="144">
        <f>ID!F43/1000</f>
        <v>4.3609999999999998</v>
      </c>
      <c r="C141" s="144">
        <f>ID!G43/1000</f>
        <v>4.3600000000000003</v>
      </c>
      <c r="D141" s="144">
        <f>ID!H43/1000</f>
        <v>4.3609999999999998</v>
      </c>
      <c r="E141" s="144">
        <f>ID!I43/1000</f>
        <v>4.3600000000000003</v>
      </c>
      <c r="F141" s="144">
        <f>ID!J43/1000</f>
        <v>4.3600000000000003</v>
      </c>
      <c r="G141" s="9"/>
      <c r="H141" s="6"/>
      <c r="I141" s="9"/>
      <c r="J141" s="27"/>
      <c r="K141" s="6"/>
      <c r="L141" s="9"/>
      <c r="M141" s="6"/>
      <c r="N141" s="89"/>
      <c r="W141" s="376"/>
      <c r="Z141" s="376"/>
      <c r="AA141" s="376"/>
      <c r="AB141" s="376"/>
    </row>
    <row r="142" spans="1:28" x14ac:dyDescent="0.2">
      <c r="A142" s="221">
        <f>ID!D44</f>
        <v>5</v>
      </c>
      <c r="B142" s="144">
        <f>ID!F44/1000</f>
        <v>5.4950000000000001</v>
      </c>
      <c r="C142" s="144">
        <f>ID!G44/1000</f>
        <v>5.49</v>
      </c>
      <c r="D142" s="144">
        <f>ID!H44/1000</f>
        <v>5.4950000000000001</v>
      </c>
      <c r="E142" s="144">
        <f>ID!I44/1000</f>
        <v>5.49</v>
      </c>
      <c r="F142" s="144">
        <f>ID!J44/1000</f>
        <v>5.49</v>
      </c>
      <c r="G142" s="9"/>
      <c r="H142" s="6"/>
      <c r="I142" s="9"/>
      <c r="J142" s="27"/>
      <c r="K142" s="6"/>
      <c r="L142" s="9"/>
      <c r="M142" s="6"/>
      <c r="N142" s="89"/>
      <c r="W142" s="376"/>
      <c r="Z142" s="376"/>
      <c r="AA142" s="376"/>
      <c r="AB142" s="376"/>
    </row>
    <row r="143" spans="1:28" x14ac:dyDescent="0.2">
      <c r="A143" s="221">
        <f>ID!D45</f>
        <v>6</v>
      </c>
      <c r="B143" s="144">
        <f>ID!F45/1000</f>
        <v>6</v>
      </c>
      <c r="C143" s="144">
        <f>ID!G45/1000</f>
        <v>6</v>
      </c>
      <c r="D143" s="144">
        <f>ID!H45/1000</f>
        <v>6</v>
      </c>
      <c r="E143" s="144">
        <f>ID!I45/1000</f>
        <v>6</v>
      </c>
      <c r="F143" s="144">
        <f>ID!J45/1000</f>
        <v>6</v>
      </c>
      <c r="G143" s="9"/>
      <c r="H143" s="6"/>
      <c r="I143" s="9"/>
      <c r="J143" s="27"/>
      <c r="K143" s="6"/>
      <c r="L143" s="9"/>
      <c r="M143" s="6"/>
      <c r="N143" s="89"/>
      <c r="W143" s="376"/>
      <c r="Z143" s="376"/>
      <c r="AA143" s="376"/>
      <c r="AB143" s="376"/>
    </row>
    <row r="144" spans="1:28" x14ac:dyDescent="0.2">
      <c r="A144" s="221">
        <f>ID!D46</f>
        <v>7</v>
      </c>
      <c r="B144" s="144">
        <f>ID!F46/1000</f>
        <v>7</v>
      </c>
      <c r="C144" s="144">
        <f>ID!G46/1000</f>
        <v>7</v>
      </c>
      <c r="D144" s="144">
        <f>ID!H46/1000</f>
        <v>7</v>
      </c>
      <c r="E144" s="144">
        <f>ID!I46/1000</f>
        <v>7</v>
      </c>
      <c r="F144" s="144">
        <f>ID!J46/1000</f>
        <v>7</v>
      </c>
      <c r="G144" s="9"/>
      <c r="H144" s="6"/>
      <c r="I144" s="9"/>
      <c r="J144" s="27"/>
      <c r="K144" s="6"/>
      <c r="L144" s="9"/>
      <c r="M144" s="6"/>
      <c r="N144" s="89"/>
      <c r="W144" s="376"/>
      <c r="Z144" s="376"/>
      <c r="AA144" s="376"/>
      <c r="AB144" s="376"/>
    </row>
    <row r="145" spans="1:28" x14ac:dyDescent="0.2">
      <c r="A145" s="427"/>
      <c r="B145" s="9"/>
      <c r="C145" s="6"/>
      <c r="D145" s="9"/>
      <c r="E145" s="27"/>
      <c r="F145" s="6"/>
      <c r="G145" s="9"/>
      <c r="H145" s="6"/>
      <c r="I145" s="9"/>
      <c r="J145" s="27"/>
      <c r="K145" s="6"/>
      <c r="L145" s="9"/>
      <c r="M145" s="6"/>
      <c r="N145" s="89"/>
      <c r="W145" s="376"/>
      <c r="Z145" s="376"/>
      <c r="AA145" s="376"/>
      <c r="AB145" s="376"/>
    </row>
    <row r="146" spans="1:28" ht="27.75" customHeight="1" x14ac:dyDescent="0.2">
      <c r="A146" s="1199" t="s">
        <v>115</v>
      </c>
      <c r="B146" s="1199"/>
      <c r="C146" s="1199" t="s">
        <v>286</v>
      </c>
      <c r="D146" s="1199"/>
      <c r="E146" s="27"/>
      <c r="F146" s="6"/>
      <c r="G146" s="9"/>
      <c r="H146" s="6"/>
      <c r="I146" s="9"/>
      <c r="J146" s="27"/>
      <c r="K146" s="6"/>
      <c r="L146" s="9"/>
      <c r="M146" s="6"/>
      <c r="N146" s="89"/>
      <c r="W146" s="376"/>
      <c r="Z146" s="376"/>
      <c r="AA146" s="376"/>
      <c r="AB146" s="376"/>
    </row>
    <row r="147" spans="1:28" ht="24.75" customHeight="1" x14ac:dyDescent="0.2">
      <c r="A147" s="1207">
        <f>ID!D35</f>
        <v>70</v>
      </c>
      <c r="B147" s="1208"/>
      <c r="C147" s="1215">
        <f>A147+C134</f>
        <v>69.989999999999995</v>
      </c>
      <c r="D147" s="1216"/>
      <c r="E147" s="27"/>
      <c r="F147" s="6"/>
      <c r="G147" s="9"/>
      <c r="H147" s="6"/>
      <c r="I147" s="9"/>
      <c r="J147" s="27"/>
      <c r="K147" s="6"/>
      <c r="L147" s="9"/>
      <c r="M147" s="6"/>
      <c r="N147" s="89"/>
      <c r="W147" s="376"/>
      <c r="Z147" s="376"/>
      <c r="AA147" s="376"/>
      <c r="AB147" s="376"/>
    </row>
    <row r="148" spans="1:28" x14ac:dyDescent="0.2">
      <c r="A148" s="38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50"/>
      <c r="W148" s="376"/>
    </row>
    <row r="149" spans="1:28" ht="19.5" customHeight="1" x14ac:dyDescent="0.2">
      <c r="A149" s="1199" t="s">
        <v>322</v>
      </c>
      <c r="B149" s="1199" t="s">
        <v>224</v>
      </c>
      <c r="C149" s="1199" t="s">
        <v>225</v>
      </c>
      <c r="D149" s="1199" t="s">
        <v>226</v>
      </c>
      <c r="E149" s="1199" t="s">
        <v>323</v>
      </c>
      <c r="F149" s="1199" t="s">
        <v>324</v>
      </c>
      <c r="G149" s="1200" t="s">
        <v>173</v>
      </c>
      <c r="H149" s="1201" t="s">
        <v>175</v>
      </c>
      <c r="I149" s="1201" t="s">
        <v>325</v>
      </c>
      <c r="J149" s="1201" t="s">
        <v>326</v>
      </c>
      <c r="K149" s="1200" t="s">
        <v>327</v>
      </c>
      <c r="L149" s="1203" t="s">
        <v>328</v>
      </c>
      <c r="M149" s="1203" t="s">
        <v>6</v>
      </c>
      <c r="N149" s="1202" t="s">
        <v>329</v>
      </c>
      <c r="W149" s="27"/>
    </row>
    <row r="150" spans="1:28" ht="21" customHeight="1" x14ac:dyDescent="0.2">
      <c r="A150" s="1199"/>
      <c r="B150" s="1199"/>
      <c r="C150" s="1199"/>
      <c r="D150" s="1199"/>
      <c r="E150" s="1199"/>
      <c r="F150" s="1199"/>
      <c r="G150" s="1200"/>
      <c r="H150" s="1201"/>
      <c r="I150" s="1201"/>
      <c r="J150" s="1201"/>
      <c r="K150" s="1200"/>
      <c r="L150" s="1203"/>
      <c r="M150" s="1203"/>
      <c r="N150" s="1202"/>
      <c r="W150" s="27"/>
    </row>
    <row r="151" spans="1:28" x14ac:dyDescent="0.2">
      <c r="A151" s="655">
        <f>ID!D40</f>
        <v>1</v>
      </c>
      <c r="B151" s="59">
        <f>AVERAGE(B138:F138)</f>
        <v>0.99499999999999988</v>
      </c>
      <c r="C151" s="378">
        <f>B151+C105</f>
        <v>0.99500999999999984</v>
      </c>
      <c r="D151" s="726">
        <f t="shared" ref="D151:D157" si="71">STDEV(B138:F138)</f>
        <v>2.236067977499792E-3</v>
      </c>
      <c r="E151" s="378">
        <f>A151-C151</f>
        <v>4.990000000000161E-3</v>
      </c>
      <c r="F151" s="378">
        <f>(E151/C151)*100</f>
        <v>0.50150249746235331</v>
      </c>
      <c r="G151" s="379">
        <f>C151-A151</f>
        <v>-4.990000000000161E-3</v>
      </c>
      <c r="H151" s="380">
        <f>ABS(G151/C151)*100</f>
        <v>0.50150249746235331</v>
      </c>
      <c r="I151" s="380">
        <f>UB!J17</f>
        <v>30.57778335844953</v>
      </c>
      <c r="J151" s="380">
        <f>H151+I151</f>
        <v>31.079285855911884</v>
      </c>
      <c r="K151" s="379">
        <f>H105</f>
        <v>0</v>
      </c>
      <c r="L151" s="494">
        <f>M105</f>
        <v>9.6080840567354678E-2</v>
      </c>
      <c r="M151" s="86">
        <f>0.5*ID!E7</f>
        <v>0.25</v>
      </c>
      <c r="N151" s="170">
        <f>0.5*0.01</f>
        <v>5.0000000000000001E-3</v>
      </c>
      <c r="W151" s="27"/>
    </row>
    <row r="152" spans="1:28" x14ac:dyDescent="0.2">
      <c r="A152" s="655">
        <f>ID!D41</f>
        <v>2</v>
      </c>
      <c r="B152" s="59">
        <f t="shared" ref="B152:B157" si="72">AVERAGE(B139:F139)</f>
        <v>2.0968</v>
      </c>
      <c r="C152" s="378">
        <f>B152+C109</f>
        <v>2.0968100000000001</v>
      </c>
      <c r="D152" s="726">
        <f t="shared" si="71"/>
        <v>4.4721359549990868E-4</v>
      </c>
      <c r="E152" s="378">
        <f>A152-C152</f>
        <v>-9.6810000000000063E-2</v>
      </c>
      <c r="F152" s="378">
        <f t="shared" ref="F152:F157" si="73">(E152/C152)*100</f>
        <v>-4.6170134633085524</v>
      </c>
      <c r="G152" s="379">
        <f>C152-A152</f>
        <v>9.6810000000000063E-2</v>
      </c>
      <c r="H152" s="380">
        <f t="shared" ref="H152:H157" si="74">ABS(G152/C152)*100</f>
        <v>4.6170134633085524</v>
      </c>
      <c r="I152" s="380">
        <f>UB!J31</f>
        <v>14.780489686425888</v>
      </c>
      <c r="J152" s="380">
        <f t="shared" ref="J152:J157" si="75">H152+I152</f>
        <v>19.39750314973444</v>
      </c>
      <c r="K152" s="379">
        <f>H109</f>
        <v>0</v>
      </c>
      <c r="L152" s="494">
        <f>M109</f>
        <v>0.11388774522776814</v>
      </c>
      <c r="M152" s="86"/>
      <c r="N152" s="190"/>
      <c r="T152" s="381"/>
      <c r="U152" s="381"/>
      <c r="V152" s="382"/>
      <c r="W152" s="27"/>
    </row>
    <row r="153" spans="1:28" x14ac:dyDescent="0.2">
      <c r="A153" s="655">
        <f>ID!D42</f>
        <v>3</v>
      </c>
      <c r="B153" s="59">
        <f t="shared" si="72"/>
        <v>3.1531999999999996</v>
      </c>
      <c r="C153" s="378">
        <f>B153+C113</f>
        <v>3.1532099999999996</v>
      </c>
      <c r="D153" s="726">
        <f t="shared" si="71"/>
        <v>8.5680802984099066E-2</v>
      </c>
      <c r="E153" s="378">
        <f>A153-C153</f>
        <v>-0.15320999999999962</v>
      </c>
      <c r="F153" s="378">
        <f t="shared" si="73"/>
        <v>-4.8588581160150968</v>
      </c>
      <c r="G153" s="379">
        <f t="shared" ref="G153:G157" si="76">C153-A153</f>
        <v>0.15320999999999962</v>
      </c>
      <c r="H153" s="380">
        <f t="shared" si="74"/>
        <v>4.8588581160150968</v>
      </c>
      <c r="I153" s="380">
        <f>UB!J45</f>
        <v>10.306221945931867</v>
      </c>
      <c r="J153" s="380">
        <f t="shared" si="75"/>
        <v>15.165080061946963</v>
      </c>
      <c r="K153" s="379">
        <f>H113</f>
        <v>0</v>
      </c>
      <c r="L153" s="494">
        <f>M113</f>
        <v>0.1309609110321435</v>
      </c>
      <c r="M153" s="86"/>
      <c r="N153" s="190"/>
      <c r="T153" s="27"/>
      <c r="U153" s="27"/>
      <c r="V153" s="27"/>
      <c r="W153" s="27"/>
    </row>
    <row r="154" spans="1:28" x14ac:dyDescent="0.2">
      <c r="A154" s="655">
        <f>ID!D43</f>
        <v>4</v>
      </c>
      <c r="B154" s="59">
        <f t="shared" si="72"/>
        <v>4.3604000000000003</v>
      </c>
      <c r="C154" s="378">
        <f>B154+C117</f>
        <v>4.3604099999999999</v>
      </c>
      <c r="D154" s="726">
        <f t="shared" si="71"/>
        <v>5.4772255750486253E-4</v>
      </c>
      <c r="E154" s="378">
        <f>A154-C154</f>
        <v>-0.3604099999999999</v>
      </c>
      <c r="F154" s="378">
        <f t="shared" si="73"/>
        <v>-8.2655071426769471</v>
      </c>
      <c r="G154" s="379">
        <f t="shared" si="76"/>
        <v>0.3604099999999999</v>
      </c>
      <c r="H154" s="380">
        <f t="shared" si="74"/>
        <v>8.2655071426769471</v>
      </c>
      <c r="I154" s="380">
        <f>UB!J59</f>
        <v>7.4369404358863385</v>
      </c>
      <c r="J154" s="380">
        <f t="shared" si="75"/>
        <v>15.702447578563286</v>
      </c>
      <c r="K154" s="379">
        <f>H117</f>
        <v>0</v>
      </c>
      <c r="L154" s="494">
        <f>M117</f>
        <v>0.15047125347727974</v>
      </c>
      <c r="M154" s="86"/>
      <c r="N154" s="190"/>
    </row>
    <row r="155" spans="1:28" x14ac:dyDescent="0.2">
      <c r="A155" s="655">
        <f>ID!D44</f>
        <v>5</v>
      </c>
      <c r="B155" s="59">
        <f t="shared" si="72"/>
        <v>5.492</v>
      </c>
      <c r="C155" s="378">
        <f>B155+C121</f>
        <v>5.4920099999999996</v>
      </c>
      <c r="D155" s="726">
        <f t="shared" si="71"/>
        <v>2.7386127875257721E-3</v>
      </c>
      <c r="E155" s="378">
        <f>A155-C155</f>
        <v>-0.49200999999999961</v>
      </c>
      <c r="F155" s="378">
        <f t="shared" si="73"/>
        <v>-8.9586508400385227</v>
      </c>
      <c r="G155" s="379">
        <f>C155-A155</f>
        <v>0.49200999999999961</v>
      </c>
      <c r="H155" s="380">
        <f>ABS(G155/C155)*100</f>
        <v>8.9586508400385227</v>
      </c>
      <c r="I155" s="380">
        <f>UB!J73</f>
        <v>6.0784568527220015</v>
      </c>
      <c r="J155" s="380">
        <f t="shared" si="75"/>
        <v>15.037107692760525</v>
      </c>
      <c r="K155" s="379">
        <f>H121</f>
        <v>0</v>
      </c>
      <c r="L155" s="494">
        <f>M121</f>
        <v>0.17099411764705882</v>
      </c>
      <c r="M155" s="86"/>
      <c r="N155" s="190"/>
    </row>
    <row r="156" spans="1:28" x14ac:dyDescent="0.2">
      <c r="A156" s="655">
        <f>ID!D45</f>
        <v>6</v>
      </c>
      <c r="B156" s="59">
        <f t="shared" si="72"/>
        <v>6</v>
      </c>
      <c r="C156" s="378">
        <f>B156+C125</f>
        <v>6.0000099999999996</v>
      </c>
      <c r="D156" s="726">
        <f t="shared" si="71"/>
        <v>0</v>
      </c>
      <c r="E156" s="378">
        <f t="shared" ref="E156:E157" si="77">A156-C156</f>
        <v>-9.9999999996214228E-6</v>
      </c>
      <c r="F156" s="378">
        <f t="shared" si="73"/>
        <v>-1.6666638888304224E-4</v>
      </c>
      <c r="G156" s="379">
        <f t="shared" si="76"/>
        <v>9.9999999996214228E-6</v>
      </c>
      <c r="H156" s="380">
        <f>ABS(G156/C156)*100</f>
        <v>1.6666638888304224E-4</v>
      </c>
      <c r="I156" s="380">
        <f>UB!J87</f>
        <v>5.6497103573181588</v>
      </c>
      <c r="J156" s="380">
        <f t="shared" si="75"/>
        <v>5.6498770237070417</v>
      </c>
      <c r="K156" s="379">
        <f>H125</f>
        <v>0</v>
      </c>
      <c r="L156" s="494">
        <f>M125</f>
        <v>0.18129837728194725</v>
      </c>
      <c r="M156" s="86"/>
      <c r="N156" s="190"/>
    </row>
    <row r="157" spans="1:28" x14ac:dyDescent="0.2">
      <c r="A157" s="655">
        <f>ID!D46</f>
        <v>7</v>
      </c>
      <c r="B157" s="59">
        <f t="shared" si="72"/>
        <v>7</v>
      </c>
      <c r="C157" s="378">
        <f>B157+C129</f>
        <v>7.0000099999999996</v>
      </c>
      <c r="D157" s="726">
        <f t="shared" si="71"/>
        <v>0</v>
      </c>
      <c r="E157" s="378">
        <f t="shared" si="77"/>
        <v>-9.9999999996214228E-6</v>
      </c>
      <c r="F157" s="378">
        <f t="shared" si="73"/>
        <v>-1.4285693877039352E-4</v>
      </c>
      <c r="G157" s="379">
        <f t="shared" si="76"/>
        <v>9.9999999996214228E-6</v>
      </c>
      <c r="H157" s="380">
        <f t="shared" si="74"/>
        <v>1.4285693877039352E-4</v>
      </c>
      <c r="I157" s="380">
        <f>UB!J101</f>
        <v>4.9974934601799532</v>
      </c>
      <c r="J157" s="380">
        <f t="shared" si="75"/>
        <v>4.9976363171187232</v>
      </c>
      <c r="K157" s="379">
        <f>H129</f>
        <v>0</v>
      </c>
      <c r="L157" s="494">
        <f>M129</f>
        <v>0.20158235294117646</v>
      </c>
      <c r="M157" s="86"/>
      <c r="N157" s="190"/>
    </row>
    <row r="159" spans="1:28" ht="13.5" thickBot="1" x14ac:dyDescent="0.25">
      <c r="M159" s="1157"/>
      <c r="N159" s="1157"/>
      <c r="O159" s="383"/>
      <c r="P159" s="52"/>
      <c r="Q159" s="384"/>
      <c r="R159" s="27"/>
      <c r="AB159" s="339"/>
    </row>
    <row r="160" spans="1:28" x14ac:dyDescent="0.2">
      <c r="A160" s="19" t="s">
        <v>330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85"/>
      <c r="M160" s="1158"/>
      <c r="N160" s="1158"/>
      <c r="O160" s="386"/>
      <c r="P160" s="387"/>
      <c r="Q160" s="384"/>
      <c r="R160" s="27"/>
      <c r="S160" s="338"/>
      <c r="T160" s="185"/>
      <c r="U160" s="185"/>
      <c r="V160" s="185"/>
      <c r="W160" s="339"/>
      <c r="AB160" s="388"/>
    </row>
    <row r="161" spans="1:28" ht="15" x14ac:dyDescent="0.25">
      <c r="A161" s="19" t="s">
        <v>331</v>
      </c>
      <c r="K161" s="17"/>
      <c r="M161" s="1158"/>
      <c r="N161" s="1158"/>
      <c r="O161" s="386"/>
      <c r="P161" s="387"/>
      <c r="Q161" s="384"/>
      <c r="R161" s="27"/>
      <c r="S161" s="389"/>
      <c r="T161" s="390"/>
      <c r="U161" s="390"/>
      <c r="V161" s="390"/>
      <c r="W161" s="388"/>
      <c r="X161" s="389"/>
      <c r="Y161" s="20"/>
      <c r="Z161" s="20"/>
      <c r="AA161" s="20"/>
      <c r="AB161" s="368"/>
    </row>
    <row r="162" spans="1:28" x14ac:dyDescent="0.2">
      <c r="A162" s="19" t="s">
        <v>187</v>
      </c>
      <c r="K162" s="17"/>
    </row>
    <row r="163" spans="1:28" x14ac:dyDescent="0.2">
      <c r="A163" s="19" t="s">
        <v>332</v>
      </c>
      <c r="E163" s="176"/>
      <c r="F163" s="176"/>
      <c r="K163" s="17"/>
    </row>
    <row r="164" spans="1:28" x14ac:dyDescent="0.2">
      <c r="A164" s="19" t="s">
        <v>333</v>
      </c>
      <c r="K164" s="17"/>
    </row>
    <row r="165" spans="1:28" x14ac:dyDescent="0.2">
      <c r="A165" s="19" t="s">
        <v>334</v>
      </c>
      <c r="K165" s="17"/>
    </row>
    <row r="166" spans="1:28" x14ac:dyDescent="0.2">
      <c r="A166" s="19" t="s">
        <v>335</v>
      </c>
      <c r="K166" s="17"/>
    </row>
    <row r="167" spans="1:28" x14ac:dyDescent="0.2">
      <c r="A167" s="19" t="s">
        <v>336</v>
      </c>
      <c r="K167" s="17"/>
    </row>
    <row r="168" spans="1:28" x14ac:dyDescent="0.2">
      <c r="A168" s="19" t="s">
        <v>337</v>
      </c>
      <c r="K168" s="17"/>
    </row>
    <row r="169" spans="1:28" x14ac:dyDescent="0.2">
      <c r="A169" s="19" t="s">
        <v>121</v>
      </c>
      <c r="K169" s="17"/>
    </row>
    <row r="170" spans="1:28" x14ac:dyDescent="0.2">
      <c r="A170" s="19" t="s">
        <v>338</v>
      </c>
      <c r="K170" s="17"/>
    </row>
    <row r="171" spans="1:28" x14ac:dyDescent="0.2">
      <c r="A171" s="19" t="s">
        <v>339</v>
      </c>
      <c r="K171" s="17"/>
    </row>
    <row r="172" spans="1:28" x14ac:dyDescent="0.2">
      <c r="A172" s="19" t="s">
        <v>340</v>
      </c>
      <c r="K172" s="17"/>
    </row>
    <row r="173" spans="1:28" x14ac:dyDescent="0.2">
      <c r="A173" s="19" t="s">
        <v>341</v>
      </c>
      <c r="K173" s="17"/>
    </row>
    <row r="174" spans="1:28" x14ac:dyDescent="0.2">
      <c r="A174" s="19" t="s">
        <v>342</v>
      </c>
      <c r="K174" s="17"/>
    </row>
    <row r="175" spans="1:28" x14ac:dyDescent="0.2">
      <c r="A175" s="19" t="s">
        <v>343</v>
      </c>
      <c r="K175" s="17"/>
    </row>
    <row r="176" spans="1:28" x14ac:dyDescent="0.2">
      <c r="A176" s="19" t="s">
        <v>344</v>
      </c>
      <c r="K176" s="17"/>
    </row>
    <row r="177" spans="1:11" x14ac:dyDescent="0.2">
      <c r="A177" s="19" t="s">
        <v>345</v>
      </c>
      <c r="K177" s="17"/>
    </row>
    <row r="178" spans="1:11" x14ac:dyDescent="0.2">
      <c r="A178" s="19" t="s">
        <v>346</v>
      </c>
      <c r="K178" s="17"/>
    </row>
    <row r="179" spans="1:11" x14ac:dyDescent="0.2">
      <c r="A179" s="19" t="s">
        <v>347</v>
      </c>
      <c r="K179" s="17"/>
    </row>
    <row r="180" spans="1:11" x14ac:dyDescent="0.2">
      <c r="A180" s="19" t="s">
        <v>348</v>
      </c>
      <c r="K180" s="17"/>
    </row>
    <row r="181" spans="1:11" x14ac:dyDescent="0.2">
      <c r="A181" s="19" t="s">
        <v>349</v>
      </c>
      <c r="K181" s="17"/>
    </row>
    <row r="182" spans="1:11" ht="15" x14ac:dyDescent="0.25">
      <c r="A182" s="140"/>
      <c r="K182" s="17"/>
    </row>
    <row r="183" spans="1:11" ht="15" x14ac:dyDescent="0.25">
      <c r="A183" s="140"/>
      <c r="K183" s="17"/>
    </row>
    <row r="184" spans="1:11" ht="15" x14ac:dyDescent="0.25">
      <c r="A184" s="140"/>
      <c r="K184" s="17"/>
    </row>
    <row r="185" spans="1:11" x14ac:dyDescent="0.2">
      <c r="A185" s="42"/>
      <c r="K185" s="17"/>
    </row>
    <row r="186" spans="1:11" x14ac:dyDescent="0.2">
      <c r="A186" s="42" t="s">
        <v>108</v>
      </c>
      <c r="C186" s="16" t="s">
        <v>108</v>
      </c>
      <c r="E186" s="16" t="s">
        <v>350</v>
      </c>
      <c r="K186" s="17"/>
    </row>
    <row r="187" spans="1:11" x14ac:dyDescent="0.2">
      <c r="A187" s="42" t="s">
        <v>125</v>
      </c>
      <c r="C187" s="16" t="s">
        <v>125</v>
      </c>
      <c r="K187" s="17"/>
    </row>
    <row r="188" spans="1:11" x14ac:dyDescent="0.2">
      <c r="A188" s="42" t="s">
        <v>108</v>
      </c>
      <c r="C188" s="16" t="s">
        <v>108</v>
      </c>
      <c r="K188" s="17"/>
    </row>
    <row r="189" spans="1:11" x14ac:dyDescent="0.2">
      <c r="A189" s="42" t="s">
        <v>125</v>
      </c>
      <c r="C189" s="16" t="s">
        <v>125</v>
      </c>
      <c r="K189" s="17"/>
    </row>
    <row r="190" spans="1:11" x14ac:dyDescent="0.2">
      <c r="A190" s="42" t="s">
        <v>108</v>
      </c>
      <c r="C190" s="16" t="s">
        <v>108</v>
      </c>
      <c r="K190" s="17"/>
    </row>
    <row r="191" spans="1:11" x14ac:dyDescent="0.2">
      <c r="A191" s="42" t="s">
        <v>125</v>
      </c>
      <c r="C191" s="16" t="s">
        <v>125</v>
      </c>
      <c r="K191" s="17"/>
    </row>
    <row r="192" spans="1:11" x14ac:dyDescent="0.2">
      <c r="A192" s="42"/>
      <c r="K192" s="17"/>
    </row>
    <row r="193" spans="1:23" ht="13.5" thickBot="1" x14ac:dyDescent="0.25">
      <c r="A193" s="42"/>
      <c r="K193" s="17"/>
    </row>
    <row r="194" spans="1:23" ht="15" x14ac:dyDescent="0.2">
      <c r="A194" s="1332" t="str">
        <f>ID!B55</f>
        <v>Gas Flow Analyzer, Merek : Fluke, Model : VT900A, SN : 5101035-5102036</v>
      </c>
      <c r="B194" s="1333"/>
      <c r="C194" s="1333"/>
      <c r="D194" s="1333"/>
      <c r="E194" s="1333"/>
      <c r="F194" s="1333"/>
      <c r="G194" s="1333"/>
      <c r="H194" s="1333"/>
      <c r="I194" s="1333"/>
      <c r="J194" s="1333"/>
      <c r="K194" s="1334"/>
      <c r="M194" s="1159">
        <f>A206</f>
        <v>10</v>
      </c>
      <c r="N194" s="1160"/>
      <c r="O194" s="1160"/>
      <c r="P194" s="1160"/>
      <c r="Q194" s="1160"/>
      <c r="R194" s="1160"/>
      <c r="S194" s="1160"/>
      <c r="T194" s="1160"/>
      <c r="U194" s="1160"/>
      <c r="V194" s="1160"/>
      <c r="W194" s="1161"/>
    </row>
    <row r="195" spans="1:23" ht="15" x14ac:dyDescent="0.2">
      <c r="A195" s="527" t="s">
        <v>351</v>
      </c>
      <c r="B195" s="74"/>
      <c r="C195" s="74"/>
      <c r="D195" s="74"/>
      <c r="E195" s="74"/>
      <c r="F195" s="74"/>
      <c r="G195" s="74"/>
      <c r="H195" s="74"/>
      <c r="I195" s="391">
        <f>H4</f>
        <v>2020</v>
      </c>
      <c r="J195" s="391">
        <f>I4</f>
        <v>2017</v>
      </c>
      <c r="K195" s="75">
        <v>1</v>
      </c>
      <c r="M195" s="76">
        <v>1</v>
      </c>
      <c r="N195" s="526" t="s">
        <v>91</v>
      </c>
      <c r="O195" s="78"/>
      <c r="P195" s="78"/>
      <c r="Q195" s="78"/>
      <c r="R195" s="78"/>
      <c r="S195" s="78"/>
      <c r="T195" s="78"/>
      <c r="U195" s="78"/>
      <c r="V195" s="78"/>
      <c r="W195" s="79"/>
    </row>
    <row r="196" spans="1:23" ht="15" x14ac:dyDescent="0.2">
      <c r="A196" s="527" t="s">
        <v>352</v>
      </c>
      <c r="B196" s="74"/>
      <c r="C196" s="74"/>
      <c r="D196" s="74"/>
      <c r="E196" s="74"/>
      <c r="F196" s="74"/>
      <c r="G196" s="74"/>
      <c r="H196" s="74"/>
      <c r="I196" s="391">
        <f>H14</f>
        <v>2018</v>
      </c>
      <c r="J196" s="391" t="str">
        <f>I14</f>
        <v>-</v>
      </c>
      <c r="K196" s="75">
        <v>2</v>
      </c>
      <c r="M196" s="76">
        <v>2</v>
      </c>
      <c r="N196" s="526" t="s">
        <v>353</v>
      </c>
      <c r="O196" s="78"/>
      <c r="P196" s="78"/>
      <c r="Q196" s="78"/>
      <c r="R196" s="78"/>
      <c r="S196" s="78"/>
      <c r="T196" s="78"/>
      <c r="U196" s="78"/>
      <c r="V196" s="78"/>
      <c r="W196" s="79"/>
    </row>
    <row r="197" spans="1:23" ht="15" x14ac:dyDescent="0.2">
      <c r="A197" s="528" t="s">
        <v>437</v>
      </c>
      <c r="B197" s="80"/>
      <c r="C197" s="80"/>
      <c r="D197" s="80"/>
      <c r="E197" s="80"/>
      <c r="F197" s="80"/>
      <c r="G197" s="80"/>
      <c r="H197" s="80"/>
      <c r="I197" s="391">
        <f>B4</f>
        <v>2018</v>
      </c>
      <c r="J197" s="391" t="str">
        <f>C4</f>
        <v>-</v>
      </c>
      <c r="K197" s="81">
        <v>3</v>
      </c>
      <c r="M197" s="76">
        <v>3</v>
      </c>
      <c r="N197" s="526" t="s">
        <v>353</v>
      </c>
      <c r="O197" s="78"/>
      <c r="P197" s="78"/>
      <c r="Q197" s="78"/>
      <c r="R197" s="78"/>
      <c r="S197" s="78"/>
      <c r="T197" s="78"/>
      <c r="U197" s="78"/>
      <c r="V197" s="78"/>
      <c r="W197" s="79"/>
    </row>
    <row r="198" spans="1:23" ht="15" x14ac:dyDescent="0.2">
      <c r="A198" s="528" t="s">
        <v>354</v>
      </c>
      <c r="B198" s="80"/>
      <c r="C198" s="80"/>
      <c r="D198" s="80"/>
      <c r="E198" s="80"/>
      <c r="F198" s="80"/>
      <c r="G198" s="80"/>
      <c r="H198" s="80"/>
      <c r="I198" s="391">
        <f>B14</f>
        <v>2017</v>
      </c>
      <c r="J198" s="391" t="str">
        <f>C14</f>
        <v>-</v>
      </c>
      <c r="K198" s="81">
        <v>4</v>
      </c>
      <c r="M198" s="76">
        <v>4</v>
      </c>
      <c r="N198" s="526" t="s">
        <v>353</v>
      </c>
      <c r="O198" s="78"/>
      <c r="P198" s="78"/>
      <c r="Q198" s="78"/>
      <c r="R198" s="78"/>
      <c r="S198" s="78"/>
      <c r="T198" s="78"/>
      <c r="U198" s="78"/>
      <c r="V198" s="78"/>
      <c r="W198" s="79"/>
    </row>
    <row r="199" spans="1:23" ht="15" x14ac:dyDescent="0.2">
      <c r="A199" s="528" t="s">
        <v>355</v>
      </c>
      <c r="B199" s="139"/>
      <c r="C199" s="139"/>
      <c r="D199" s="139"/>
      <c r="E199" s="139"/>
      <c r="F199" s="139"/>
      <c r="G199" s="139"/>
      <c r="H199" s="139"/>
      <c r="I199" s="391">
        <f>N4</f>
        <v>2019</v>
      </c>
      <c r="J199" s="391" t="str">
        <f>O4</f>
        <v>-</v>
      </c>
      <c r="K199" s="75">
        <v>5</v>
      </c>
      <c r="M199" s="76">
        <v>5</v>
      </c>
      <c r="N199" s="526" t="s">
        <v>356</v>
      </c>
      <c r="O199" s="78"/>
      <c r="P199" s="78"/>
      <c r="Q199" s="78"/>
      <c r="R199" s="78"/>
      <c r="S199" s="78"/>
      <c r="T199" s="78"/>
      <c r="U199" s="78"/>
      <c r="V199" s="78"/>
      <c r="W199" s="79"/>
    </row>
    <row r="200" spans="1:23" ht="15" x14ac:dyDescent="0.2">
      <c r="A200" s="528" t="s">
        <v>357</v>
      </c>
      <c r="B200" s="392"/>
      <c r="C200" s="392"/>
      <c r="D200" s="392"/>
      <c r="E200" s="392"/>
      <c r="F200" s="392"/>
      <c r="G200" s="392"/>
      <c r="H200" s="392"/>
      <c r="I200" s="393">
        <f>N14</f>
        <v>2019</v>
      </c>
      <c r="J200" s="393" t="str">
        <f>O14</f>
        <v>-</v>
      </c>
      <c r="K200" s="394">
        <v>6</v>
      </c>
      <c r="M200" s="175">
        <v>6</v>
      </c>
      <c r="N200" s="526" t="s">
        <v>356</v>
      </c>
      <c r="W200" s="17"/>
    </row>
    <row r="201" spans="1:23" ht="15" x14ac:dyDescent="0.2">
      <c r="A201" s="527" t="s">
        <v>118</v>
      </c>
      <c r="B201" s="481"/>
      <c r="C201" s="481"/>
      <c r="D201" s="481"/>
      <c r="E201" s="481"/>
      <c r="F201" s="481"/>
      <c r="G201" s="481"/>
      <c r="H201" s="481"/>
      <c r="I201" s="393">
        <f>N25</f>
        <v>2019</v>
      </c>
      <c r="J201" s="393" t="str">
        <f>O25</f>
        <v>-</v>
      </c>
      <c r="K201" s="75">
        <v>7</v>
      </c>
      <c r="M201" s="76">
        <v>7</v>
      </c>
      <c r="N201" s="526" t="s">
        <v>91</v>
      </c>
      <c r="W201" s="17"/>
    </row>
    <row r="202" spans="1:23" ht="15" x14ac:dyDescent="0.2">
      <c r="A202" s="527" t="s">
        <v>358</v>
      </c>
      <c r="B202" s="481"/>
      <c r="C202" s="481"/>
      <c r="D202" s="481"/>
      <c r="E202" s="481"/>
      <c r="F202" s="481"/>
      <c r="G202" s="481"/>
      <c r="H202" s="481"/>
      <c r="I202" s="393">
        <f>N35</f>
        <v>2019</v>
      </c>
      <c r="J202" s="393" t="str">
        <f>O35</f>
        <v>-</v>
      </c>
      <c r="K202" s="394">
        <v>8</v>
      </c>
      <c r="M202" s="175">
        <v>8</v>
      </c>
      <c r="N202" s="526" t="s">
        <v>359</v>
      </c>
      <c r="W202" s="17"/>
    </row>
    <row r="203" spans="1:23" ht="15" x14ac:dyDescent="0.2">
      <c r="A203" s="527" t="s">
        <v>360</v>
      </c>
      <c r="B203" s="481"/>
      <c r="C203" s="481"/>
      <c r="D203" s="481"/>
      <c r="E203" s="481"/>
      <c r="F203" s="481"/>
      <c r="G203" s="481"/>
      <c r="H203" s="481"/>
      <c r="I203" s="654">
        <f>N45</f>
        <v>2020</v>
      </c>
      <c r="J203" s="654" t="str">
        <f>O45</f>
        <v>-</v>
      </c>
      <c r="K203" s="75">
        <v>9</v>
      </c>
      <c r="M203" s="76">
        <v>9</v>
      </c>
      <c r="N203" s="526" t="s">
        <v>359</v>
      </c>
      <c r="W203" s="17"/>
    </row>
    <row r="204" spans="1:23" ht="15" x14ac:dyDescent="0.2">
      <c r="A204" s="659" t="s">
        <v>381</v>
      </c>
      <c r="B204" s="481"/>
      <c r="C204" s="481"/>
      <c r="D204" s="481"/>
      <c r="E204" s="481"/>
      <c r="F204" s="481"/>
      <c r="G204" s="481"/>
      <c r="H204" s="481"/>
      <c r="I204" s="654">
        <f>N55</f>
        <v>2022</v>
      </c>
      <c r="J204" s="654" t="str">
        <f>O55</f>
        <v>-</v>
      </c>
      <c r="K204" s="394">
        <v>10</v>
      </c>
      <c r="M204" s="175">
        <v>10</v>
      </c>
      <c r="N204" s="526" t="s">
        <v>353</v>
      </c>
      <c r="W204" s="17"/>
    </row>
    <row r="205" spans="1:23" ht="15" x14ac:dyDescent="0.2">
      <c r="A205" s="659" t="s">
        <v>382</v>
      </c>
      <c r="B205" s="481"/>
      <c r="C205" s="481"/>
      <c r="D205" s="481"/>
      <c r="E205" s="481"/>
      <c r="F205" s="481"/>
      <c r="G205" s="481"/>
      <c r="H205" s="481"/>
      <c r="I205" s="654">
        <f>N65</f>
        <v>2022</v>
      </c>
      <c r="J205" s="654" t="str">
        <f>O65</f>
        <v>-</v>
      </c>
      <c r="K205" s="75">
        <v>11</v>
      </c>
      <c r="M205" s="76">
        <v>11</v>
      </c>
      <c r="N205" s="526" t="s">
        <v>353</v>
      </c>
      <c r="W205" s="17"/>
    </row>
    <row r="206" spans="1:23" ht="13.5" thickBot="1" x14ac:dyDescent="0.25">
      <c r="A206" s="1162">
        <f>VLOOKUP(A194,A195:K205,11,(FALSE))</f>
        <v>10</v>
      </c>
      <c r="B206" s="1163"/>
      <c r="C206" s="1163"/>
      <c r="D206" s="1163"/>
      <c r="E206" s="1163"/>
      <c r="F206" s="1163"/>
      <c r="G206" s="1163"/>
      <c r="H206" s="1163"/>
      <c r="I206" s="1163"/>
      <c r="J206" s="1163"/>
      <c r="K206" s="1164"/>
      <c r="M206" s="82" t="str">
        <f>VLOOKUP(M194,M195:W205,2,FALSE)</f>
        <v>Hasil kalibrasi Flow tertelusur ke Satuan Internasional (SI) melalui PT. CALTEK PTE LTD</v>
      </c>
      <c r="N206" s="83"/>
      <c r="O206" s="84"/>
      <c r="P206" s="84"/>
      <c r="Q206" s="84"/>
      <c r="R206" s="84"/>
      <c r="S206" s="84"/>
      <c r="T206" s="84"/>
      <c r="U206" s="84"/>
      <c r="V206" s="84"/>
      <c r="W206" s="85"/>
    </row>
    <row r="208" spans="1:23" ht="13.5" thickBot="1" x14ac:dyDescent="0.25"/>
    <row r="209" spans="1:9" x14ac:dyDescent="0.2">
      <c r="A209" s="498">
        <f>IF(PENYELIA!L67&gt;=70,1,IF(PENYELIA!L67&lt;70,2))</f>
        <v>1</v>
      </c>
      <c r="B209" s="499"/>
      <c r="C209" s="499"/>
      <c r="D209" s="499"/>
      <c r="E209" s="500"/>
      <c r="F209" s="501"/>
      <c r="G209" s="501"/>
      <c r="H209" s="501"/>
      <c r="I209" s="501"/>
    </row>
    <row r="210" spans="1:9" x14ac:dyDescent="0.2">
      <c r="A210" s="42"/>
      <c r="E210" s="17"/>
    </row>
    <row r="211" spans="1:9" x14ac:dyDescent="0.2">
      <c r="A211" s="1165">
        <f>A209</f>
        <v>1</v>
      </c>
      <c r="B211" s="1166"/>
      <c r="C211" s="1166"/>
      <c r="D211" s="1166"/>
      <c r="E211" s="1167"/>
      <c r="F211" s="11"/>
      <c r="G211" s="11"/>
      <c r="H211" s="11"/>
      <c r="I211" s="11"/>
    </row>
    <row r="212" spans="1:9" x14ac:dyDescent="0.2">
      <c r="A212" s="76">
        <v>1</v>
      </c>
      <c r="B212" s="77" t="s">
        <v>361</v>
      </c>
      <c r="C212" s="502"/>
      <c r="D212" s="503"/>
      <c r="E212" s="504">
        <v>1</v>
      </c>
      <c r="F212" s="11"/>
      <c r="G212" s="11"/>
      <c r="H212" s="11"/>
      <c r="I212" s="11"/>
    </row>
    <row r="213" spans="1:9" x14ac:dyDescent="0.2">
      <c r="A213" s="76">
        <v>2</v>
      </c>
      <c r="B213" s="77" t="s">
        <v>362</v>
      </c>
      <c r="C213" s="502"/>
      <c r="D213" s="503"/>
      <c r="E213" s="504">
        <v>2</v>
      </c>
      <c r="F213" s="11"/>
      <c r="G213" s="11"/>
      <c r="H213" s="11"/>
      <c r="I213" s="11"/>
    </row>
    <row r="214" spans="1:9" ht="13.5" thickBot="1" x14ac:dyDescent="0.25">
      <c r="A214" s="1168" t="str">
        <f>VLOOKUP(A211,A212:E213,2,FALSE)</f>
        <v>Nomor Sertifikat : 35 /</v>
      </c>
      <c r="B214" s="1169"/>
      <c r="C214" s="1169"/>
      <c r="D214" s="1169"/>
      <c r="E214" s="1170"/>
      <c r="F214" s="505"/>
      <c r="G214" s="505"/>
      <c r="H214" s="505"/>
      <c r="I214" s="505"/>
    </row>
    <row r="215" spans="1:9" ht="13.5" thickBot="1" x14ac:dyDescent="0.25">
      <c r="A215" s="1168">
        <f>VLOOKUP(A211,A212:E213,5,FALSE)</f>
        <v>1</v>
      </c>
      <c r="B215" s="1169"/>
      <c r="C215" s="1169"/>
      <c r="D215" s="1169"/>
      <c r="E215" s="1170"/>
      <c r="F215" s="505"/>
      <c r="G215" s="505"/>
      <c r="H215" s="505"/>
      <c r="I215" s="505"/>
    </row>
    <row r="216" spans="1:9" ht="13.5" thickBot="1" x14ac:dyDescent="0.25">
      <c r="A216" s="11"/>
      <c r="B216" s="18"/>
      <c r="C216" s="18"/>
      <c r="D216" s="11"/>
      <c r="E216" s="11"/>
      <c r="F216" s="11"/>
      <c r="G216" s="11"/>
      <c r="H216" s="11"/>
      <c r="I216" s="11"/>
    </row>
    <row r="217" spans="1:9" ht="13.5" thickBot="1" x14ac:dyDescent="0.25">
      <c r="A217" s="1154">
        <f>A215</f>
        <v>1</v>
      </c>
      <c r="B217" s="1155"/>
      <c r="C217" s="1155"/>
      <c r="D217" s="1155"/>
      <c r="E217" s="1155"/>
      <c r="F217" s="1155"/>
      <c r="G217" s="1155"/>
      <c r="H217" s="1155"/>
      <c r="I217" s="1156"/>
    </row>
    <row r="218" spans="1:9" x14ac:dyDescent="0.2">
      <c r="A218" s="66">
        <v>1</v>
      </c>
      <c r="B218" s="67" t="s">
        <v>363</v>
      </c>
      <c r="C218" s="63"/>
      <c r="D218" s="62"/>
      <c r="E218" s="62"/>
      <c r="F218" s="62"/>
      <c r="G218" s="62"/>
      <c r="H218" s="62"/>
      <c r="I218" s="68"/>
    </row>
    <row r="219" spans="1:9" ht="13.5" thickBot="1" x14ac:dyDescent="0.25">
      <c r="A219" s="69">
        <v>2</v>
      </c>
      <c r="B219" s="70" t="s">
        <v>364</v>
      </c>
      <c r="C219" s="65"/>
      <c r="D219" s="64"/>
      <c r="E219" s="64"/>
      <c r="F219" s="64"/>
      <c r="G219" s="64"/>
      <c r="H219" s="64"/>
      <c r="I219" s="71"/>
    </row>
    <row r="220" spans="1:9" ht="13.5" thickBot="1" x14ac:dyDescent="0.25">
      <c r="A220" s="61" t="str">
        <f>VLOOKUP(A217,A218:G219,2,FALSE)</f>
        <v>Alat yang dikalibrasi dalam batas toleransi dan dinyatakan LAIK PAKAI, dimana hasil atau skor akhir sama dengan atau melampaui 70% berdasarkan Keputusan Direktur Jenderal Pelayanan Kesehatan No : HK.02.02/V/0412/2020.</v>
      </c>
      <c r="B220" s="497"/>
      <c r="C220" s="497"/>
      <c r="D220" s="72"/>
      <c r="E220" s="72"/>
      <c r="F220" s="72"/>
      <c r="G220" s="72"/>
      <c r="H220" s="72"/>
      <c r="I220" s="73"/>
    </row>
  </sheetData>
  <mergeCells count="101">
    <mergeCell ref="A119:D119"/>
    <mergeCell ref="F119:I119"/>
    <mergeCell ref="C147:D147"/>
    <mergeCell ref="B137:F137"/>
    <mergeCell ref="B93:E93"/>
    <mergeCell ref="E94:E95"/>
    <mergeCell ref="A81:A91"/>
    <mergeCell ref="M63:O63"/>
    <mergeCell ref="Q63:Q64"/>
    <mergeCell ref="N64:O64"/>
    <mergeCell ref="A146:B146"/>
    <mergeCell ref="C146:D146"/>
    <mergeCell ref="A123:D123"/>
    <mergeCell ref="A127:D127"/>
    <mergeCell ref="F123:I123"/>
    <mergeCell ref="F127:I127"/>
    <mergeCell ref="A115:D115"/>
    <mergeCell ref="F115:I115"/>
    <mergeCell ref="K115:N115"/>
    <mergeCell ref="B94:C94"/>
    <mergeCell ref="F103:I103"/>
    <mergeCell ref="A107:D107"/>
    <mergeCell ref="F107:I107"/>
    <mergeCell ref="K111:N111"/>
    <mergeCell ref="A1:Q1"/>
    <mergeCell ref="A2:C2"/>
    <mergeCell ref="E2:E4"/>
    <mergeCell ref="G2:I2"/>
    <mergeCell ref="K2:K4"/>
    <mergeCell ref="M2:O2"/>
    <mergeCell ref="Q2:Q4"/>
    <mergeCell ref="N3:O3"/>
    <mergeCell ref="A12:C12"/>
    <mergeCell ref="E12:E14"/>
    <mergeCell ref="G12:I12"/>
    <mergeCell ref="K12:K14"/>
    <mergeCell ref="M12:O12"/>
    <mergeCell ref="Q12:Q14"/>
    <mergeCell ref="B13:C13"/>
    <mergeCell ref="H13:I13"/>
    <mergeCell ref="N13:O13"/>
    <mergeCell ref="B3:C3"/>
    <mergeCell ref="H3:I3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K103:N103"/>
    <mergeCell ref="K107:N107"/>
    <mergeCell ref="A103:D103"/>
    <mergeCell ref="C149:C150"/>
    <mergeCell ref="N149:N150"/>
    <mergeCell ref="L149:L150"/>
    <mergeCell ref="M149:M150"/>
    <mergeCell ref="A149:A150"/>
    <mergeCell ref="B149:B150"/>
    <mergeCell ref="K119:N119"/>
    <mergeCell ref="K132:N132"/>
    <mergeCell ref="K123:N123"/>
    <mergeCell ref="K127:N127"/>
    <mergeCell ref="A147:B147"/>
    <mergeCell ref="A132:D132"/>
    <mergeCell ref="F132:I132"/>
    <mergeCell ref="A111:D111"/>
    <mergeCell ref="F111:I111"/>
    <mergeCell ref="M43:O43"/>
    <mergeCell ref="Q43:Q44"/>
    <mergeCell ref="N44:O44"/>
    <mergeCell ref="M53:O53"/>
    <mergeCell ref="Q53:Q54"/>
    <mergeCell ref="N54:O54"/>
    <mergeCell ref="B23:B25"/>
    <mergeCell ref="C23:C24"/>
    <mergeCell ref="D23:E24"/>
    <mergeCell ref="G23:G25"/>
    <mergeCell ref="A23:A25"/>
    <mergeCell ref="M23:O23"/>
    <mergeCell ref="A26:A36"/>
    <mergeCell ref="A37:A47"/>
    <mergeCell ref="A48:A58"/>
    <mergeCell ref="A59:A69"/>
    <mergeCell ref="A70:A80"/>
    <mergeCell ref="Q23:Q25"/>
    <mergeCell ref="N24:O24"/>
    <mergeCell ref="M33:O33"/>
    <mergeCell ref="N34:O34"/>
    <mergeCell ref="Q33:Q34"/>
    <mergeCell ref="A217:I217"/>
    <mergeCell ref="M159:N159"/>
    <mergeCell ref="M160:N160"/>
    <mergeCell ref="M161:N161"/>
    <mergeCell ref="A194:K194"/>
    <mergeCell ref="M194:W194"/>
    <mergeCell ref="A206:K206"/>
    <mergeCell ref="A211:E211"/>
    <mergeCell ref="A214:E214"/>
    <mergeCell ref="A215:E215"/>
  </mergeCells>
  <phoneticPr fontId="5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LK</vt:lpstr>
      <vt:lpstr>Riwayat Revisi</vt:lpstr>
      <vt:lpstr>UB</vt:lpstr>
      <vt:lpstr>PENYELIA</vt:lpstr>
      <vt:lpstr>ID</vt:lpstr>
      <vt:lpstr>LH</vt:lpstr>
      <vt:lpstr>SERTIFIKAT</vt:lpstr>
      <vt:lpstr>DB Kelistrikan</vt:lpstr>
      <vt:lpstr>DB GAS FLOW</vt:lpstr>
      <vt:lpstr>DB Thermohygro</vt:lpstr>
      <vt:lpstr>SCORING</vt:lpstr>
      <vt:lpstr>ID!Print_Area</vt:lpstr>
      <vt:lpstr>LH!Print_Area</vt:lpstr>
      <vt:lpstr>LK!Print_Area</vt:lpstr>
      <vt:lpstr>PENYELIA!Print_Area</vt:lpstr>
      <vt:lpstr>UB!Print_Area</vt:lpstr>
    </vt:vector>
  </TitlesOfParts>
  <Manager>Donny Martha</Manager>
  <Company>Lab. Flow &amp; Volume LPFK 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mesin Anasthesi Unit 2018</dc:title>
  <dc:subject/>
  <dc:creator>Donny Martha</dc:creator>
  <cp:keywords/>
  <dc:description/>
  <cp:lastModifiedBy>Ryan Rama Chaesar R</cp:lastModifiedBy>
  <cp:revision/>
  <cp:lastPrinted>2023-08-30T07:44:38Z</cp:lastPrinted>
  <dcterms:created xsi:type="dcterms:W3CDTF">2004-10-15T07:18:29Z</dcterms:created>
  <dcterms:modified xsi:type="dcterms:W3CDTF">2023-09-21T06:34:04Z</dcterms:modified>
  <cp:category>Laboratorium Flow &amp; Volume</cp:category>
  <cp:contentStatus/>
</cp:coreProperties>
</file>