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traxel\public\excel\"/>
    </mc:Choice>
  </mc:AlternateContent>
  <xr:revisionPtr revIDLastSave="0" documentId="13_ncr:1_{10F3F140-87AE-4E2D-AABB-861C2D4DB75B}" xr6:coauthVersionLast="47" xr6:coauthVersionMax="47" xr10:uidLastSave="{00000000-0000-0000-0000-000000000000}"/>
  <bookViews>
    <workbookView xWindow="-110" yWindow="-110" windowWidth="19420" windowHeight="10300" firstSheet="7" activeTab="7" xr2:uid="{00000000-000D-0000-FFFF-FFFF00000000}"/>
  </bookViews>
  <sheets>
    <sheet name="ESA" sheetId="41" state="hidden" r:id="rId1"/>
    <sheet name="Riwayat Revisi" sheetId="36" state="hidden" r:id="rId2"/>
    <sheet name="DB Thermohygro" sheetId="38" state="hidden" r:id="rId3"/>
    <sheet name="DB NIBP" sheetId="28" state="hidden" r:id="rId4"/>
    <sheet name="DB ECG SIM" sheetId="34" state="hidden" r:id="rId5"/>
    <sheet name="DB SPO2" sheetId="27" state="hidden" r:id="rId6"/>
    <sheet name="LK" sheetId="8" state="hidden" r:id="rId7"/>
    <sheet name="ID" sheetId="13" r:id="rId8"/>
    <sheet name="kata-kata" sheetId="35" r:id="rId9"/>
    <sheet name="Budget" sheetId="12" r:id="rId10"/>
    <sheet name="Penyelia" sheetId="4" r:id="rId11"/>
    <sheet name="LH" sheetId="29" r:id="rId12"/>
    <sheet name="SERTIFIKAT" sheetId="40" state="hidden" r:id="rId13"/>
    <sheet name="Surat Keterangan" sheetId="42" state="hidden" r:id="rId14"/>
  </sheets>
  <externalReferences>
    <externalReference r:id="rId15"/>
    <externalReference r:id="rId16"/>
  </externalReferences>
  <definedNames>
    <definedName name="_xlnm.Print_Area" localSheetId="9">Budget!$A$1:$W$72,Budget!$A$74:$W$148</definedName>
    <definedName name="_xlnm.Print_Area" localSheetId="4">'DB ECG SIM'!$A$239:$F$247</definedName>
    <definedName name="_xlnm.Print_Area" localSheetId="2">'DB Thermohygro'!#REF!,'DB Thermohygro'!#REF!</definedName>
    <definedName name="_xlnm.Print_Area" localSheetId="0">ESA!$AA$184:$AN$219</definedName>
    <definedName name="_xlnm.Print_Area" localSheetId="7">ID!$A$1:$M$62,ID!$A$66:$M$107</definedName>
    <definedName name="_xlnm.Print_Area" localSheetId="11">LH!$A$1:$L$78,LH!$A$80:$L$155</definedName>
    <definedName name="_xlnm.Print_Area" localSheetId="6">LK!$A$1:$M$52,LK!$A$54:$M$100</definedName>
    <definedName name="_xlnm.Print_Area" localSheetId="10">Penyelia!$A$1:$N$114</definedName>
    <definedName name="_xlnm.Print_Area" localSheetId="12">SERTIFIKAT!$A$1:$F$33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6" i="27" l="1"/>
  <c r="O98" i="27"/>
  <c r="O97" i="27"/>
  <c r="O96" i="27"/>
  <c r="O95" i="27"/>
  <c r="O94" i="27"/>
  <c r="N98" i="27"/>
  <c r="N97" i="27"/>
  <c r="W106" i="27"/>
  <c r="N96" i="27"/>
  <c r="N95" i="27"/>
  <c r="N94" i="27"/>
  <c r="Q98" i="27"/>
  <c r="Q97" i="27"/>
  <c r="Q96" i="27"/>
  <c r="Q95" i="27"/>
  <c r="Q94" i="27"/>
  <c r="V111" i="27"/>
  <c r="V107" i="27"/>
  <c r="V103" i="27"/>
  <c r="W102" i="27" s="1"/>
  <c r="V99" i="27"/>
  <c r="V95" i="27"/>
  <c r="W94" i="27" s="1"/>
  <c r="V97" i="27"/>
  <c r="X111" i="27"/>
  <c r="X107" i="27"/>
  <c r="X103" i="27"/>
  <c r="X99" i="27"/>
  <c r="X95" i="27"/>
  <c r="X109" i="27"/>
  <c r="X105" i="27"/>
  <c r="X101" i="27"/>
  <c r="X97" i="27"/>
  <c r="X93" i="27"/>
  <c r="V105" i="27"/>
  <c r="V109" i="27"/>
  <c r="V101" i="27"/>
  <c r="V93" i="27"/>
  <c r="U110" i="27"/>
  <c r="U106" i="27"/>
  <c r="U102" i="27"/>
  <c r="U98" i="27"/>
  <c r="U94" i="27"/>
  <c r="W98" i="27" l="1"/>
  <c r="W110" i="27" l="1"/>
  <c r="X15" i="35" l="1"/>
  <c r="Q31" i="35"/>
  <c r="S31" i="35" s="1"/>
  <c r="Q32" i="35"/>
  <c r="S32" i="35" s="1"/>
  <c r="Q33" i="35"/>
  <c r="S33" i="35" s="1"/>
  <c r="Q34" i="35"/>
  <c r="S34" i="35" s="1"/>
  <c r="A3" i="40"/>
  <c r="D4" i="40"/>
  <c r="K35" i="13" l="1"/>
  <c r="G2" i="42" l="1"/>
  <c r="B18" i="42"/>
  <c r="D11" i="42"/>
  <c r="D10" i="42"/>
  <c r="G26" i="42"/>
  <c r="A4" i="42"/>
  <c r="M44" i="13" l="1"/>
  <c r="M38" i="13"/>
  <c r="M37" i="13"/>
  <c r="K37" i="13"/>
  <c r="M35" i="13"/>
  <c r="M36" i="13"/>
  <c r="M70" i="13"/>
  <c r="B84" i="13" l="1"/>
  <c r="B81" i="13"/>
  <c r="B83" i="4" s="1"/>
  <c r="B17" i="35"/>
  <c r="B18" i="35"/>
  <c r="B19" i="35"/>
  <c r="B20" i="35"/>
  <c r="B21" i="35"/>
  <c r="B22" i="35"/>
  <c r="B23" i="35"/>
  <c r="A107" i="28" l="1"/>
  <c r="D58" i="41" l="1"/>
  <c r="C58" i="41"/>
  <c r="D52" i="41"/>
  <c r="C52" i="41"/>
  <c r="D44" i="41"/>
  <c r="C44" i="41"/>
  <c r="L22" i="28" l="1"/>
  <c r="E54" i="28" l="1"/>
  <c r="L54" i="28"/>
  <c r="S54" i="28"/>
  <c r="E38" i="28"/>
  <c r="L38" i="28"/>
  <c r="E22" i="28"/>
  <c r="E6" i="28"/>
  <c r="L6" i="28"/>
  <c r="I246" i="34" l="1"/>
  <c r="U234" i="34" l="1"/>
  <c r="M234" i="34"/>
  <c r="E234" i="34"/>
  <c r="U233" i="34"/>
  <c r="M233" i="34"/>
  <c r="E233" i="34"/>
  <c r="U232" i="34"/>
  <c r="M232" i="34"/>
  <c r="E232" i="34"/>
  <c r="U231" i="34"/>
  <c r="M231" i="34"/>
  <c r="E231" i="34"/>
  <c r="U230" i="34"/>
  <c r="M230" i="34"/>
  <c r="E230" i="34"/>
  <c r="U227" i="34"/>
  <c r="M227" i="34"/>
  <c r="E227" i="34"/>
  <c r="U224" i="34"/>
  <c r="M224" i="34"/>
  <c r="E224" i="34"/>
  <c r="U223" i="34"/>
  <c r="M223" i="34"/>
  <c r="E223" i="34"/>
  <c r="U220" i="34"/>
  <c r="E220" i="34"/>
  <c r="U219" i="34"/>
  <c r="E219" i="34"/>
  <c r="U218" i="34"/>
  <c r="E218" i="34"/>
  <c r="T217" i="34"/>
  <c r="T222" i="34" s="1"/>
  <c r="T226" i="34" s="1"/>
  <c r="T229" i="34" s="1"/>
  <c r="S217" i="34"/>
  <c r="S222" i="34" s="1"/>
  <c r="S226" i="34" s="1"/>
  <c r="S229" i="34" s="1"/>
  <c r="R217" i="34"/>
  <c r="R222" i="34" s="1"/>
  <c r="R226" i="34" s="1"/>
  <c r="R229" i="34" s="1"/>
  <c r="L217" i="34"/>
  <c r="L222" i="34" s="1"/>
  <c r="L226" i="34" s="1"/>
  <c r="L229" i="34" s="1"/>
  <c r="K217" i="34"/>
  <c r="K222" i="34" s="1"/>
  <c r="K226" i="34" s="1"/>
  <c r="K229" i="34" s="1"/>
  <c r="J217" i="34"/>
  <c r="J222" i="34" s="1"/>
  <c r="J226" i="34" s="1"/>
  <c r="J229" i="34" s="1"/>
  <c r="D217" i="34"/>
  <c r="D222" i="34" s="1"/>
  <c r="D226" i="34" s="1"/>
  <c r="D229" i="34" s="1"/>
  <c r="C217" i="34"/>
  <c r="C222" i="34" s="1"/>
  <c r="C226" i="34" s="1"/>
  <c r="C229" i="34" s="1"/>
  <c r="B217" i="34"/>
  <c r="B222" i="34" s="1"/>
  <c r="B226" i="34" s="1"/>
  <c r="B229" i="34" s="1"/>
  <c r="U215" i="34"/>
  <c r="M215" i="34"/>
  <c r="E215" i="34"/>
  <c r="U214" i="34"/>
  <c r="M214" i="34"/>
  <c r="E214" i="34"/>
  <c r="U213" i="34"/>
  <c r="M213" i="34"/>
  <c r="E213" i="34"/>
  <c r="U212" i="34"/>
  <c r="M212" i="34"/>
  <c r="E212" i="34"/>
  <c r="U205" i="34"/>
  <c r="M205" i="34"/>
  <c r="E205" i="34"/>
  <c r="U204" i="34"/>
  <c r="M204" i="34"/>
  <c r="E204" i="34"/>
  <c r="U203" i="34"/>
  <c r="M203" i="34"/>
  <c r="E203" i="34"/>
  <c r="U202" i="34"/>
  <c r="M202" i="34"/>
  <c r="E202" i="34"/>
  <c r="U201" i="34"/>
  <c r="M201" i="34"/>
  <c r="E201" i="34"/>
  <c r="U198" i="34"/>
  <c r="M198" i="34"/>
  <c r="E198" i="34"/>
  <c r="U195" i="34"/>
  <c r="M195" i="34"/>
  <c r="E195" i="34"/>
  <c r="U194" i="34"/>
  <c r="M194" i="34"/>
  <c r="E194" i="34"/>
  <c r="U191" i="34"/>
  <c r="E191" i="34"/>
  <c r="U190" i="34"/>
  <c r="E190" i="34"/>
  <c r="U189" i="34"/>
  <c r="E189" i="34"/>
  <c r="T188" i="34"/>
  <c r="T193" i="34" s="1"/>
  <c r="T197" i="34" s="1"/>
  <c r="T200" i="34" s="1"/>
  <c r="S188" i="34"/>
  <c r="S193" i="34" s="1"/>
  <c r="S197" i="34" s="1"/>
  <c r="S200" i="34" s="1"/>
  <c r="R188" i="34"/>
  <c r="R193" i="34" s="1"/>
  <c r="R197" i="34" s="1"/>
  <c r="R200" i="34" s="1"/>
  <c r="L188" i="34"/>
  <c r="L193" i="34" s="1"/>
  <c r="L197" i="34" s="1"/>
  <c r="L200" i="34" s="1"/>
  <c r="K188" i="34"/>
  <c r="K193" i="34" s="1"/>
  <c r="K197" i="34" s="1"/>
  <c r="K200" i="34" s="1"/>
  <c r="J188" i="34"/>
  <c r="J193" i="34" s="1"/>
  <c r="J197" i="34" s="1"/>
  <c r="J200" i="34" s="1"/>
  <c r="D188" i="34"/>
  <c r="D193" i="34" s="1"/>
  <c r="D197" i="34" s="1"/>
  <c r="D200" i="34" s="1"/>
  <c r="C188" i="34"/>
  <c r="C193" i="34" s="1"/>
  <c r="C197" i="34" s="1"/>
  <c r="C200" i="34" s="1"/>
  <c r="B188" i="34"/>
  <c r="B193" i="34" s="1"/>
  <c r="B197" i="34" s="1"/>
  <c r="B200" i="34" s="1"/>
  <c r="U186" i="34"/>
  <c r="M186" i="34"/>
  <c r="E186" i="34"/>
  <c r="U185" i="34"/>
  <c r="M185" i="34"/>
  <c r="E185" i="34"/>
  <c r="U184" i="34"/>
  <c r="M184" i="34"/>
  <c r="E184" i="34"/>
  <c r="U183" i="34"/>
  <c r="M183" i="34"/>
  <c r="E183" i="34"/>
  <c r="E85" i="28" l="1"/>
  <c r="F85" i="28"/>
  <c r="B86" i="28"/>
  <c r="B87" i="28"/>
  <c r="C87" i="28"/>
  <c r="D87" i="28"/>
  <c r="B88" i="28"/>
  <c r="C88" i="28"/>
  <c r="D88" i="28"/>
  <c r="F88" i="28"/>
  <c r="B89" i="28"/>
  <c r="C89" i="28"/>
  <c r="D89" i="28"/>
  <c r="F89" i="28"/>
  <c r="B90" i="28"/>
  <c r="C90" i="28"/>
  <c r="D90" i="28"/>
  <c r="F90" i="28"/>
  <c r="B91" i="28"/>
  <c r="C91" i="28"/>
  <c r="D91" i="28"/>
  <c r="F91" i="28"/>
  <c r="B92" i="28"/>
  <c r="C92" i="28"/>
  <c r="D92" i="28"/>
  <c r="F92" i="28"/>
  <c r="B93" i="28"/>
  <c r="C93" i="28"/>
  <c r="D93" i="28"/>
  <c r="F93" i="28"/>
  <c r="B94" i="28"/>
  <c r="C94" i="28"/>
  <c r="D94" i="28"/>
  <c r="F94" i="28"/>
  <c r="B95" i="28"/>
  <c r="C95" i="28"/>
  <c r="D95" i="28"/>
  <c r="F95" i="28"/>
  <c r="B96" i="28"/>
  <c r="C96" i="28"/>
  <c r="D96" i="28"/>
  <c r="F96" i="28"/>
  <c r="B97" i="28"/>
  <c r="C97" i="28"/>
  <c r="D97" i="28"/>
  <c r="F97" i="28"/>
  <c r="B98" i="28"/>
  <c r="C98" i="28"/>
  <c r="D98" i="28"/>
  <c r="F98" i="28"/>
  <c r="B99" i="28"/>
  <c r="C99" i="28"/>
  <c r="D99" i="28"/>
  <c r="E99" i="28"/>
  <c r="F99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84" i="28"/>
  <c r="N142" i="41"/>
  <c r="I145" i="41" s="1"/>
  <c r="N141" i="41"/>
  <c r="I143" i="41" s="1"/>
  <c r="N140" i="41"/>
  <c r="I141" i="41" s="1"/>
  <c r="N139" i="41"/>
  <c r="I139" i="41" s="1"/>
  <c r="N138" i="41"/>
  <c r="I137" i="41" s="1"/>
  <c r="I151" i="41" s="1"/>
  <c r="N137" i="41"/>
  <c r="A165" i="41"/>
  <c r="E146" i="41" s="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V124" i="41"/>
  <c r="N124" i="41"/>
  <c r="F124" i="41"/>
  <c r="V123" i="41"/>
  <c r="N123" i="41"/>
  <c r="F123" i="41"/>
  <c r="V122" i="41"/>
  <c r="N122" i="41"/>
  <c r="F122" i="41"/>
  <c r="V121" i="41"/>
  <c r="N121" i="41"/>
  <c r="F121" i="41"/>
  <c r="U120" i="41"/>
  <c r="T120" i="41"/>
  <c r="S120" i="41"/>
  <c r="M120" i="41"/>
  <c r="L120" i="41"/>
  <c r="K120" i="41"/>
  <c r="E120" i="41"/>
  <c r="D120" i="41"/>
  <c r="C120" i="41"/>
  <c r="R119" i="41"/>
  <c r="V118" i="41"/>
  <c r="N118" i="41"/>
  <c r="F118" i="41"/>
  <c r="V117" i="41"/>
  <c r="N117" i="41"/>
  <c r="F117" i="41"/>
  <c r="V116" i="41"/>
  <c r="N116" i="41"/>
  <c r="F116" i="41"/>
  <c r="V115" i="41"/>
  <c r="N115" i="41"/>
  <c r="F115" i="41"/>
  <c r="U114" i="41"/>
  <c r="T114" i="41"/>
  <c r="S114" i="41"/>
  <c r="M114" i="41"/>
  <c r="L114" i="41"/>
  <c r="K114" i="41"/>
  <c r="V112" i="41"/>
  <c r="N112" i="41"/>
  <c r="F112" i="41"/>
  <c r="V111" i="41"/>
  <c r="N111" i="41"/>
  <c r="F111" i="41"/>
  <c r="V110" i="41"/>
  <c r="N110" i="41"/>
  <c r="F110" i="41"/>
  <c r="V109" i="41"/>
  <c r="N109" i="41"/>
  <c r="F109" i="41"/>
  <c r="V108" i="41"/>
  <c r="N108" i="41"/>
  <c r="F108" i="41"/>
  <c r="V107" i="41"/>
  <c r="N107" i="41"/>
  <c r="F107" i="41"/>
  <c r="U106" i="41"/>
  <c r="T106" i="41"/>
  <c r="S106" i="41"/>
  <c r="M106" i="41"/>
  <c r="L106" i="41"/>
  <c r="K106" i="41"/>
  <c r="E106" i="41"/>
  <c r="D106" i="41"/>
  <c r="C106" i="41"/>
  <c r="V104" i="41"/>
  <c r="N104" i="41"/>
  <c r="F104" i="41"/>
  <c r="V103" i="41"/>
  <c r="N103" i="41"/>
  <c r="F103" i="41"/>
  <c r="V102" i="41"/>
  <c r="N102" i="41"/>
  <c r="F102" i="41"/>
  <c r="V101" i="41"/>
  <c r="N101" i="41"/>
  <c r="F101" i="41"/>
  <c r="V100" i="41"/>
  <c r="N100" i="41"/>
  <c r="F100" i="41"/>
  <c r="V99" i="41"/>
  <c r="N99" i="41"/>
  <c r="F99" i="41"/>
  <c r="R95" i="41"/>
  <c r="J95" i="41"/>
  <c r="B95" i="41"/>
  <c r="V93" i="41"/>
  <c r="N93" i="41"/>
  <c r="F93" i="41"/>
  <c r="V92" i="41"/>
  <c r="N92" i="41"/>
  <c r="F92" i="41"/>
  <c r="V91" i="41"/>
  <c r="N91" i="41"/>
  <c r="F91" i="41"/>
  <c r="X90" i="41"/>
  <c r="V90" i="41"/>
  <c r="P90" i="41"/>
  <c r="N90" i="41"/>
  <c r="H90" i="41"/>
  <c r="F90" i="41"/>
  <c r="U89" i="41"/>
  <c r="T89" i="41"/>
  <c r="S89" i="41"/>
  <c r="M89" i="41"/>
  <c r="L89" i="41"/>
  <c r="K89" i="41"/>
  <c r="E89" i="41"/>
  <c r="D89" i="41"/>
  <c r="C89" i="41"/>
  <c r="R88" i="41"/>
  <c r="V87" i="41"/>
  <c r="N87" i="41"/>
  <c r="F87" i="41"/>
  <c r="V86" i="41"/>
  <c r="N86" i="41"/>
  <c r="F86" i="41"/>
  <c r="V85" i="41"/>
  <c r="N85" i="41"/>
  <c r="F85" i="41"/>
  <c r="V84" i="41"/>
  <c r="P84" i="41"/>
  <c r="N84" i="41"/>
  <c r="H84" i="41"/>
  <c r="F84" i="41"/>
  <c r="U83" i="41"/>
  <c r="T83" i="41"/>
  <c r="S83" i="41"/>
  <c r="M83" i="41"/>
  <c r="L83" i="41"/>
  <c r="K83" i="41"/>
  <c r="R82" i="41"/>
  <c r="V81" i="41"/>
  <c r="N81" i="41"/>
  <c r="F81" i="41"/>
  <c r="V80" i="41"/>
  <c r="N80" i="41"/>
  <c r="F80" i="41"/>
  <c r="V79" i="41"/>
  <c r="N79" i="41"/>
  <c r="F79" i="41"/>
  <c r="V78" i="41"/>
  <c r="N78" i="41"/>
  <c r="F78" i="41"/>
  <c r="V77" i="41"/>
  <c r="N77" i="41"/>
  <c r="F77" i="41"/>
  <c r="X76" i="41"/>
  <c r="V76" i="41"/>
  <c r="P76" i="41"/>
  <c r="N76" i="41"/>
  <c r="H76" i="41"/>
  <c r="F76" i="41"/>
  <c r="U75" i="41"/>
  <c r="T75" i="41"/>
  <c r="S75" i="41"/>
  <c r="M75" i="41"/>
  <c r="L75" i="41"/>
  <c r="K75" i="41"/>
  <c r="E75" i="41"/>
  <c r="E83" i="41" s="1"/>
  <c r="D75" i="41"/>
  <c r="C75" i="41"/>
  <c r="C83" i="41" s="1"/>
  <c r="V73" i="41"/>
  <c r="N73" i="41"/>
  <c r="F73" i="41"/>
  <c r="V72" i="41"/>
  <c r="N72" i="41"/>
  <c r="F72" i="41"/>
  <c r="V71" i="41"/>
  <c r="N71" i="41"/>
  <c r="F71" i="41"/>
  <c r="V70" i="41"/>
  <c r="N70" i="41"/>
  <c r="F70" i="41"/>
  <c r="V69" i="41"/>
  <c r="N69" i="41"/>
  <c r="F69" i="41"/>
  <c r="X68" i="41"/>
  <c r="V68" i="41"/>
  <c r="P68" i="41"/>
  <c r="N68" i="41"/>
  <c r="H68" i="41"/>
  <c r="F68" i="41"/>
  <c r="R64" i="41"/>
  <c r="J64" i="41"/>
  <c r="B64" i="41"/>
  <c r="V62" i="41"/>
  <c r="N62" i="41"/>
  <c r="F62" i="41"/>
  <c r="V61" i="41"/>
  <c r="N61" i="41"/>
  <c r="F61" i="41"/>
  <c r="V60" i="41"/>
  <c r="N60" i="41"/>
  <c r="F60" i="41"/>
  <c r="X59" i="41"/>
  <c r="V59" i="41"/>
  <c r="P59" i="41"/>
  <c r="N59" i="41"/>
  <c r="H59" i="41"/>
  <c r="F59" i="41"/>
  <c r="U58" i="41"/>
  <c r="T58" i="41"/>
  <c r="S58" i="41"/>
  <c r="M58" i="41"/>
  <c r="L58" i="41"/>
  <c r="K58" i="41"/>
  <c r="E58" i="41"/>
  <c r="B57" i="41"/>
  <c r="J57" i="41" s="1"/>
  <c r="R57" i="41" s="1"/>
  <c r="V56" i="41"/>
  <c r="N56" i="41"/>
  <c r="F56" i="41"/>
  <c r="V55" i="41"/>
  <c r="N55" i="41"/>
  <c r="F55" i="41"/>
  <c r="V54" i="41"/>
  <c r="N54" i="41"/>
  <c r="F54" i="41"/>
  <c r="X53" i="41"/>
  <c r="V53" i="41"/>
  <c r="P53" i="41"/>
  <c r="N53" i="41"/>
  <c r="H53" i="41"/>
  <c r="F53" i="41"/>
  <c r="U52" i="41"/>
  <c r="T52" i="41"/>
  <c r="S52" i="41"/>
  <c r="M52" i="41"/>
  <c r="L52" i="41"/>
  <c r="K52" i="41"/>
  <c r="E52" i="41"/>
  <c r="B51" i="41"/>
  <c r="J51" i="41" s="1"/>
  <c r="R51" i="41" s="1"/>
  <c r="V50" i="41"/>
  <c r="N50" i="41"/>
  <c r="F50" i="41"/>
  <c r="V49" i="41"/>
  <c r="N49" i="41"/>
  <c r="F49" i="41"/>
  <c r="V48" i="41"/>
  <c r="N48" i="41"/>
  <c r="F48" i="41"/>
  <c r="V47" i="41"/>
  <c r="N47" i="41"/>
  <c r="F47" i="41"/>
  <c r="V46" i="41"/>
  <c r="N46" i="41"/>
  <c r="F46" i="41"/>
  <c r="X45" i="41"/>
  <c r="V45" i="41"/>
  <c r="P45" i="41"/>
  <c r="N45" i="41"/>
  <c r="H45" i="41"/>
  <c r="F45" i="41"/>
  <c r="U44" i="41"/>
  <c r="T44" i="41"/>
  <c r="S44" i="41"/>
  <c r="M44" i="41"/>
  <c r="L44" i="41"/>
  <c r="K44" i="41"/>
  <c r="E44" i="41"/>
  <c r="V42" i="41"/>
  <c r="N42" i="41"/>
  <c r="F42" i="41"/>
  <c r="V41" i="41"/>
  <c r="N41" i="41"/>
  <c r="F41" i="41"/>
  <c r="V40" i="41"/>
  <c r="N40" i="41"/>
  <c r="F40" i="41"/>
  <c r="V39" i="41"/>
  <c r="N39" i="41"/>
  <c r="F39" i="41"/>
  <c r="V38" i="41"/>
  <c r="N38" i="41"/>
  <c r="F38" i="41"/>
  <c r="X37" i="41"/>
  <c r="V37" i="41"/>
  <c r="P37" i="41"/>
  <c r="N37" i="41"/>
  <c r="H37" i="41"/>
  <c r="F37" i="41"/>
  <c r="R33" i="41"/>
  <c r="J33" i="41"/>
  <c r="B33" i="41"/>
  <c r="V31" i="41"/>
  <c r="N31" i="41"/>
  <c r="F31" i="41"/>
  <c r="V30" i="41"/>
  <c r="N30" i="41"/>
  <c r="F30" i="41"/>
  <c r="V29" i="41"/>
  <c r="N29" i="41"/>
  <c r="F29" i="41"/>
  <c r="X28" i="41"/>
  <c r="V28" i="41"/>
  <c r="P28" i="41"/>
  <c r="N28" i="41"/>
  <c r="H28" i="41"/>
  <c r="F28" i="41"/>
  <c r="U27" i="41"/>
  <c r="T27" i="41"/>
  <c r="S27" i="41"/>
  <c r="M27" i="41"/>
  <c r="L27" i="41"/>
  <c r="K27" i="41"/>
  <c r="E27" i="41"/>
  <c r="D27" i="41"/>
  <c r="C27" i="41"/>
  <c r="R26" i="41"/>
  <c r="J26" i="41"/>
  <c r="V25" i="41"/>
  <c r="N25" i="41"/>
  <c r="F25" i="41"/>
  <c r="V24" i="41"/>
  <c r="N24" i="41"/>
  <c r="F24" i="41"/>
  <c r="V23" i="41"/>
  <c r="N23" i="41"/>
  <c r="F23" i="41"/>
  <c r="X22" i="41"/>
  <c r="V22" i="41"/>
  <c r="P22" i="41"/>
  <c r="N22" i="41"/>
  <c r="F22" i="41"/>
  <c r="U21" i="41"/>
  <c r="T21" i="41"/>
  <c r="S21" i="41"/>
  <c r="M21" i="41"/>
  <c r="L21" i="41"/>
  <c r="K21" i="41"/>
  <c r="R20" i="41"/>
  <c r="J20" i="41"/>
  <c r="V19" i="41"/>
  <c r="N19" i="41"/>
  <c r="F19" i="41"/>
  <c r="V18" i="41"/>
  <c r="N18" i="41"/>
  <c r="F18" i="41"/>
  <c r="V17" i="41"/>
  <c r="N17" i="41"/>
  <c r="F17" i="41"/>
  <c r="V16" i="41"/>
  <c r="N16" i="41"/>
  <c r="F16" i="41"/>
  <c r="V15" i="41"/>
  <c r="N15" i="41"/>
  <c r="F15" i="41"/>
  <c r="X14" i="41"/>
  <c r="V14" i="41"/>
  <c r="P14" i="41"/>
  <c r="N14" i="41"/>
  <c r="H14" i="41"/>
  <c r="F14" i="41"/>
  <c r="U13" i="41"/>
  <c r="T13" i="41"/>
  <c r="S13" i="41"/>
  <c r="M13" i="41"/>
  <c r="L13" i="41"/>
  <c r="K13" i="41"/>
  <c r="E13" i="41"/>
  <c r="D13" i="41"/>
  <c r="C13" i="41"/>
  <c r="V11" i="41"/>
  <c r="N11" i="41"/>
  <c r="F11" i="41"/>
  <c r="V10" i="41"/>
  <c r="N10" i="41"/>
  <c r="F10" i="41"/>
  <c r="V9" i="41"/>
  <c r="N9" i="41"/>
  <c r="F9" i="41"/>
  <c r="V8" i="41"/>
  <c r="N8" i="41"/>
  <c r="F8" i="41"/>
  <c r="V7" i="41"/>
  <c r="N7" i="41"/>
  <c r="F7" i="41"/>
  <c r="X6" i="41"/>
  <c r="V6" i="41"/>
  <c r="P6" i="41"/>
  <c r="N6" i="41"/>
  <c r="H6" i="41"/>
  <c r="F6" i="41"/>
  <c r="R2" i="41"/>
  <c r="J2" i="41"/>
  <c r="B2" i="41"/>
  <c r="C151" i="41" l="1"/>
  <c r="F158" i="41"/>
  <c r="B136" i="41"/>
  <c r="G142" i="41"/>
  <c r="C137" i="41"/>
  <c r="A178" i="41"/>
  <c r="N165" i="41" s="1"/>
  <c r="E153" i="41"/>
  <c r="F134" i="41"/>
  <c r="F137" i="41"/>
  <c r="F141" i="41"/>
  <c r="F144" i="41"/>
  <c r="B135" i="41"/>
  <c r="E143" i="41"/>
  <c r="F138" i="41"/>
  <c r="F154" i="41"/>
  <c r="C135" i="41"/>
  <c r="B138" i="41"/>
  <c r="D140" i="41"/>
  <c r="G154" i="41"/>
  <c r="E135" i="41"/>
  <c r="D138" i="41"/>
  <c r="B141" i="41"/>
  <c r="C144" i="41"/>
  <c r="E148" i="41"/>
  <c r="B150" i="41"/>
  <c r="C141" i="41"/>
  <c r="D149" i="41"/>
  <c r="E151" i="41"/>
  <c r="C136" i="41"/>
  <c r="B139" i="41"/>
  <c r="D141" i="41"/>
  <c r="E144" i="41"/>
  <c r="F148" i="41"/>
  <c r="F159" i="41"/>
  <c r="D136" i="41"/>
  <c r="C139" i="41"/>
  <c r="E141" i="41"/>
  <c r="B145" i="41"/>
  <c r="F153" i="41"/>
  <c r="E154" i="41"/>
  <c r="E138" i="41"/>
  <c r="D144" i="41"/>
  <c r="F140" i="41"/>
  <c r="G148" i="41"/>
  <c r="A132" i="41"/>
  <c r="E136" i="41"/>
  <c r="D139" i="41"/>
  <c r="C145" i="41"/>
  <c r="G153" i="41"/>
  <c r="B133" i="41"/>
  <c r="F136" i="41"/>
  <c r="E139" i="41"/>
  <c r="B142" i="41"/>
  <c r="F145" i="41"/>
  <c r="C158" i="41"/>
  <c r="F160" i="41"/>
  <c r="B134" i="41"/>
  <c r="B137" i="41"/>
  <c r="F139" i="41"/>
  <c r="F142" i="41"/>
  <c r="B146" i="41"/>
  <c r="C159" i="41"/>
  <c r="B132" i="41"/>
  <c r="F149" i="41"/>
  <c r="G134" i="41"/>
  <c r="D137" i="41"/>
  <c r="B140" i="41"/>
  <c r="B143" i="41"/>
  <c r="F146" i="41"/>
  <c r="F161" i="41"/>
  <c r="E137" i="41"/>
  <c r="D147" i="41"/>
  <c r="E147" i="41"/>
  <c r="F152" i="41"/>
  <c r="C140" i="41"/>
  <c r="C143" i="41"/>
  <c r="C157" i="41"/>
  <c r="F147" i="41"/>
  <c r="D157" i="41"/>
  <c r="D135" i="41"/>
  <c r="C138" i="41"/>
  <c r="E140" i="41"/>
  <c r="B144" i="41"/>
  <c r="D148" i="41"/>
  <c r="D145" i="41"/>
  <c r="C146" i="41"/>
  <c r="B147" i="41"/>
  <c r="B148" i="41"/>
  <c r="B149" i="41"/>
  <c r="B152" i="41"/>
  <c r="E155" i="41"/>
  <c r="C160" i="41"/>
  <c r="E145" i="41"/>
  <c r="D146" i="41"/>
  <c r="C147" i="41"/>
  <c r="C148" i="41"/>
  <c r="C149" i="41"/>
  <c r="B153" i="41"/>
  <c r="G156" i="41"/>
  <c r="C161" i="41"/>
  <c r="I135" i="41"/>
  <c r="F150" i="41"/>
  <c r="C152" i="41"/>
  <c r="C153" i="41"/>
  <c r="B154" i="41"/>
  <c r="B155" i="41"/>
  <c r="F155" i="41"/>
  <c r="B157" i="41"/>
  <c r="D158" i="41"/>
  <c r="D159" i="41"/>
  <c r="D160" i="41"/>
  <c r="D161" i="41"/>
  <c r="G150" i="41"/>
  <c r="D152" i="41"/>
  <c r="D153" i="41"/>
  <c r="C154" i="41"/>
  <c r="C155" i="41"/>
  <c r="B156" i="41"/>
  <c r="E157" i="41"/>
  <c r="E158" i="41"/>
  <c r="E159" i="41"/>
  <c r="E160" i="41"/>
  <c r="E161" i="41"/>
  <c r="E149" i="41"/>
  <c r="B151" i="41"/>
  <c r="E152" i="41"/>
  <c r="D154" i="41"/>
  <c r="D155" i="41"/>
  <c r="F156" i="41"/>
  <c r="B158" i="41"/>
  <c r="B159" i="41"/>
  <c r="B160" i="41"/>
  <c r="B161" i="41"/>
  <c r="D143" i="41"/>
  <c r="D83" i="41"/>
  <c r="D151" i="41" s="1"/>
  <c r="G155" i="41"/>
  <c r="G149" i="41"/>
  <c r="G161" i="41"/>
  <c r="G140" i="41"/>
  <c r="G141" i="41"/>
  <c r="G158" i="41"/>
  <c r="G160" i="41"/>
  <c r="G159" i="41"/>
  <c r="J152" i="41" l="1"/>
  <c r="G145" i="41"/>
  <c r="G144" i="41"/>
  <c r="G136" i="41"/>
  <c r="L150" i="41"/>
  <c r="L152" i="41"/>
  <c r="G147" i="41"/>
  <c r="G152" i="41"/>
  <c r="J150" i="41"/>
  <c r="G137" i="41"/>
  <c r="G146" i="41"/>
  <c r="K135" i="41"/>
  <c r="O137" i="41" s="1"/>
  <c r="P137" i="41" s="1"/>
  <c r="N143" i="41" s="1"/>
  <c r="K145" i="41"/>
  <c r="O142" i="41" s="1"/>
  <c r="P142" i="41" s="1"/>
  <c r="V22" i="4" s="1"/>
  <c r="G139" i="41"/>
  <c r="G138" i="41"/>
  <c r="K139" i="41"/>
  <c r="O139" i="41" s="1"/>
  <c r="P139" i="41" s="1"/>
  <c r="I26" i="4" s="1"/>
  <c r="K143" i="41"/>
  <c r="O141" i="41" s="1"/>
  <c r="P141" i="41" s="1"/>
  <c r="I28" i="4" s="1"/>
  <c r="K141" i="41"/>
  <c r="O140" i="41" s="1"/>
  <c r="P140" i="41" s="1"/>
  <c r="K151" i="41" l="1"/>
  <c r="K137" i="41" s="1"/>
  <c r="O138" i="41" s="1"/>
  <c r="P138" i="41" s="1"/>
  <c r="I25" i="4" s="1"/>
  <c r="D16" i="29"/>
  <c r="G16" i="29" s="1"/>
  <c r="O143" i="41"/>
  <c r="O147" i="41"/>
  <c r="I27" i="4"/>
  <c r="E16" i="29" l="1"/>
  <c r="F16" i="29"/>
  <c r="N144" i="41"/>
  <c r="D16" i="4" s="1"/>
  <c r="B82" i="4" s="1"/>
  <c r="B86" i="29" s="1"/>
  <c r="B43" i="40"/>
  <c r="N147" i="41" l="1"/>
  <c r="P147" i="41" s="1"/>
  <c r="D23" i="40"/>
  <c r="B45" i="40"/>
  <c r="B46" i="40" s="1"/>
  <c r="D21" i="40"/>
  <c r="D20" i="40"/>
  <c r="D19" i="40"/>
  <c r="D18" i="40"/>
  <c r="D17" i="40"/>
  <c r="A17" i="40"/>
  <c r="D10" i="40"/>
  <c r="F18" i="42" s="1"/>
  <c r="D9" i="40"/>
  <c r="E18" i="42" s="1"/>
  <c r="D8" i="40"/>
  <c r="C18" i="42" s="1"/>
  <c r="F6" i="40"/>
  <c r="D12" i="42" s="1"/>
  <c r="E26" i="40"/>
  <c r="G18" i="42" l="1"/>
  <c r="A2" i="40"/>
  <c r="D20" i="4"/>
  <c r="D19" i="4"/>
  <c r="D5" i="4"/>
  <c r="D6" i="4"/>
  <c r="D7" i="4"/>
  <c r="D9" i="4"/>
  <c r="D10" i="4"/>
  <c r="D11" i="4"/>
  <c r="D4" i="4"/>
  <c r="A19" i="40" l="1"/>
  <c r="A22" i="40" l="1"/>
  <c r="A21" i="40"/>
  <c r="A20" i="40"/>
  <c r="G15" i="29"/>
  <c r="E15" i="29"/>
  <c r="G14" i="29"/>
  <c r="E14" i="29"/>
  <c r="U22" i="4" l="1"/>
  <c r="O21" i="4" l="1"/>
  <c r="N19" i="4"/>
  <c r="B61" i="35" l="1"/>
  <c r="A392" i="38" l="1"/>
  <c r="Q378" i="38"/>
  <c r="Q377" i="38"/>
  <c r="G246" i="34"/>
  <c r="J412" i="38" l="1"/>
  <c r="I412" i="38"/>
  <c r="J411" i="38"/>
  <c r="J410" i="38"/>
  <c r="I410" i="38"/>
  <c r="J409" i="38"/>
  <c r="I409" i="38"/>
  <c r="J408" i="38"/>
  <c r="I408" i="38"/>
  <c r="J407" i="38"/>
  <c r="I407" i="38"/>
  <c r="J406" i="38"/>
  <c r="I406" i="38"/>
  <c r="J405" i="38"/>
  <c r="I405" i="38"/>
  <c r="J404" i="38"/>
  <c r="I404" i="38"/>
  <c r="J403" i="38"/>
  <c r="I403" i="38"/>
  <c r="J402" i="38"/>
  <c r="I402" i="38"/>
  <c r="J401" i="38"/>
  <c r="I401" i="38"/>
  <c r="J400" i="38"/>
  <c r="I400" i="38"/>
  <c r="J399" i="38"/>
  <c r="I399" i="38"/>
  <c r="J398" i="38"/>
  <c r="I398" i="38"/>
  <c r="J397" i="38"/>
  <c r="I397" i="38"/>
  <c r="J396" i="38"/>
  <c r="I396" i="38"/>
  <c r="J395" i="38"/>
  <c r="I395" i="38"/>
  <c r="J394" i="38"/>
  <c r="I394" i="38"/>
  <c r="J393" i="38"/>
  <c r="I393" i="38"/>
  <c r="A413" i="38"/>
  <c r="A373" i="38" s="1"/>
  <c r="B373" i="38"/>
  <c r="S371" i="38"/>
  <c r="R371" i="38"/>
  <c r="Q371" i="38"/>
  <c r="L371" i="38"/>
  <c r="K371" i="38"/>
  <c r="J371" i="38"/>
  <c r="E371" i="38"/>
  <c r="D371" i="38"/>
  <c r="C371" i="38"/>
  <c r="S370" i="38"/>
  <c r="R370" i="38"/>
  <c r="Q370" i="38"/>
  <c r="L370" i="38"/>
  <c r="K370" i="38"/>
  <c r="J370" i="38"/>
  <c r="E370" i="38"/>
  <c r="D370" i="38"/>
  <c r="C370" i="38"/>
  <c r="S369" i="38"/>
  <c r="R369" i="38"/>
  <c r="Q369" i="38"/>
  <c r="L369" i="38"/>
  <c r="K369" i="38"/>
  <c r="J369" i="38"/>
  <c r="E369" i="38"/>
  <c r="D369" i="38"/>
  <c r="C369" i="38"/>
  <c r="S368" i="38"/>
  <c r="R368" i="38"/>
  <c r="Q368" i="38"/>
  <c r="L368" i="38"/>
  <c r="K368" i="38"/>
  <c r="J368" i="38"/>
  <c r="E368" i="38"/>
  <c r="D368" i="38"/>
  <c r="C368" i="38"/>
  <c r="S367" i="38"/>
  <c r="R367" i="38"/>
  <c r="Q367" i="38"/>
  <c r="L367" i="38"/>
  <c r="K367" i="38"/>
  <c r="J367" i="38"/>
  <c r="E367" i="38"/>
  <c r="D367" i="38"/>
  <c r="C367" i="38"/>
  <c r="S366" i="38"/>
  <c r="R366" i="38"/>
  <c r="Q366" i="38"/>
  <c r="L366" i="38"/>
  <c r="K366" i="38"/>
  <c r="J366" i="38"/>
  <c r="E366" i="38"/>
  <c r="D366" i="38"/>
  <c r="C366" i="38"/>
  <c r="S365" i="38"/>
  <c r="R365" i="38"/>
  <c r="Q365" i="38"/>
  <c r="L365" i="38"/>
  <c r="K365" i="38"/>
  <c r="J365" i="38"/>
  <c r="E365" i="38"/>
  <c r="D365" i="38"/>
  <c r="C365" i="38"/>
  <c r="S364" i="38"/>
  <c r="R364" i="38"/>
  <c r="Q364" i="38"/>
  <c r="L364" i="38"/>
  <c r="K364" i="38"/>
  <c r="J364" i="38"/>
  <c r="E364" i="38"/>
  <c r="D364" i="38"/>
  <c r="C364" i="38"/>
  <c r="S363" i="38"/>
  <c r="R363" i="38"/>
  <c r="Q363" i="38"/>
  <c r="L363" i="38"/>
  <c r="K363" i="38"/>
  <c r="J363" i="38"/>
  <c r="E363" i="38"/>
  <c r="D363" i="38"/>
  <c r="C363" i="38"/>
  <c r="S362" i="38"/>
  <c r="R362" i="38"/>
  <c r="Q362" i="38"/>
  <c r="L362" i="38"/>
  <c r="K362" i="38"/>
  <c r="J362" i="38"/>
  <c r="E362" i="38"/>
  <c r="D362" i="38"/>
  <c r="C362" i="38"/>
  <c r="S361" i="38"/>
  <c r="R361" i="38"/>
  <c r="Q361" i="38"/>
  <c r="L361" i="38"/>
  <c r="K361" i="38"/>
  <c r="J361" i="38"/>
  <c r="E361" i="38"/>
  <c r="D361" i="38"/>
  <c r="C361" i="38"/>
  <c r="S360" i="38"/>
  <c r="R360" i="38"/>
  <c r="Q360" i="38"/>
  <c r="L360" i="38"/>
  <c r="K360" i="38"/>
  <c r="J360" i="38"/>
  <c r="E360" i="38"/>
  <c r="D360" i="38"/>
  <c r="C360" i="38"/>
  <c r="S359" i="38"/>
  <c r="R359" i="38"/>
  <c r="Q359" i="38"/>
  <c r="L359" i="38"/>
  <c r="K359" i="38"/>
  <c r="J359" i="38"/>
  <c r="E359" i="38"/>
  <c r="D359" i="38"/>
  <c r="C359" i="38"/>
  <c r="S358" i="38"/>
  <c r="R358" i="38"/>
  <c r="Q358" i="38"/>
  <c r="L358" i="38"/>
  <c r="K358" i="38"/>
  <c r="J358" i="38"/>
  <c r="E358" i="38"/>
  <c r="D358" i="38"/>
  <c r="C358" i="38"/>
  <c r="S357" i="38"/>
  <c r="R357" i="38"/>
  <c r="Q357" i="38"/>
  <c r="L357" i="38"/>
  <c r="K357" i="38"/>
  <c r="J357" i="38"/>
  <c r="E357" i="38"/>
  <c r="D357" i="38"/>
  <c r="C357" i="38"/>
  <c r="S356" i="38"/>
  <c r="R356" i="38"/>
  <c r="Q356" i="38"/>
  <c r="L356" i="38"/>
  <c r="K356" i="38"/>
  <c r="J356" i="38"/>
  <c r="E356" i="38"/>
  <c r="D356" i="38"/>
  <c r="C356" i="38"/>
  <c r="S355" i="38"/>
  <c r="R355" i="38"/>
  <c r="Q355" i="38"/>
  <c r="L355" i="38"/>
  <c r="K355" i="38"/>
  <c r="J355" i="38"/>
  <c r="E355" i="38"/>
  <c r="D355" i="38"/>
  <c r="C355" i="38"/>
  <c r="S354" i="38"/>
  <c r="R354" i="38"/>
  <c r="Q354" i="38"/>
  <c r="L354" i="38"/>
  <c r="K354" i="38"/>
  <c r="J354" i="38"/>
  <c r="E354" i="38"/>
  <c r="D354" i="38"/>
  <c r="C354" i="38"/>
  <c r="S353" i="38"/>
  <c r="R353" i="38"/>
  <c r="Q353" i="38"/>
  <c r="L353" i="38"/>
  <c r="K353" i="38"/>
  <c r="J353" i="38"/>
  <c r="E353" i="38"/>
  <c r="D353" i="38"/>
  <c r="C353" i="38"/>
  <c r="S352" i="38"/>
  <c r="R352" i="38"/>
  <c r="Q352" i="38"/>
  <c r="L352" i="38"/>
  <c r="K352" i="38"/>
  <c r="J352" i="38"/>
  <c r="E352" i="38"/>
  <c r="D352" i="38"/>
  <c r="C352" i="38"/>
  <c r="S350" i="38"/>
  <c r="R350" i="38"/>
  <c r="Q350" i="38"/>
  <c r="L350" i="38"/>
  <c r="K350" i="38"/>
  <c r="J350" i="38"/>
  <c r="E350" i="38"/>
  <c r="D350" i="38"/>
  <c r="C350" i="38"/>
  <c r="S349" i="38"/>
  <c r="R349" i="38"/>
  <c r="Q349" i="38"/>
  <c r="L349" i="38"/>
  <c r="K349" i="38"/>
  <c r="J349" i="38"/>
  <c r="E349" i="38"/>
  <c r="D349" i="38"/>
  <c r="C349" i="38"/>
  <c r="S348" i="38"/>
  <c r="R348" i="38"/>
  <c r="Q348" i="38"/>
  <c r="L348" i="38"/>
  <c r="K348" i="38"/>
  <c r="J348" i="38"/>
  <c r="E348" i="38"/>
  <c r="D348" i="38"/>
  <c r="C348" i="38"/>
  <c r="S347" i="38"/>
  <c r="R347" i="38"/>
  <c r="Q347" i="38"/>
  <c r="L347" i="38"/>
  <c r="K347" i="38"/>
  <c r="J347" i="38"/>
  <c r="E347" i="38"/>
  <c r="D347" i="38"/>
  <c r="C347" i="38"/>
  <c r="S346" i="38"/>
  <c r="R346" i="38"/>
  <c r="Q346" i="38"/>
  <c r="L346" i="38"/>
  <c r="K346" i="38"/>
  <c r="J346" i="38"/>
  <c r="E346" i="38"/>
  <c r="D346" i="38"/>
  <c r="C346" i="38"/>
  <c r="S345" i="38"/>
  <c r="R345" i="38"/>
  <c r="Q345" i="38"/>
  <c r="L345" i="38"/>
  <c r="K345" i="38"/>
  <c r="J345" i="38"/>
  <c r="E345" i="38"/>
  <c r="D345" i="38"/>
  <c r="C345" i="38"/>
  <c r="S344" i="38"/>
  <c r="R344" i="38"/>
  <c r="Q344" i="38"/>
  <c r="L344" i="38"/>
  <c r="K344" i="38"/>
  <c r="J344" i="38"/>
  <c r="E344" i="38"/>
  <c r="D344" i="38"/>
  <c r="C344" i="38"/>
  <c r="S343" i="38"/>
  <c r="R343" i="38"/>
  <c r="Q343" i="38"/>
  <c r="L343" i="38"/>
  <c r="K343" i="38"/>
  <c r="J343" i="38"/>
  <c r="E343" i="38"/>
  <c r="D343" i="38"/>
  <c r="C343" i="38"/>
  <c r="S342" i="38"/>
  <c r="R342" i="38"/>
  <c r="Q342" i="38"/>
  <c r="L342" i="38"/>
  <c r="K342" i="38"/>
  <c r="J342" i="38"/>
  <c r="E342" i="38"/>
  <c r="D342" i="38"/>
  <c r="C342" i="38"/>
  <c r="S341" i="38"/>
  <c r="R341" i="38"/>
  <c r="Q341" i="38"/>
  <c r="L341" i="38"/>
  <c r="K341" i="38"/>
  <c r="J341" i="38"/>
  <c r="E341" i="38"/>
  <c r="D341" i="38"/>
  <c r="C341" i="38"/>
  <c r="S340" i="38"/>
  <c r="R340" i="38"/>
  <c r="Q340" i="38"/>
  <c r="L340" i="38"/>
  <c r="K340" i="38"/>
  <c r="J340" i="38"/>
  <c r="E340" i="38"/>
  <c r="D340" i="38"/>
  <c r="C340" i="38"/>
  <c r="S339" i="38"/>
  <c r="R339" i="38"/>
  <c r="Q339" i="38"/>
  <c r="L339" i="38"/>
  <c r="K339" i="38"/>
  <c r="J339" i="38"/>
  <c r="E339" i="38"/>
  <c r="D339" i="38"/>
  <c r="C339" i="38"/>
  <c r="S338" i="38"/>
  <c r="R338" i="38"/>
  <c r="Q338" i="38"/>
  <c r="L338" i="38"/>
  <c r="K338" i="38"/>
  <c r="J338" i="38"/>
  <c r="E338" i="38"/>
  <c r="D338" i="38"/>
  <c r="C338" i="38"/>
  <c r="S337" i="38"/>
  <c r="R337" i="38"/>
  <c r="Q337" i="38"/>
  <c r="L337" i="38"/>
  <c r="K337" i="38"/>
  <c r="J337" i="38"/>
  <c r="E337" i="38"/>
  <c r="D337" i="38"/>
  <c r="C337" i="38"/>
  <c r="S336" i="38"/>
  <c r="R336" i="38"/>
  <c r="Q336" i="38"/>
  <c r="L336" i="38"/>
  <c r="K336" i="38"/>
  <c r="J336" i="38"/>
  <c r="E336" i="38"/>
  <c r="D336" i="38"/>
  <c r="C336" i="38"/>
  <c r="S335" i="38"/>
  <c r="R335" i="38"/>
  <c r="Q335" i="38"/>
  <c r="L335" i="38"/>
  <c r="K335" i="38"/>
  <c r="J335" i="38"/>
  <c r="E335" i="38"/>
  <c r="D335" i="38"/>
  <c r="C335" i="38"/>
  <c r="S334" i="38"/>
  <c r="R334" i="38"/>
  <c r="Q334" i="38"/>
  <c r="L334" i="38"/>
  <c r="K334" i="38"/>
  <c r="J334" i="38"/>
  <c r="E334" i="38"/>
  <c r="D334" i="38"/>
  <c r="C334" i="38"/>
  <c r="S333" i="38"/>
  <c r="R333" i="38"/>
  <c r="Q333" i="38"/>
  <c r="L333" i="38"/>
  <c r="K333" i="38"/>
  <c r="J333" i="38"/>
  <c r="E333" i="38"/>
  <c r="D333" i="38"/>
  <c r="C333" i="38"/>
  <c r="S332" i="38"/>
  <c r="R332" i="38"/>
  <c r="Q332" i="38"/>
  <c r="L332" i="38"/>
  <c r="K332" i="38"/>
  <c r="J332" i="38"/>
  <c r="E332" i="38"/>
  <c r="D332" i="38"/>
  <c r="C332" i="38"/>
  <c r="S331" i="38"/>
  <c r="R331" i="38"/>
  <c r="Q331" i="38"/>
  <c r="L331" i="38"/>
  <c r="K331" i="38"/>
  <c r="J331" i="38"/>
  <c r="E331" i="38"/>
  <c r="D331" i="38"/>
  <c r="C331" i="38"/>
  <c r="S329" i="38"/>
  <c r="R329" i="38"/>
  <c r="Q329" i="38"/>
  <c r="L329" i="38"/>
  <c r="K329" i="38"/>
  <c r="J329" i="38"/>
  <c r="E329" i="38"/>
  <c r="D329" i="38"/>
  <c r="C329" i="38"/>
  <c r="S328" i="38"/>
  <c r="R328" i="38"/>
  <c r="Q328" i="38"/>
  <c r="L328" i="38"/>
  <c r="K328" i="38"/>
  <c r="J328" i="38"/>
  <c r="E328" i="38"/>
  <c r="D328" i="38"/>
  <c r="C328" i="38"/>
  <c r="S327" i="38"/>
  <c r="R327" i="38"/>
  <c r="Q327" i="38"/>
  <c r="L327" i="38"/>
  <c r="K327" i="38"/>
  <c r="J327" i="38"/>
  <c r="E327" i="38"/>
  <c r="D327" i="38"/>
  <c r="C327" i="38"/>
  <c r="S326" i="38"/>
  <c r="R326" i="38"/>
  <c r="Q326" i="38"/>
  <c r="L326" i="38"/>
  <c r="K326" i="38"/>
  <c r="J326" i="38"/>
  <c r="E326" i="38"/>
  <c r="D326" i="38"/>
  <c r="C326" i="38"/>
  <c r="S325" i="38"/>
  <c r="R325" i="38"/>
  <c r="Q325" i="38"/>
  <c r="L325" i="38"/>
  <c r="K325" i="38"/>
  <c r="J325" i="38"/>
  <c r="E325" i="38"/>
  <c r="D325" i="38"/>
  <c r="C325" i="38"/>
  <c r="S324" i="38"/>
  <c r="R324" i="38"/>
  <c r="Q324" i="38"/>
  <c r="L324" i="38"/>
  <c r="K324" i="38"/>
  <c r="J324" i="38"/>
  <c r="E324" i="38"/>
  <c r="D324" i="38"/>
  <c r="C324" i="38"/>
  <c r="S323" i="38"/>
  <c r="R323" i="38"/>
  <c r="Q323" i="38"/>
  <c r="L323" i="38"/>
  <c r="K323" i="38"/>
  <c r="J323" i="38"/>
  <c r="E323" i="38"/>
  <c r="D323" i="38"/>
  <c r="C323" i="38"/>
  <c r="S322" i="38"/>
  <c r="R322" i="38"/>
  <c r="Q322" i="38"/>
  <c r="L322" i="38"/>
  <c r="K322" i="38"/>
  <c r="J322" i="38"/>
  <c r="E322" i="38"/>
  <c r="D322" i="38"/>
  <c r="C322" i="38"/>
  <c r="S321" i="38"/>
  <c r="R321" i="38"/>
  <c r="Q321" i="38"/>
  <c r="L321" i="38"/>
  <c r="K321" i="38"/>
  <c r="J321" i="38"/>
  <c r="E321" i="38"/>
  <c r="D321" i="38"/>
  <c r="C321" i="38"/>
  <c r="S320" i="38"/>
  <c r="R320" i="38"/>
  <c r="Q320" i="38"/>
  <c r="L320" i="38"/>
  <c r="K320" i="38"/>
  <c r="J320" i="38"/>
  <c r="E320" i="38"/>
  <c r="D320" i="38"/>
  <c r="C320" i="38"/>
  <c r="S319" i="38"/>
  <c r="R319" i="38"/>
  <c r="Q319" i="38"/>
  <c r="L319" i="38"/>
  <c r="K319" i="38"/>
  <c r="J319" i="38"/>
  <c r="E319" i="38"/>
  <c r="D319" i="38"/>
  <c r="C319" i="38"/>
  <c r="S318" i="38"/>
  <c r="R318" i="38"/>
  <c r="Q318" i="38"/>
  <c r="L318" i="38"/>
  <c r="K318" i="38"/>
  <c r="J318" i="38"/>
  <c r="E318" i="38"/>
  <c r="D318" i="38"/>
  <c r="C318" i="38"/>
  <c r="S317" i="38"/>
  <c r="R317" i="38"/>
  <c r="Q317" i="38"/>
  <c r="L317" i="38"/>
  <c r="K317" i="38"/>
  <c r="J317" i="38"/>
  <c r="E317" i="38"/>
  <c r="D317" i="38"/>
  <c r="C317" i="38"/>
  <c r="S316" i="38"/>
  <c r="R316" i="38"/>
  <c r="Q316" i="38"/>
  <c r="L316" i="38"/>
  <c r="K316" i="38"/>
  <c r="J316" i="38"/>
  <c r="E316" i="38"/>
  <c r="D316" i="38"/>
  <c r="C316" i="38"/>
  <c r="S315" i="38"/>
  <c r="R315" i="38"/>
  <c r="Q315" i="38"/>
  <c r="L315" i="38"/>
  <c r="K315" i="38"/>
  <c r="J315" i="38"/>
  <c r="E315" i="38"/>
  <c r="D315" i="38"/>
  <c r="C315" i="38"/>
  <c r="S314" i="38"/>
  <c r="R314" i="38"/>
  <c r="Q314" i="38"/>
  <c r="L314" i="38"/>
  <c r="K314" i="38"/>
  <c r="J314" i="38"/>
  <c r="E314" i="38"/>
  <c r="D314" i="38"/>
  <c r="C314" i="38"/>
  <c r="S313" i="38"/>
  <c r="R313" i="38"/>
  <c r="Q313" i="38"/>
  <c r="L313" i="38"/>
  <c r="K313" i="38"/>
  <c r="J313" i="38"/>
  <c r="E313" i="38"/>
  <c r="D313" i="38"/>
  <c r="C313" i="38"/>
  <c r="S312" i="38"/>
  <c r="R312" i="38"/>
  <c r="Q312" i="38"/>
  <c r="L312" i="38"/>
  <c r="K312" i="38"/>
  <c r="J312" i="38"/>
  <c r="E312" i="38"/>
  <c r="D312" i="38"/>
  <c r="C312" i="38"/>
  <c r="S311" i="38"/>
  <c r="R311" i="38"/>
  <c r="Q311" i="38"/>
  <c r="L311" i="38"/>
  <c r="K311" i="38"/>
  <c r="J311" i="38"/>
  <c r="E311" i="38"/>
  <c r="D311" i="38"/>
  <c r="C311" i="38"/>
  <c r="S310" i="38"/>
  <c r="R310" i="38"/>
  <c r="Q310" i="38"/>
  <c r="L310" i="38"/>
  <c r="K310" i="38"/>
  <c r="J310" i="38"/>
  <c r="E310" i="38"/>
  <c r="D310" i="38"/>
  <c r="C310" i="38"/>
  <c r="S308" i="38"/>
  <c r="R308" i="38"/>
  <c r="Q308" i="38"/>
  <c r="L308" i="38"/>
  <c r="K308" i="38"/>
  <c r="J308" i="38"/>
  <c r="E308" i="38"/>
  <c r="D308" i="38"/>
  <c r="C308" i="38"/>
  <c r="S307" i="38"/>
  <c r="R307" i="38"/>
  <c r="Q307" i="38"/>
  <c r="L307" i="38"/>
  <c r="K307" i="38"/>
  <c r="J307" i="38"/>
  <c r="E307" i="38"/>
  <c r="D307" i="38"/>
  <c r="C307" i="38"/>
  <c r="S306" i="38"/>
  <c r="R306" i="38"/>
  <c r="Q306" i="38"/>
  <c r="L306" i="38"/>
  <c r="K306" i="38"/>
  <c r="J306" i="38"/>
  <c r="E306" i="38"/>
  <c r="D306" i="38"/>
  <c r="C306" i="38"/>
  <c r="S305" i="38"/>
  <c r="R305" i="38"/>
  <c r="Q305" i="38"/>
  <c r="L305" i="38"/>
  <c r="K305" i="38"/>
  <c r="J305" i="38"/>
  <c r="E305" i="38"/>
  <c r="D305" i="38"/>
  <c r="C305" i="38"/>
  <c r="S304" i="38"/>
  <c r="R304" i="38"/>
  <c r="Q304" i="38"/>
  <c r="L304" i="38"/>
  <c r="K304" i="38"/>
  <c r="J304" i="38"/>
  <c r="E304" i="38"/>
  <c r="D304" i="38"/>
  <c r="C304" i="38"/>
  <c r="S303" i="38"/>
  <c r="R303" i="38"/>
  <c r="Q303" i="38"/>
  <c r="L303" i="38"/>
  <c r="K303" i="38"/>
  <c r="J303" i="38"/>
  <c r="E303" i="38"/>
  <c r="D303" i="38"/>
  <c r="C303" i="38"/>
  <c r="S302" i="38"/>
  <c r="R302" i="38"/>
  <c r="Q302" i="38"/>
  <c r="L302" i="38"/>
  <c r="K302" i="38"/>
  <c r="J302" i="38"/>
  <c r="E302" i="38"/>
  <c r="D302" i="38"/>
  <c r="C302" i="38"/>
  <c r="S301" i="38"/>
  <c r="R301" i="38"/>
  <c r="Q301" i="38"/>
  <c r="L301" i="38"/>
  <c r="K301" i="38"/>
  <c r="J301" i="38"/>
  <c r="E301" i="38"/>
  <c r="D301" i="38"/>
  <c r="C301" i="38"/>
  <c r="S300" i="38"/>
  <c r="R300" i="38"/>
  <c r="Q300" i="38"/>
  <c r="L300" i="38"/>
  <c r="K300" i="38"/>
  <c r="J300" i="38"/>
  <c r="E300" i="38"/>
  <c r="D300" i="38"/>
  <c r="C300" i="38"/>
  <c r="S299" i="38"/>
  <c r="R299" i="38"/>
  <c r="Q299" i="38"/>
  <c r="L299" i="38"/>
  <c r="K299" i="38"/>
  <c r="J299" i="38"/>
  <c r="E299" i="38"/>
  <c r="D299" i="38"/>
  <c r="C299" i="38"/>
  <c r="S298" i="38"/>
  <c r="R298" i="38"/>
  <c r="Q298" i="38"/>
  <c r="L298" i="38"/>
  <c r="K298" i="38"/>
  <c r="J298" i="38"/>
  <c r="E298" i="38"/>
  <c r="D298" i="38"/>
  <c r="C298" i="38"/>
  <c r="S297" i="38"/>
  <c r="R297" i="38"/>
  <c r="Q297" i="38"/>
  <c r="L297" i="38"/>
  <c r="K297" i="38"/>
  <c r="J297" i="38"/>
  <c r="E297" i="38"/>
  <c r="D297" i="38"/>
  <c r="C297" i="38"/>
  <c r="S296" i="38"/>
  <c r="R296" i="38"/>
  <c r="Q296" i="38"/>
  <c r="L296" i="38"/>
  <c r="K296" i="38"/>
  <c r="J296" i="38"/>
  <c r="E296" i="38"/>
  <c r="D296" i="38"/>
  <c r="C296" i="38"/>
  <c r="S295" i="38"/>
  <c r="R295" i="38"/>
  <c r="Q295" i="38"/>
  <c r="L295" i="38"/>
  <c r="K295" i="38"/>
  <c r="J295" i="38"/>
  <c r="E295" i="38"/>
  <c r="D295" i="38"/>
  <c r="C295" i="38"/>
  <c r="S294" i="38"/>
  <c r="R294" i="38"/>
  <c r="Q294" i="38"/>
  <c r="L294" i="38"/>
  <c r="K294" i="38"/>
  <c r="J294" i="38"/>
  <c r="E294" i="38"/>
  <c r="D294" i="38"/>
  <c r="C294" i="38"/>
  <c r="S293" i="38"/>
  <c r="R293" i="38"/>
  <c r="Q293" i="38"/>
  <c r="L293" i="38"/>
  <c r="K293" i="38"/>
  <c r="J293" i="38"/>
  <c r="E293" i="38"/>
  <c r="D293" i="38"/>
  <c r="C293" i="38"/>
  <c r="W292" i="38"/>
  <c r="S292" i="38"/>
  <c r="R292" i="38"/>
  <c r="Q292" i="38"/>
  <c r="L292" i="38"/>
  <c r="K292" i="38"/>
  <c r="J292" i="38"/>
  <c r="E292" i="38"/>
  <c r="D292" i="38"/>
  <c r="C292" i="38"/>
  <c r="W291" i="38"/>
  <c r="S291" i="38"/>
  <c r="R291" i="38"/>
  <c r="Q291" i="38"/>
  <c r="L291" i="38"/>
  <c r="K291" i="38"/>
  <c r="J291" i="38"/>
  <c r="E291" i="38"/>
  <c r="D291" i="38"/>
  <c r="C291" i="38"/>
  <c r="W290" i="38"/>
  <c r="S290" i="38"/>
  <c r="R290" i="38"/>
  <c r="Q290" i="38"/>
  <c r="L290" i="38"/>
  <c r="K290" i="38"/>
  <c r="J290" i="38"/>
  <c r="E290" i="38"/>
  <c r="D290" i="38"/>
  <c r="C290" i="38"/>
  <c r="W289" i="38"/>
  <c r="S289" i="38"/>
  <c r="R289" i="38"/>
  <c r="Q289" i="38"/>
  <c r="L289" i="38"/>
  <c r="K289" i="38"/>
  <c r="J289" i="38"/>
  <c r="E289" i="38"/>
  <c r="D289" i="38"/>
  <c r="C289" i="38"/>
  <c r="W288" i="38"/>
  <c r="W287" i="38"/>
  <c r="S287" i="38"/>
  <c r="R287" i="38"/>
  <c r="Q287" i="38"/>
  <c r="L287" i="38"/>
  <c r="K287" i="38"/>
  <c r="J287" i="38"/>
  <c r="E287" i="38"/>
  <c r="D287" i="38"/>
  <c r="C287" i="38"/>
  <c r="W286" i="38"/>
  <c r="S286" i="38"/>
  <c r="R286" i="38"/>
  <c r="Q286" i="38"/>
  <c r="L286" i="38"/>
  <c r="K286" i="38"/>
  <c r="J286" i="38"/>
  <c r="E286" i="38"/>
  <c r="D286" i="38"/>
  <c r="C286" i="38"/>
  <c r="W285" i="38"/>
  <c r="S285" i="38"/>
  <c r="R285" i="38"/>
  <c r="Q285" i="38"/>
  <c r="L285" i="38"/>
  <c r="K285" i="38"/>
  <c r="J285" i="38"/>
  <c r="E285" i="38"/>
  <c r="D285" i="38"/>
  <c r="C285" i="38"/>
  <c r="W284" i="38"/>
  <c r="S284" i="38"/>
  <c r="R284" i="38"/>
  <c r="Q284" i="38"/>
  <c r="L284" i="38"/>
  <c r="K284" i="38"/>
  <c r="J284" i="38"/>
  <c r="E284" i="38"/>
  <c r="D284" i="38"/>
  <c r="C284" i="38"/>
  <c r="W283" i="38"/>
  <c r="S283" i="38"/>
  <c r="R283" i="38"/>
  <c r="Q283" i="38"/>
  <c r="L283" i="38"/>
  <c r="K283" i="38"/>
  <c r="J283" i="38"/>
  <c r="E283" i="38"/>
  <c r="D283" i="38"/>
  <c r="C283" i="38"/>
  <c r="W282" i="38"/>
  <c r="S282" i="38"/>
  <c r="R282" i="38"/>
  <c r="Q282" i="38"/>
  <c r="L282" i="38"/>
  <c r="K282" i="38"/>
  <c r="J282" i="38"/>
  <c r="E282" i="38"/>
  <c r="D282" i="38"/>
  <c r="C282" i="38"/>
  <c r="W281" i="38"/>
  <c r="S281" i="38"/>
  <c r="R281" i="38"/>
  <c r="Q281" i="38"/>
  <c r="L281" i="38"/>
  <c r="K281" i="38"/>
  <c r="J281" i="38"/>
  <c r="E281" i="38"/>
  <c r="D281" i="38"/>
  <c r="C281" i="38"/>
  <c r="W280" i="38"/>
  <c r="S280" i="38"/>
  <c r="R280" i="38"/>
  <c r="Q280" i="38"/>
  <c r="L280" i="38"/>
  <c r="K280" i="38"/>
  <c r="J280" i="38"/>
  <c r="E280" i="38"/>
  <c r="D280" i="38"/>
  <c r="C280" i="38"/>
  <c r="W279" i="38"/>
  <c r="S279" i="38"/>
  <c r="R279" i="38"/>
  <c r="Q279" i="38"/>
  <c r="L279" i="38"/>
  <c r="K279" i="38"/>
  <c r="J279" i="38"/>
  <c r="E279" i="38"/>
  <c r="D279" i="38"/>
  <c r="C279" i="38"/>
  <c r="W278" i="38"/>
  <c r="S278" i="38"/>
  <c r="R278" i="38"/>
  <c r="Q278" i="38"/>
  <c r="L278" i="38"/>
  <c r="K278" i="38"/>
  <c r="J278" i="38"/>
  <c r="E278" i="38"/>
  <c r="D278" i="38"/>
  <c r="C278" i="38"/>
  <c r="W277" i="38"/>
  <c r="S277" i="38"/>
  <c r="R277" i="38"/>
  <c r="Q277" i="38"/>
  <c r="L277" i="38"/>
  <c r="K277" i="38"/>
  <c r="J277" i="38"/>
  <c r="E277" i="38"/>
  <c r="D277" i="38"/>
  <c r="C277" i="38"/>
  <c r="W276" i="38"/>
  <c r="S276" i="38"/>
  <c r="R276" i="38"/>
  <c r="Q276" i="38"/>
  <c r="L276" i="38"/>
  <c r="K276" i="38"/>
  <c r="J276" i="38"/>
  <c r="E276" i="38"/>
  <c r="D276" i="38"/>
  <c r="C276" i="38"/>
  <c r="W275" i="38"/>
  <c r="S275" i="38"/>
  <c r="R275" i="38"/>
  <c r="Q275" i="38"/>
  <c r="L275" i="38"/>
  <c r="K275" i="38"/>
  <c r="J275" i="38"/>
  <c r="E275" i="38"/>
  <c r="D275" i="38"/>
  <c r="C275" i="38"/>
  <c r="W274" i="38"/>
  <c r="S274" i="38"/>
  <c r="R274" i="38"/>
  <c r="Q274" i="38"/>
  <c r="L274" i="38"/>
  <c r="K274" i="38"/>
  <c r="J274" i="38"/>
  <c r="E274" i="38"/>
  <c r="D274" i="38"/>
  <c r="C274" i="38"/>
  <c r="W273" i="38"/>
  <c r="S273" i="38"/>
  <c r="R273" i="38"/>
  <c r="Q273" i="38"/>
  <c r="L273" i="38"/>
  <c r="K273" i="38"/>
  <c r="J273" i="38"/>
  <c r="E273" i="38"/>
  <c r="D273" i="38"/>
  <c r="C273" i="38"/>
  <c r="S272" i="38"/>
  <c r="R272" i="38"/>
  <c r="Q272" i="38"/>
  <c r="L272" i="38"/>
  <c r="K272" i="38"/>
  <c r="J272" i="38"/>
  <c r="E272" i="38"/>
  <c r="D272" i="38"/>
  <c r="C272" i="38"/>
  <c r="S271" i="38"/>
  <c r="R271" i="38"/>
  <c r="Q271" i="38"/>
  <c r="L271" i="38"/>
  <c r="K271" i="38"/>
  <c r="J271" i="38"/>
  <c r="E271" i="38"/>
  <c r="D271" i="38"/>
  <c r="C271" i="38"/>
  <c r="S270" i="38"/>
  <c r="R270" i="38"/>
  <c r="Q270" i="38"/>
  <c r="L270" i="38"/>
  <c r="K270" i="38"/>
  <c r="J270" i="38"/>
  <c r="E270" i="38"/>
  <c r="D270" i="38"/>
  <c r="C270" i="38"/>
  <c r="S269" i="38"/>
  <c r="R269" i="38"/>
  <c r="Q269" i="38"/>
  <c r="L269" i="38"/>
  <c r="K269" i="38"/>
  <c r="J269" i="38"/>
  <c r="E269" i="38"/>
  <c r="D269" i="38"/>
  <c r="C269" i="38"/>
  <c r="W268" i="38"/>
  <c r="S268" i="38"/>
  <c r="R268" i="38"/>
  <c r="Q268" i="38"/>
  <c r="L268" i="38"/>
  <c r="K268" i="38"/>
  <c r="J268" i="38"/>
  <c r="E268" i="38"/>
  <c r="D268" i="38"/>
  <c r="C268" i="38"/>
  <c r="W267" i="38"/>
  <c r="W266" i="38"/>
  <c r="S266" i="38"/>
  <c r="R266" i="38"/>
  <c r="Q266" i="38"/>
  <c r="L266" i="38"/>
  <c r="K266" i="38"/>
  <c r="J266" i="38"/>
  <c r="E266" i="38"/>
  <c r="D266" i="38"/>
  <c r="C266" i="38"/>
  <c r="W265" i="38"/>
  <c r="S265" i="38"/>
  <c r="R265" i="38"/>
  <c r="Q265" i="38"/>
  <c r="L265" i="38"/>
  <c r="K265" i="38"/>
  <c r="J265" i="38"/>
  <c r="E265" i="38"/>
  <c r="D265" i="38"/>
  <c r="C265" i="38"/>
  <c r="W264" i="38"/>
  <c r="S264" i="38"/>
  <c r="R264" i="38"/>
  <c r="Q264" i="38"/>
  <c r="L264" i="38"/>
  <c r="K264" i="38"/>
  <c r="J264" i="38"/>
  <c r="E264" i="38"/>
  <c r="D264" i="38"/>
  <c r="C264" i="38"/>
  <c r="W263" i="38"/>
  <c r="S263" i="38"/>
  <c r="R263" i="38"/>
  <c r="Q263" i="38"/>
  <c r="L263" i="38"/>
  <c r="K263" i="38"/>
  <c r="J263" i="38"/>
  <c r="E263" i="38"/>
  <c r="D263" i="38"/>
  <c r="C263" i="38"/>
  <c r="W262" i="38"/>
  <c r="S262" i="38"/>
  <c r="R262" i="38"/>
  <c r="Q262" i="38"/>
  <c r="L262" i="38"/>
  <c r="K262" i="38"/>
  <c r="J262" i="38"/>
  <c r="E262" i="38"/>
  <c r="D262" i="38"/>
  <c r="C262" i="38"/>
  <c r="W261" i="38"/>
  <c r="S261" i="38"/>
  <c r="R261" i="38"/>
  <c r="Q261" i="38"/>
  <c r="L261" i="38"/>
  <c r="K261" i="38"/>
  <c r="J261" i="38"/>
  <c r="E261" i="38"/>
  <c r="D261" i="38"/>
  <c r="C261" i="38"/>
  <c r="W260" i="38"/>
  <c r="S260" i="38"/>
  <c r="R260" i="38"/>
  <c r="Q260" i="38"/>
  <c r="L260" i="38"/>
  <c r="K260" i="38"/>
  <c r="J260" i="38"/>
  <c r="E260" i="38"/>
  <c r="D260" i="38"/>
  <c r="C260" i="38"/>
  <c r="W259" i="38"/>
  <c r="S259" i="38"/>
  <c r="R259" i="38"/>
  <c r="Q259" i="38"/>
  <c r="L259" i="38"/>
  <c r="K259" i="38"/>
  <c r="J259" i="38"/>
  <c r="E259" i="38"/>
  <c r="D259" i="38"/>
  <c r="C259" i="38"/>
  <c r="W258" i="38"/>
  <c r="S258" i="38"/>
  <c r="R258" i="38"/>
  <c r="Q258" i="38"/>
  <c r="L258" i="38"/>
  <c r="K258" i="38"/>
  <c r="J258" i="38"/>
  <c r="E258" i="38"/>
  <c r="D258" i="38"/>
  <c r="C258" i="38"/>
  <c r="W257" i="38"/>
  <c r="S257" i="38"/>
  <c r="R257" i="38"/>
  <c r="Q257" i="38"/>
  <c r="L257" i="38"/>
  <c r="K257" i="38"/>
  <c r="J257" i="38"/>
  <c r="E257" i="38"/>
  <c r="D257" i="38"/>
  <c r="C257" i="38"/>
  <c r="W256" i="38"/>
  <c r="S256" i="38"/>
  <c r="R256" i="38"/>
  <c r="Q256" i="38"/>
  <c r="L256" i="38"/>
  <c r="K256" i="38"/>
  <c r="J256" i="38"/>
  <c r="E256" i="38"/>
  <c r="D256" i="38"/>
  <c r="C256" i="38"/>
  <c r="W255" i="38"/>
  <c r="S255" i="38"/>
  <c r="R255" i="38"/>
  <c r="Q255" i="38"/>
  <c r="L255" i="38"/>
  <c r="K255" i="38"/>
  <c r="J255" i="38"/>
  <c r="E255" i="38"/>
  <c r="D255" i="38"/>
  <c r="C255" i="38"/>
  <c r="W254" i="38"/>
  <c r="S254" i="38"/>
  <c r="R254" i="38"/>
  <c r="Q254" i="38"/>
  <c r="L254" i="38"/>
  <c r="K254" i="38"/>
  <c r="J254" i="38"/>
  <c r="E254" i="38"/>
  <c r="D254" i="38"/>
  <c r="C254" i="38"/>
  <c r="W253" i="38"/>
  <c r="S253" i="38"/>
  <c r="R253" i="38"/>
  <c r="Q253" i="38"/>
  <c r="L253" i="38"/>
  <c r="K253" i="38"/>
  <c r="J253" i="38"/>
  <c r="E253" i="38"/>
  <c r="D253" i="38"/>
  <c r="C253" i="38"/>
  <c r="W252" i="38"/>
  <c r="S252" i="38"/>
  <c r="R252" i="38"/>
  <c r="Q252" i="38"/>
  <c r="L252" i="38"/>
  <c r="K252" i="38"/>
  <c r="J252" i="38"/>
  <c r="E252" i="38"/>
  <c r="D252" i="38"/>
  <c r="C252" i="38"/>
  <c r="W251" i="38"/>
  <c r="S251" i="38"/>
  <c r="R251" i="38"/>
  <c r="Q251" i="38"/>
  <c r="L251" i="38"/>
  <c r="K251" i="38"/>
  <c r="J251" i="38"/>
  <c r="E251" i="38"/>
  <c r="D251" i="38"/>
  <c r="C251" i="38"/>
  <c r="W250" i="38"/>
  <c r="S250" i="38"/>
  <c r="R250" i="38"/>
  <c r="Q250" i="38"/>
  <c r="L250" i="38"/>
  <c r="K250" i="38"/>
  <c r="J250" i="38"/>
  <c r="E250" i="38"/>
  <c r="D250" i="38"/>
  <c r="C250" i="38"/>
  <c r="W249" i="38"/>
  <c r="S249" i="38"/>
  <c r="R249" i="38"/>
  <c r="Q249" i="38"/>
  <c r="L249" i="38"/>
  <c r="K249" i="38"/>
  <c r="J249" i="38"/>
  <c r="E249" i="38"/>
  <c r="D249" i="38"/>
  <c r="C249" i="38"/>
  <c r="S248" i="38"/>
  <c r="R248" i="38"/>
  <c r="Q248" i="38"/>
  <c r="L248" i="38"/>
  <c r="K248" i="38"/>
  <c r="J248" i="38"/>
  <c r="E248" i="38"/>
  <c r="D248" i="38"/>
  <c r="C248" i="38"/>
  <c r="S247" i="38"/>
  <c r="R247" i="38"/>
  <c r="Q247" i="38"/>
  <c r="L247" i="38"/>
  <c r="K247" i="38"/>
  <c r="J247" i="38"/>
  <c r="E247" i="38"/>
  <c r="D247" i="38"/>
  <c r="C247" i="38"/>
  <c r="S245" i="38"/>
  <c r="R245" i="38"/>
  <c r="Q245" i="38"/>
  <c r="L245" i="38"/>
  <c r="K245" i="38"/>
  <c r="J245" i="38"/>
  <c r="E245" i="38"/>
  <c r="D245" i="38"/>
  <c r="C245" i="38"/>
  <c r="W244" i="38"/>
  <c r="S244" i="38"/>
  <c r="R244" i="38"/>
  <c r="Q244" i="38"/>
  <c r="L244" i="38"/>
  <c r="K244" i="38"/>
  <c r="J244" i="38"/>
  <c r="E244" i="38"/>
  <c r="D244" i="38"/>
  <c r="C244" i="38"/>
  <c r="W243" i="38"/>
  <c r="S243" i="38"/>
  <c r="R243" i="38"/>
  <c r="Q243" i="38"/>
  <c r="L243" i="38"/>
  <c r="K243" i="38"/>
  <c r="J243" i="38"/>
  <c r="E243" i="38"/>
  <c r="D243" i="38"/>
  <c r="C243" i="38"/>
  <c r="W242" i="38"/>
  <c r="S242" i="38"/>
  <c r="R242" i="38"/>
  <c r="Q242" i="38"/>
  <c r="L242" i="38"/>
  <c r="K242" i="38"/>
  <c r="J242" i="38"/>
  <c r="E242" i="38"/>
  <c r="D242" i="38"/>
  <c r="C242" i="38"/>
  <c r="W241" i="38"/>
  <c r="S241" i="38"/>
  <c r="R241" i="38"/>
  <c r="Q241" i="38"/>
  <c r="L241" i="38"/>
  <c r="K241" i="38"/>
  <c r="J241" i="38"/>
  <c r="E241" i="38"/>
  <c r="D241" i="38"/>
  <c r="C241" i="38"/>
  <c r="W240" i="38"/>
  <c r="S240" i="38"/>
  <c r="R240" i="38"/>
  <c r="Q240" i="38"/>
  <c r="L240" i="38"/>
  <c r="K240" i="38"/>
  <c r="J240" i="38"/>
  <c r="E240" i="38"/>
  <c r="D240" i="38"/>
  <c r="C240" i="38"/>
  <c r="W239" i="38"/>
  <c r="S239" i="38"/>
  <c r="R239" i="38"/>
  <c r="Q239" i="38"/>
  <c r="L239" i="38"/>
  <c r="K239" i="38"/>
  <c r="J239" i="38"/>
  <c r="E239" i="38"/>
  <c r="D239" i="38"/>
  <c r="C239" i="38"/>
  <c r="W238" i="38"/>
  <c r="S238" i="38"/>
  <c r="R238" i="38"/>
  <c r="Q238" i="38"/>
  <c r="L238" i="38"/>
  <c r="K238" i="38"/>
  <c r="J238" i="38"/>
  <c r="E238" i="38"/>
  <c r="D238" i="38"/>
  <c r="C238" i="38"/>
  <c r="W237" i="38"/>
  <c r="S237" i="38"/>
  <c r="R237" i="38"/>
  <c r="Q237" i="38"/>
  <c r="L237" i="38"/>
  <c r="K237" i="38"/>
  <c r="J237" i="38"/>
  <c r="E237" i="38"/>
  <c r="D237" i="38"/>
  <c r="C237" i="38"/>
  <c r="W236" i="38"/>
  <c r="S236" i="38"/>
  <c r="R236" i="38"/>
  <c r="Q236" i="38"/>
  <c r="L236" i="38"/>
  <c r="K236" i="38"/>
  <c r="J236" i="38"/>
  <c r="E236" i="38"/>
  <c r="D236" i="38"/>
  <c r="C236" i="38"/>
  <c r="W235" i="38"/>
  <c r="S235" i="38"/>
  <c r="R235" i="38"/>
  <c r="Q235" i="38"/>
  <c r="L235" i="38"/>
  <c r="K235" i="38"/>
  <c r="J235" i="38"/>
  <c r="E235" i="38"/>
  <c r="D235" i="38"/>
  <c r="C235" i="38"/>
  <c r="W234" i="38"/>
  <c r="S234" i="38"/>
  <c r="R234" i="38"/>
  <c r="Q234" i="38"/>
  <c r="L234" i="38"/>
  <c r="K234" i="38"/>
  <c r="J234" i="38"/>
  <c r="E234" i="38"/>
  <c r="D234" i="38"/>
  <c r="C234" i="38"/>
  <c r="W233" i="38"/>
  <c r="S233" i="38"/>
  <c r="R233" i="38"/>
  <c r="Q233" i="38"/>
  <c r="L233" i="38"/>
  <c r="K233" i="38"/>
  <c r="J233" i="38"/>
  <c r="E233" i="38"/>
  <c r="D233" i="38"/>
  <c r="C233" i="38"/>
  <c r="W232" i="38"/>
  <c r="S232" i="38"/>
  <c r="R232" i="38"/>
  <c r="Q232" i="38"/>
  <c r="L232" i="38"/>
  <c r="K232" i="38"/>
  <c r="J232" i="38"/>
  <c r="E232" i="38"/>
  <c r="D232" i="38"/>
  <c r="C232" i="38"/>
  <c r="W231" i="38"/>
  <c r="S231" i="38"/>
  <c r="R231" i="38"/>
  <c r="Q231" i="38"/>
  <c r="L231" i="38"/>
  <c r="K231" i="38"/>
  <c r="J231" i="38"/>
  <c r="E231" i="38"/>
  <c r="D231" i="38"/>
  <c r="C231" i="38"/>
  <c r="W230" i="38"/>
  <c r="S230" i="38"/>
  <c r="R230" i="38"/>
  <c r="Q230" i="38"/>
  <c r="L230" i="38"/>
  <c r="K230" i="38"/>
  <c r="J230" i="38"/>
  <c r="E230" i="38"/>
  <c r="D230" i="38"/>
  <c r="C230" i="38"/>
  <c r="W229" i="38"/>
  <c r="S229" i="38"/>
  <c r="R229" i="38"/>
  <c r="Q229" i="38"/>
  <c r="L229" i="38"/>
  <c r="K229" i="38"/>
  <c r="J229" i="38"/>
  <c r="E229" i="38"/>
  <c r="D229" i="38"/>
  <c r="C229" i="38"/>
  <c r="W228" i="38"/>
  <c r="S228" i="38"/>
  <c r="R228" i="38"/>
  <c r="Q228" i="38"/>
  <c r="L228" i="38"/>
  <c r="K228" i="38"/>
  <c r="J228" i="38"/>
  <c r="E228" i="38"/>
  <c r="D228" i="38"/>
  <c r="C228" i="38"/>
  <c r="W227" i="38"/>
  <c r="S227" i="38"/>
  <c r="R227" i="38"/>
  <c r="Q227" i="38"/>
  <c r="L227" i="38"/>
  <c r="K227" i="38"/>
  <c r="J227" i="38"/>
  <c r="E227" i="38"/>
  <c r="D227" i="38"/>
  <c r="C227" i="38"/>
  <c r="W226" i="38"/>
  <c r="S226" i="38"/>
  <c r="R226" i="38"/>
  <c r="Q226" i="38"/>
  <c r="L226" i="38"/>
  <c r="K226" i="38"/>
  <c r="J226" i="38"/>
  <c r="E226" i="38"/>
  <c r="D226" i="38"/>
  <c r="C226" i="38"/>
  <c r="W225" i="38"/>
  <c r="R220" i="38"/>
  <c r="T371" i="38" s="1"/>
  <c r="L220" i="38"/>
  <c r="M371" i="38" s="1"/>
  <c r="F220" i="38"/>
  <c r="F371" i="38" s="1"/>
  <c r="R219" i="38"/>
  <c r="T350" i="38" s="1"/>
  <c r="L219" i="38"/>
  <c r="M350" i="38" s="1"/>
  <c r="F219" i="38"/>
  <c r="F350" i="38" s="1"/>
  <c r="R218" i="38"/>
  <c r="T329" i="38" s="1"/>
  <c r="L218" i="38"/>
  <c r="M329" i="38" s="1"/>
  <c r="F218" i="38"/>
  <c r="F329" i="38" s="1"/>
  <c r="R217" i="38"/>
  <c r="T308" i="38" s="1"/>
  <c r="L217" i="38"/>
  <c r="M308" i="38" s="1"/>
  <c r="F217" i="38"/>
  <c r="F308" i="38" s="1"/>
  <c r="R216" i="38"/>
  <c r="T287" i="38" s="1"/>
  <c r="L216" i="38"/>
  <c r="M287" i="38" s="1"/>
  <c r="F216" i="38"/>
  <c r="F287" i="38" s="1"/>
  <c r="R215" i="38"/>
  <c r="T266" i="38" s="1"/>
  <c r="L215" i="38"/>
  <c r="M266" i="38" s="1"/>
  <c r="F215" i="38"/>
  <c r="F266" i="38" s="1"/>
  <c r="R214" i="38"/>
  <c r="T245" i="38" s="1"/>
  <c r="L214" i="38"/>
  <c r="M245" i="38" s="1"/>
  <c r="F214" i="38"/>
  <c r="F245" i="38" s="1"/>
  <c r="K213" i="38"/>
  <c r="Q213" i="38" s="1"/>
  <c r="J213" i="38"/>
  <c r="P213" i="38" s="1"/>
  <c r="H211" i="38"/>
  <c r="N211" i="38" s="1"/>
  <c r="R209" i="38"/>
  <c r="T370" i="38" s="1"/>
  <c r="L209" i="38"/>
  <c r="M370" i="38" s="1"/>
  <c r="F209" i="38"/>
  <c r="F370" i="38" s="1"/>
  <c r="R208" i="38"/>
  <c r="T349" i="38" s="1"/>
  <c r="L208" i="38"/>
  <c r="M349" i="38" s="1"/>
  <c r="F208" i="38"/>
  <c r="F349" i="38" s="1"/>
  <c r="R207" i="38"/>
  <c r="T328" i="38" s="1"/>
  <c r="L207" i="38"/>
  <c r="M328" i="38" s="1"/>
  <c r="F207" i="38"/>
  <c r="F328" i="38" s="1"/>
  <c r="R206" i="38"/>
  <c r="T307" i="38" s="1"/>
  <c r="L206" i="38"/>
  <c r="M307" i="38" s="1"/>
  <c r="F206" i="38"/>
  <c r="F307" i="38" s="1"/>
  <c r="R205" i="38"/>
  <c r="T286" i="38" s="1"/>
  <c r="L205" i="38"/>
  <c r="M286" i="38" s="1"/>
  <c r="F205" i="38"/>
  <c r="R204" i="38"/>
  <c r="T265" i="38" s="1"/>
  <c r="L204" i="38"/>
  <c r="M265" i="38" s="1"/>
  <c r="F204" i="38"/>
  <c r="F265" i="38" s="1"/>
  <c r="R203" i="38"/>
  <c r="T244" i="38" s="1"/>
  <c r="L203" i="38"/>
  <c r="M244" i="38" s="1"/>
  <c r="F203" i="38"/>
  <c r="F244" i="38" s="1"/>
  <c r="K202" i="38"/>
  <c r="Q202" i="38" s="1"/>
  <c r="J202" i="38"/>
  <c r="P202" i="38" s="1"/>
  <c r="H200" i="38"/>
  <c r="N200" i="38" s="1"/>
  <c r="R198" i="38"/>
  <c r="T369" i="38" s="1"/>
  <c r="L198" i="38"/>
  <c r="M369" i="38" s="1"/>
  <c r="F198" i="38"/>
  <c r="F369" i="38" s="1"/>
  <c r="R197" i="38"/>
  <c r="T348" i="38" s="1"/>
  <c r="L197" i="38"/>
  <c r="M348" i="38" s="1"/>
  <c r="F197" i="38"/>
  <c r="F348" i="38" s="1"/>
  <c r="R196" i="38"/>
  <c r="T327" i="38" s="1"/>
  <c r="L196" i="38"/>
  <c r="M327" i="38" s="1"/>
  <c r="F196" i="38"/>
  <c r="F327" i="38" s="1"/>
  <c r="R195" i="38"/>
  <c r="T306" i="38" s="1"/>
  <c r="L195" i="38"/>
  <c r="M306" i="38" s="1"/>
  <c r="F195" i="38"/>
  <c r="F306" i="38" s="1"/>
  <c r="R194" i="38"/>
  <c r="T285" i="38" s="1"/>
  <c r="L194" i="38"/>
  <c r="M285" i="38" s="1"/>
  <c r="F194" i="38"/>
  <c r="R193" i="38"/>
  <c r="T264" i="38" s="1"/>
  <c r="L193" i="38"/>
  <c r="M264" i="38" s="1"/>
  <c r="F193" i="38"/>
  <c r="F264" i="38" s="1"/>
  <c r="R192" i="38"/>
  <c r="T243" i="38" s="1"/>
  <c r="L192" i="38"/>
  <c r="M243" i="38" s="1"/>
  <c r="F192" i="38"/>
  <c r="F243" i="38" s="1"/>
  <c r="K191" i="38"/>
  <c r="Q191" i="38" s="1"/>
  <c r="J191" i="38"/>
  <c r="P191" i="38" s="1"/>
  <c r="H189" i="38"/>
  <c r="N189" i="38" s="1"/>
  <c r="R187" i="38"/>
  <c r="T368" i="38" s="1"/>
  <c r="L187" i="38"/>
  <c r="M368" i="38" s="1"/>
  <c r="F187" i="38"/>
  <c r="F368" i="38" s="1"/>
  <c r="R186" i="38"/>
  <c r="T347" i="38" s="1"/>
  <c r="L186" i="38"/>
  <c r="M347" i="38" s="1"/>
  <c r="F186" i="38"/>
  <c r="F347" i="38" s="1"/>
  <c r="R185" i="38"/>
  <c r="T326" i="38" s="1"/>
  <c r="L185" i="38"/>
  <c r="M326" i="38" s="1"/>
  <c r="F185" i="38"/>
  <c r="F326" i="38" s="1"/>
  <c r="R184" i="38"/>
  <c r="T305" i="38" s="1"/>
  <c r="L184" i="38"/>
  <c r="M305" i="38" s="1"/>
  <c r="F184" i="38"/>
  <c r="F305" i="38" s="1"/>
  <c r="R183" i="38"/>
  <c r="T284" i="38" s="1"/>
  <c r="L183" i="38"/>
  <c r="M284" i="38" s="1"/>
  <c r="F183" i="38"/>
  <c r="F284" i="38" s="1"/>
  <c r="R182" i="38"/>
  <c r="T263" i="38" s="1"/>
  <c r="L182" i="38"/>
  <c r="M263" i="38" s="1"/>
  <c r="F182" i="38"/>
  <c r="F263" i="38" s="1"/>
  <c r="R181" i="38"/>
  <c r="T242" i="38" s="1"/>
  <c r="L181" i="38"/>
  <c r="M242" i="38" s="1"/>
  <c r="F181" i="38"/>
  <c r="F242" i="38" s="1"/>
  <c r="K180" i="38"/>
  <c r="Q180" i="38" s="1"/>
  <c r="J180" i="38"/>
  <c r="P180" i="38" s="1"/>
  <c r="H178" i="38"/>
  <c r="N178" i="38" s="1"/>
  <c r="R176" i="38"/>
  <c r="T367" i="38" s="1"/>
  <c r="L176" i="38"/>
  <c r="M367" i="38" s="1"/>
  <c r="F176" i="38"/>
  <c r="F367" i="38" s="1"/>
  <c r="R175" i="38"/>
  <c r="T346" i="38" s="1"/>
  <c r="L175" i="38"/>
  <c r="M346" i="38" s="1"/>
  <c r="F175" i="38"/>
  <c r="F346" i="38" s="1"/>
  <c r="R174" i="38"/>
  <c r="T325" i="38" s="1"/>
  <c r="L174" i="38"/>
  <c r="M325" i="38" s="1"/>
  <c r="F174" i="38"/>
  <c r="F325" i="38" s="1"/>
  <c r="R173" i="38"/>
  <c r="T304" i="38" s="1"/>
  <c r="L173" i="38"/>
  <c r="M304" i="38" s="1"/>
  <c r="F173" i="38"/>
  <c r="F304" i="38" s="1"/>
  <c r="R172" i="38"/>
  <c r="T283" i="38" s="1"/>
  <c r="L172" i="38"/>
  <c r="M283" i="38" s="1"/>
  <c r="F172" i="38"/>
  <c r="F283" i="38" s="1"/>
  <c r="R171" i="38"/>
  <c r="T262" i="38" s="1"/>
  <c r="L171" i="38"/>
  <c r="M262" i="38" s="1"/>
  <c r="F171" i="38"/>
  <c r="F262" i="38" s="1"/>
  <c r="R170" i="38"/>
  <c r="T241" i="38" s="1"/>
  <c r="L170" i="38"/>
  <c r="M241" i="38" s="1"/>
  <c r="F170" i="38"/>
  <c r="F241" i="38" s="1"/>
  <c r="K169" i="38"/>
  <c r="Q169" i="38" s="1"/>
  <c r="J169" i="38"/>
  <c r="P169" i="38" s="1"/>
  <c r="H167" i="38"/>
  <c r="N167" i="38" s="1"/>
  <c r="R165" i="38"/>
  <c r="T366" i="38" s="1"/>
  <c r="L165" i="38"/>
  <c r="M366" i="38" s="1"/>
  <c r="F165" i="38"/>
  <c r="F366" i="38" s="1"/>
  <c r="R164" i="38"/>
  <c r="T345" i="38" s="1"/>
  <c r="L164" i="38"/>
  <c r="M345" i="38" s="1"/>
  <c r="F164" i="38"/>
  <c r="F345" i="38" s="1"/>
  <c r="R163" i="38"/>
  <c r="T324" i="38" s="1"/>
  <c r="L163" i="38"/>
  <c r="M324" i="38" s="1"/>
  <c r="F163" i="38"/>
  <c r="F324" i="38" s="1"/>
  <c r="R162" i="38"/>
  <c r="T303" i="38" s="1"/>
  <c r="L162" i="38"/>
  <c r="M303" i="38" s="1"/>
  <c r="F162" i="38"/>
  <c r="F303" i="38" s="1"/>
  <c r="R161" i="38"/>
  <c r="T282" i="38" s="1"/>
  <c r="L161" i="38"/>
  <c r="M282" i="38" s="1"/>
  <c r="F161" i="38"/>
  <c r="F282" i="38" s="1"/>
  <c r="R160" i="38"/>
  <c r="T261" i="38" s="1"/>
  <c r="L160" i="38"/>
  <c r="M261" i="38" s="1"/>
  <c r="F160" i="38"/>
  <c r="F261" i="38" s="1"/>
  <c r="R159" i="38"/>
  <c r="T240" i="38" s="1"/>
  <c r="L159" i="38"/>
  <c r="M240" i="38" s="1"/>
  <c r="F159" i="38"/>
  <c r="F240" i="38" s="1"/>
  <c r="K158" i="38"/>
  <c r="Q158" i="38" s="1"/>
  <c r="J158" i="38"/>
  <c r="P158" i="38" s="1"/>
  <c r="H156" i="38"/>
  <c r="N156" i="38" s="1"/>
  <c r="R154" i="38"/>
  <c r="T365" i="38" s="1"/>
  <c r="L154" i="38"/>
  <c r="M365" i="38" s="1"/>
  <c r="F154" i="38"/>
  <c r="F365" i="38" s="1"/>
  <c r="R153" i="38"/>
  <c r="T344" i="38" s="1"/>
  <c r="L153" i="38"/>
  <c r="M344" i="38" s="1"/>
  <c r="F153" i="38"/>
  <c r="F344" i="38" s="1"/>
  <c r="R152" i="38"/>
  <c r="T323" i="38" s="1"/>
  <c r="L152" i="38"/>
  <c r="M323" i="38" s="1"/>
  <c r="F152" i="38"/>
  <c r="F323" i="38" s="1"/>
  <c r="R151" i="38"/>
  <c r="T302" i="38" s="1"/>
  <c r="L151" i="38"/>
  <c r="F151" i="38"/>
  <c r="R150" i="38"/>
  <c r="T281" i="38" s="1"/>
  <c r="L150" i="38"/>
  <c r="F150" i="38"/>
  <c r="F281" i="38" s="1"/>
  <c r="R149" i="38"/>
  <c r="T260" i="38" s="1"/>
  <c r="L149" i="38"/>
  <c r="M260" i="38" s="1"/>
  <c r="F149" i="38"/>
  <c r="F260" i="38" s="1"/>
  <c r="R148" i="38"/>
  <c r="T239" i="38" s="1"/>
  <c r="L148" i="38"/>
  <c r="M239" i="38" s="1"/>
  <c r="F148" i="38"/>
  <c r="F239" i="38" s="1"/>
  <c r="K147" i="38"/>
  <c r="Q147" i="38" s="1"/>
  <c r="J147" i="38"/>
  <c r="P147" i="38" s="1"/>
  <c r="H145" i="38"/>
  <c r="N145" i="38" s="1"/>
  <c r="R143" i="38"/>
  <c r="T364" i="38" s="1"/>
  <c r="L143" i="38"/>
  <c r="M364" i="38" s="1"/>
  <c r="F143" i="38"/>
  <c r="F364" i="38" s="1"/>
  <c r="R142" i="38"/>
  <c r="T343" i="38" s="1"/>
  <c r="L142" i="38"/>
  <c r="M343" i="38" s="1"/>
  <c r="F142" i="38"/>
  <c r="F343" i="38" s="1"/>
  <c r="R141" i="38"/>
  <c r="T322" i="38" s="1"/>
  <c r="L141" i="38"/>
  <c r="M322" i="38" s="1"/>
  <c r="F141" i="38"/>
  <c r="F322" i="38" s="1"/>
  <c r="R140" i="38"/>
  <c r="T301" i="38" s="1"/>
  <c r="L140" i="38"/>
  <c r="M301" i="38" s="1"/>
  <c r="F140" i="38"/>
  <c r="R139" i="38"/>
  <c r="T280" i="38" s="1"/>
  <c r="L139" i="38"/>
  <c r="M280" i="38" s="1"/>
  <c r="F139" i="38"/>
  <c r="F280" i="38" s="1"/>
  <c r="R138" i="38"/>
  <c r="T259" i="38" s="1"/>
  <c r="L138" i="38"/>
  <c r="M259" i="38" s="1"/>
  <c r="F138" i="38"/>
  <c r="F259" i="38" s="1"/>
  <c r="R137" i="38"/>
  <c r="T238" i="38" s="1"/>
  <c r="L137" i="38"/>
  <c r="M238" i="38" s="1"/>
  <c r="F137" i="38"/>
  <c r="F238" i="38" s="1"/>
  <c r="K136" i="38"/>
  <c r="Q136" i="38" s="1"/>
  <c r="J136" i="38"/>
  <c r="P136" i="38" s="1"/>
  <c r="H134" i="38"/>
  <c r="N134" i="38" s="1"/>
  <c r="R132" i="38"/>
  <c r="T363" i="38" s="1"/>
  <c r="L132" i="38"/>
  <c r="M363" i="38" s="1"/>
  <c r="F132" i="38"/>
  <c r="F363" i="38" s="1"/>
  <c r="R131" i="38"/>
  <c r="T342" i="38" s="1"/>
  <c r="L131" i="38"/>
  <c r="M342" i="38" s="1"/>
  <c r="F131" i="38"/>
  <c r="F342" i="38" s="1"/>
  <c r="R130" i="38"/>
  <c r="T321" i="38" s="1"/>
  <c r="L130" i="38"/>
  <c r="M321" i="38" s="1"/>
  <c r="F130" i="38"/>
  <c r="F321" i="38" s="1"/>
  <c r="R129" i="38"/>
  <c r="T300" i="38" s="1"/>
  <c r="L129" i="38"/>
  <c r="M300" i="38" s="1"/>
  <c r="F129" i="38"/>
  <c r="F300" i="38" s="1"/>
  <c r="R128" i="38"/>
  <c r="T279" i="38" s="1"/>
  <c r="L128" i="38"/>
  <c r="M279" i="38" s="1"/>
  <c r="F128" i="38"/>
  <c r="F279" i="38" s="1"/>
  <c r="R127" i="38"/>
  <c r="T258" i="38" s="1"/>
  <c r="L127" i="38"/>
  <c r="M258" i="38" s="1"/>
  <c r="F127" i="38"/>
  <c r="F258" i="38" s="1"/>
  <c r="R126" i="38"/>
  <c r="T237" i="38" s="1"/>
  <c r="L126" i="38"/>
  <c r="M237" i="38" s="1"/>
  <c r="F126" i="38"/>
  <c r="F237" i="38" s="1"/>
  <c r="K125" i="38"/>
  <c r="Q125" i="38" s="1"/>
  <c r="J125" i="38"/>
  <c r="P125" i="38" s="1"/>
  <c r="H123" i="38"/>
  <c r="N123" i="38" s="1"/>
  <c r="R121" i="38"/>
  <c r="T362" i="38" s="1"/>
  <c r="L121" i="38"/>
  <c r="M362" i="38" s="1"/>
  <c r="F121" i="38"/>
  <c r="F362" i="38" s="1"/>
  <c r="R120" i="38"/>
  <c r="T341" i="38" s="1"/>
  <c r="L120" i="38"/>
  <c r="M341" i="38" s="1"/>
  <c r="F120" i="38"/>
  <c r="F341" i="38" s="1"/>
  <c r="R119" i="38"/>
  <c r="T320" i="38" s="1"/>
  <c r="L119" i="38"/>
  <c r="M320" i="38" s="1"/>
  <c r="F119" i="38"/>
  <c r="F320" i="38" s="1"/>
  <c r="R118" i="38"/>
  <c r="T299" i="38" s="1"/>
  <c r="L118" i="38"/>
  <c r="M299" i="38" s="1"/>
  <c r="F118" i="38"/>
  <c r="F299" i="38" s="1"/>
  <c r="R117" i="38"/>
  <c r="T278" i="38" s="1"/>
  <c r="L117" i="38"/>
  <c r="M278" i="38" s="1"/>
  <c r="F117" i="38"/>
  <c r="F278" i="38" s="1"/>
  <c r="R116" i="38"/>
  <c r="T257" i="38" s="1"/>
  <c r="L116" i="38"/>
  <c r="M257" i="38" s="1"/>
  <c r="F116" i="38"/>
  <c r="F257" i="38" s="1"/>
  <c r="R115" i="38"/>
  <c r="T236" i="38" s="1"/>
  <c r="L115" i="38"/>
  <c r="M236" i="38" s="1"/>
  <c r="F115" i="38"/>
  <c r="F236" i="38" s="1"/>
  <c r="K114" i="38"/>
  <c r="Q114" i="38" s="1"/>
  <c r="J114" i="38"/>
  <c r="P114" i="38" s="1"/>
  <c r="H112" i="38"/>
  <c r="N112" i="38" s="1"/>
  <c r="R110" i="38"/>
  <c r="T361" i="38" s="1"/>
  <c r="L110" i="38"/>
  <c r="M361" i="38" s="1"/>
  <c r="F110" i="38"/>
  <c r="F361" i="38" s="1"/>
  <c r="R109" i="38"/>
  <c r="T340" i="38" s="1"/>
  <c r="L109" i="38"/>
  <c r="M340" i="38" s="1"/>
  <c r="F109" i="38"/>
  <c r="F340" i="38" s="1"/>
  <c r="R108" i="38"/>
  <c r="T319" i="38" s="1"/>
  <c r="L108" i="38"/>
  <c r="M319" i="38" s="1"/>
  <c r="F108" i="38"/>
  <c r="F319" i="38" s="1"/>
  <c r="R107" i="38"/>
  <c r="T298" i="38" s="1"/>
  <c r="L107" i="38"/>
  <c r="M298" i="38" s="1"/>
  <c r="F107" i="38"/>
  <c r="F298" i="38" s="1"/>
  <c r="R106" i="38"/>
  <c r="T277" i="38" s="1"/>
  <c r="L106" i="38"/>
  <c r="M277" i="38" s="1"/>
  <c r="F106" i="38"/>
  <c r="F277" i="38" s="1"/>
  <c r="R105" i="38"/>
  <c r="T256" i="38" s="1"/>
  <c r="L105" i="38"/>
  <c r="M256" i="38" s="1"/>
  <c r="F105" i="38"/>
  <c r="F256" i="38" s="1"/>
  <c r="R104" i="38"/>
  <c r="T235" i="38" s="1"/>
  <c r="L104" i="38"/>
  <c r="M235" i="38" s="1"/>
  <c r="F104" i="38"/>
  <c r="F235" i="38" s="1"/>
  <c r="K103" i="38"/>
  <c r="Q103" i="38" s="1"/>
  <c r="J103" i="38"/>
  <c r="P103" i="38" s="1"/>
  <c r="H101" i="38"/>
  <c r="N101" i="38" s="1"/>
  <c r="R99" i="38"/>
  <c r="T360" i="38" s="1"/>
  <c r="L99" i="38"/>
  <c r="M360" i="38" s="1"/>
  <c r="F99" i="38"/>
  <c r="F360" i="38" s="1"/>
  <c r="R98" i="38"/>
  <c r="T339" i="38" s="1"/>
  <c r="L98" i="38"/>
  <c r="M339" i="38" s="1"/>
  <c r="F98" i="38"/>
  <c r="F339" i="38" s="1"/>
  <c r="R97" i="38"/>
  <c r="T318" i="38" s="1"/>
  <c r="L97" i="38"/>
  <c r="M318" i="38" s="1"/>
  <c r="F97" i="38"/>
  <c r="F318" i="38" s="1"/>
  <c r="R96" i="38"/>
  <c r="T297" i="38" s="1"/>
  <c r="L96" i="38"/>
  <c r="M297" i="38" s="1"/>
  <c r="F96" i="38"/>
  <c r="F297" i="38" s="1"/>
  <c r="R95" i="38"/>
  <c r="T276" i="38" s="1"/>
  <c r="L95" i="38"/>
  <c r="M276" i="38" s="1"/>
  <c r="F95" i="38"/>
  <c r="F276" i="38" s="1"/>
  <c r="R94" i="38"/>
  <c r="T255" i="38" s="1"/>
  <c r="L94" i="38"/>
  <c r="M255" i="38" s="1"/>
  <c r="F94" i="38"/>
  <c r="F255" i="38" s="1"/>
  <c r="R93" i="38"/>
  <c r="T234" i="38" s="1"/>
  <c r="L93" i="38"/>
  <c r="M234" i="38" s="1"/>
  <c r="F93" i="38"/>
  <c r="F234" i="38" s="1"/>
  <c r="K92" i="38"/>
  <c r="Q92" i="38" s="1"/>
  <c r="J92" i="38"/>
  <c r="P92" i="38" s="1"/>
  <c r="H90" i="38"/>
  <c r="N90" i="38" s="1"/>
  <c r="R88" i="38"/>
  <c r="T359" i="38" s="1"/>
  <c r="L88" i="38"/>
  <c r="M359" i="38" s="1"/>
  <c r="F88" i="38"/>
  <c r="F359" i="38" s="1"/>
  <c r="R87" i="38"/>
  <c r="T338" i="38" s="1"/>
  <c r="L87" i="38"/>
  <c r="M338" i="38" s="1"/>
  <c r="F87" i="38"/>
  <c r="F338" i="38" s="1"/>
  <c r="R86" i="38"/>
  <c r="T317" i="38" s="1"/>
  <c r="L86" i="38"/>
  <c r="M317" i="38" s="1"/>
  <c r="F86" i="38"/>
  <c r="F317" i="38" s="1"/>
  <c r="R85" i="38"/>
  <c r="T296" i="38" s="1"/>
  <c r="L85" i="38"/>
  <c r="M296" i="38" s="1"/>
  <c r="F85" i="38"/>
  <c r="F296" i="38" s="1"/>
  <c r="R84" i="38"/>
  <c r="T275" i="38" s="1"/>
  <c r="L84" i="38"/>
  <c r="M275" i="38" s="1"/>
  <c r="F84" i="38"/>
  <c r="F275" i="38" s="1"/>
  <c r="R83" i="38"/>
  <c r="T254" i="38" s="1"/>
  <c r="L83" i="38"/>
  <c r="M254" i="38" s="1"/>
  <c r="F83" i="38"/>
  <c r="F254" i="38" s="1"/>
  <c r="R82" i="38"/>
  <c r="T233" i="38" s="1"/>
  <c r="L82" i="38"/>
  <c r="M233" i="38" s="1"/>
  <c r="F82" i="38"/>
  <c r="F233" i="38" s="1"/>
  <c r="K81" i="38"/>
  <c r="Q81" i="38" s="1"/>
  <c r="J81" i="38"/>
  <c r="P81" i="38" s="1"/>
  <c r="H79" i="38"/>
  <c r="N79" i="38" s="1"/>
  <c r="R77" i="38"/>
  <c r="T358" i="38" s="1"/>
  <c r="L77" i="38"/>
  <c r="M358" i="38" s="1"/>
  <c r="F77" i="38"/>
  <c r="F358" i="38" s="1"/>
  <c r="R76" i="38"/>
  <c r="T337" i="38" s="1"/>
  <c r="L76" i="38"/>
  <c r="M337" i="38" s="1"/>
  <c r="F76" i="38"/>
  <c r="F337" i="38" s="1"/>
  <c r="R75" i="38"/>
  <c r="T316" i="38" s="1"/>
  <c r="L75" i="38"/>
  <c r="M316" i="38" s="1"/>
  <c r="F75" i="38"/>
  <c r="F316" i="38" s="1"/>
  <c r="R74" i="38"/>
  <c r="T295" i="38" s="1"/>
  <c r="L74" i="38"/>
  <c r="M295" i="38" s="1"/>
  <c r="F74" i="38"/>
  <c r="F295" i="38" s="1"/>
  <c r="R73" i="38"/>
  <c r="T274" i="38" s="1"/>
  <c r="L73" i="38"/>
  <c r="M274" i="38" s="1"/>
  <c r="F73" i="38"/>
  <c r="F274" i="38" s="1"/>
  <c r="R72" i="38"/>
  <c r="T253" i="38" s="1"/>
  <c r="L72" i="38"/>
  <c r="M253" i="38" s="1"/>
  <c r="F72" i="38"/>
  <c r="F253" i="38" s="1"/>
  <c r="R71" i="38"/>
  <c r="T232" i="38" s="1"/>
  <c r="L71" i="38"/>
  <c r="M232" i="38" s="1"/>
  <c r="F71" i="38"/>
  <c r="F232" i="38" s="1"/>
  <c r="K70" i="38"/>
  <c r="Q70" i="38" s="1"/>
  <c r="J70" i="38"/>
  <c r="P70" i="38" s="1"/>
  <c r="H68" i="38"/>
  <c r="N68" i="38" s="1"/>
  <c r="R66" i="38"/>
  <c r="T357" i="38" s="1"/>
  <c r="L66" i="38"/>
  <c r="M357" i="38" s="1"/>
  <c r="F66" i="38"/>
  <c r="F357" i="38" s="1"/>
  <c r="R65" i="38"/>
  <c r="T336" i="38" s="1"/>
  <c r="L65" i="38"/>
  <c r="M336" i="38" s="1"/>
  <c r="F65" i="38"/>
  <c r="F336" i="38" s="1"/>
  <c r="R64" i="38"/>
  <c r="T315" i="38" s="1"/>
  <c r="L64" i="38"/>
  <c r="M315" i="38" s="1"/>
  <c r="F64" i="38"/>
  <c r="F315" i="38" s="1"/>
  <c r="R63" i="38"/>
  <c r="T294" i="38" s="1"/>
  <c r="L63" i="38"/>
  <c r="M294" i="38" s="1"/>
  <c r="F63" i="38"/>
  <c r="F294" i="38" s="1"/>
  <c r="R62" i="38"/>
  <c r="T273" i="38" s="1"/>
  <c r="L62" i="38"/>
  <c r="M273" i="38" s="1"/>
  <c r="F62" i="38"/>
  <c r="F273" i="38" s="1"/>
  <c r="R61" i="38"/>
  <c r="T252" i="38" s="1"/>
  <c r="L61" i="38"/>
  <c r="M252" i="38" s="1"/>
  <c r="F61" i="38"/>
  <c r="F252" i="38" s="1"/>
  <c r="R60" i="38"/>
  <c r="T231" i="38" s="1"/>
  <c r="L60" i="38"/>
  <c r="M231" i="38" s="1"/>
  <c r="F60" i="38"/>
  <c r="F231" i="38" s="1"/>
  <c r="K59" i="38"/>
  <c r="Q59" i="38" s="1"/>
  <c r="J59" i="38"/>
  <c r="P59" i="38" s="1"/>
  <c r="H57" i="38"/>
  <c r="N57" i="38" s="1"/>
  <c r="R55" i="38"/>
  <c r="T356" i="38" s="1"/>
  <c r="L55" i="38"/>
  <c r="M356" i="38" s="1"/>
  <c r="F55" i="38"/>
  <c r="F356" i="38" s="1"/>
  <c r="R54" i="38"/>
  <c r="T335" i="38" s="1"/>
  <c r="L54" i="38"/>
  <c r="M335" i="38" s="1"/>
  <c r="F54" i="38"/>
  <c r="F335" i="38" s="1"/>
  <c r="R53" i="38"/>
  <c r="T314" i="38" s="1"/>
  <c r="L53" i="38"/>
  <c r="M314" i="38" s="1"/>
  <c r="F53" i="38"/>
  <c r="F314" i="38" s="1"/>
  <c r="R52" i="38"/>
  <c r="T293" i="38" s="1"/>
  <c r="L52" i="38"/>
  <c r="M293" i="38" s="1"/>
  <c r="F52" i="38"/>
  <c r="F293" i="38" s="1"/>
  <c r="R51" i="38"/>
  <c r="T272" i="38" s="1"/>
  <c r="L51" i="38"/>
  <c r="M272" i="38" s="1"/>
  <c r="F51" i="38"/>
  <c r="F272" i="38" s="1"/>
  <c r="R50" i="38"/>
  <c r="T251" i="38" s="1"/>
  <c r="L50" i="38"/>
  <c r="M251" i="38" s="1"/>
  <c r="F50" i="38"/>
  <c r="F251" i="38" s="1"/>
  <c r="R49" i="38"/>
  <c r="T230" i="38" s="1"/>
  <c r="L49" i="38"/>
  <c r="M230" i="38" s="1"/>
  <c r="F49" i="38"/>
  <c r="F230" i="38" s="1"/>
  <c r="K48" i="38"/>
  <c r="Q48" i="38" s="1"/>
  <c r="J48" i="38"/>
  <c r="P48" i="38" s="1"/>
  <c r="H46" i="38"/>
  <c r="N46" i="38" s="1"/>
  <c r="R44" i="38"/>
  <c r="T355" i="38" s="1"/>
  <c r="L44" i="38"/>
  <c r="M355" i="38" s="1"/>
  <c r="F44" i="38"/>
  <c r="F355" i="38" s="1"/>
  <c r="R43" i="38"/>
  <c r="T334" i="38" s="1"/>
  <c r="L43" i="38"/>
  <c r="M334" i="38" s="1"/>
  <c r="F43" i="38"/>
  <c r="F334" i="38" s="1"/>
  <c r="R42" i="38"/>
  <c r="T313" i="38" s="1"/>
  <c r="L42" i="38"/>
  <c r="M313" i="38" s="1"/>
  <c r="F42" i="38"/>
  <c r="F313" i="38" s="1"/>
  <c r="R41" i="38"/>
  <c r="T292" i="38" s="1"/>
  <c r="L41" i="38"/>
  <c r="M292" i="38" s="1"/>
  <c r="F41" i="38"/>
  <c r="F292" i="38" s="1"/>
  <c r="R40" i="38"/>
  <c r="T271" i="38" s="1"/>
  <c r="L40" i="38"/>
  <c r="M271" i="38" s="1"/>
  <c r="F40" i="38"/>
  <c r="F271" i="38" s="1"/>
  <c r="R39" i="38"/>
  <c r="T250" i="38" s="1"/>
  <c r="L39" i="38"/>
  <c r="M250" i="38" s="1"/>
  <c r="F39" i="38"/>
  <c r="F250" i="38" s="1"/>
  <c r="R38" i="38"/>
  <c r="T229" i="38" s="1"/>
  <c r="L38" i="38"/>
  <c r="M229" i="38" s="1"/>
  <c r="F38" i="38"/>
  <c r="F229" i="38" s="1"/>
  <c r="K37" i="38"/>
  <c r="Q37" i="38" s="1"/>
  <c r="J37" i="38"/>
  <c r="P37" i="38" s="1"/>
  <c r="H35" i="38"/>
  <c r="N35" i="38" s="1"/>
  <c r="R33" i="38"/>
  <c r="T354" i="38" s="1"/>
  <c r="L33" i="38"/>
  <c r="M354" i="38" s="1"/>
  <c r="F33" i="38"/>
  <c r="F354" i="38" s="1"/>
  <c r="R32" i="38"/>
  <c r="T333" i="38" s="1"/>
  <c r="L32" i="38"/>
  <c r="M333" i="38" s="1"/>
  <c r="F32" i="38"/>
  <c r="F333" i="38" s="1"/>
  <c r="R31" i="38"/>
  <c r="T312" i="38" s="1"/>
  <c r="L31" i="38"/>
  <c r="M312" i="38" s="1"/>
  <c r="F31" i="38"/>
  <c r="F312" i="38" s="1"/>
  <c r="R30" i="38"/>
  <c r="T291" i="38" s="1"/>
  <c r="L30" i="38"/>
  <c r="M291" i="38" s="1"/>
  <c r="F30" i="38"/>
  <c r="F291" i="38" s="1"/>
  <c r="R29" i="38"/>
  <c r="T270" i="38" s="1"/>
  <c r="L29" i="38"/>
  <c r="M270" i="38" s="1"/>
  <c r="F29" i="38"/>
  <c r="F270" i="38" s="1"/>
  <c r="R28" i="38"/>
  <c r="T249" i="38" s="1"/>
  <c r="L28" i="38"/>
  <c r="M249" i="38" s="1"/>
  <c r="F28" i="38"/>
  <c r="F249" i="38" s="1"/>
  <c r="R27" i="38"/>
  <c r="T228" i="38" s="1"/>
  <c r="L27" i="38"/>
  <c r="M228" i="38" s="1"/>
  <c r="F27" i="38"/>
  <c r="F228" i="38" s="1"/>
  <c r="K26" i="38"/>
  <c r="Q26" i="38" s="1"/>
  <c r="J26" i="38"/>
  <c r="P26" i="38" s="1"/>
  <c r="H24" i="38"/>
  <c r="N24" i="38" s="1"/>
  <c r="R22" i="38"/>
  <c r="T353" i="38" s="1"/>
  <c r="L22" i="38"/>
  <c r="M353" i="38" s="1"/>
  <c r="F22" i="38"/>
  <c r="F353" i="38" s="1"/>
  <c r="R21" i="38"/>
  <c r="T332" i="38" s="1"/>
  <c r="L21" i="38"/>
  <c r="M332" i="38" s="1"/>
  <c r="F21" i="38"/>
  <c r="F332" i="38" s="1"/>
  <c r="R20" i="38"/>
  <c r="T311" i="38" s="1"/>
  <c r="L20" i="38"/>
  <c r="F20" i="38"/>
  <c r="F311" i="38" s="1"/>
  <c r="R19" i="38"/>
  <c r="T290" i="38" s="1"/>
  <c r="L19" i="38"/>
  <c r="M290" i="38" s="1"/>
  <c r="F19" i="38"/>
  <c r="F290" i="38" s="1"/>
  <c r="R18" i="38"/>
  <c r="T269" i="38" s="1"/>
  <c r="L18" i="38"/>
  <c r="M269" i="38" s="1"/>
  <c r="F18" i="38"/>
  <c r="F269" i="38" s="1"/>
  <c r="R17" i="38"/>
  <c r="T248" i="38" s="1"/>
  <c r="L17" i="38"/>
  <c r="M248" i="38" s="1"/>
  <c r="F17" i="38"/>
  <c r="F248" i="38" s="1"/>
  <c r="R16" i="38"/>
  <c r="T227" i="38" s="1"/>
  <c r="L16" i="38"/>
  <c r="M227" i="38" s="1"/>
  <c r="F16" i="38"/>
  <c r="F227" i="38" s="1"/>
  <c r="K15" i="38"/>
  <c r="Q15" i="38" s="1"/>
  <c r="J15" i="38"/>
  <c r="P15" i="38" s="1"/>
  <c r="H13" i="38"/>
  <c r="N13" i="38" s="1"/>
  <c r="R11" i="38"/>
  <c r="T352" i="38" s="1"/>
  <c r="L11" i="38"/>
  <c r="M352" i="38" s="1"/>
  <c r="F11" i="38"/>
  <c r="F352" i="38" s="1"/>
  <c r="R10" i="38"/>
  <c r="T331" i="38" s="1"/>
  <c r="L10" i="38"/>
  <c r="M331" i="38" s="1"/>
  <c r="F10" i="38"/>
  <c r="F331" i="38" s="1"/>
  <c r="R9" i="38"/>
  <c r="T310" i="38" s="1"/>
  <c r="L9" i="38"/>
  <c r="F9" i="38"/>
  <c r="F310" i="38" s="1"/>
  <c r="R8" i="38"/>
  <c r="T289" i="38" s="1"/>
  <c r="L8" i="38"/>
  <c r="M289" i="38" s="1"/>
  <c r="F8" i="38"/>
  <c r="F289" i="38" s="1"/>
  <c r="R7" i="38"/>
  <c r="T268" i="38" s="1"/>
  <c r="L7" i="38"/>
  <c r="M268" i="38" s="1"/>
  <c r="F7" i="38"/>
  <c r="F268" i="38" s="1"/>
  <c r="R6" i="38"/>
  <c r="T247" i="38" s="1"/>
  <c r="L6" i="38"/>
  <c r="M247" i="38" s="1"/>
  <c r="F6" i="38"/>
  <c r="F247" i="38" s="1"/>
  <c r="R5" i="38"/>
  <c r="T226" i="38" s="1"/>
  <c r="L5" i="38"/>
  <c r="M226" i="38" s="1"/>
  <c r="F5" i="38"/>
  <c r="F226" i="38" s="1"/>
  <c r="K4" i="38"/>
  <c r="Q4" i="38" s="1"/>
  <c r="J4" i="38"/>
  <c r="P4" i="38" s="1"/>
  <c r="H2" i="38"/>
  <c r="N2" i="38" s="1"/>
  <c r="C375" i="38" l="1"/>
  <c r="H375" i="38" s="1"/>
  <c r="M375" i="38" s="1"/>
  <c r="G373" i="38"/>
  <c r="L373" i="38" s="1"/>
  <c r="B375" i="38"/>
  <c r="G375" i="38" s="1"/>
  <c r="L375" i="38" s="1"/>
  <c r="C382" i="38"/>
  <c r="D381" i="38"/>
  <c r="D380" i="38"/>
  <c r="D377" i="38"/>
  <c r="D376" i="38"/>
  <c r="B382" i="38"/>
  <c r="C381" i="38"/>
  <c r="C380" i="38"/>
  <c r="C379" i="38"/>
  <c r="C378" i="38"/>
  <c r="C377" i="38"/>
  <c r="C376" i="38"/>
  <c r="A382" i="38"/>
  <c r="B381" i="38"/>
  <c r="B380" i="38"/>
  <c r="B379" i="38"/>
  <c r="B378" i="38"/>
  <c r="B377" i="38"/>
  <c r="B376" i="38"/>
  <c r="A377" i="38"/>
  <c r="A380" i="38"/>
  <c r="F373" i="38"/>
  <c r="D382" i="38"/>
  <c r="A381" i="38"/>
  <c r="A379" i="38"/>
  <c r="P373" i="38"/>
  <c r="A378" i="38"/>
  <c r="A376" i="38"/>
  <c r="M302" i="38"/>
  <c r="M281" i="38"/>
  <c r="F286" i="38"/>
  <c r="D378" i="38" s="1"/>
  <c r="F285" i="38"/>
  <c r="M311" i="38"/>
  <c r="M310" i="38"/>
  <c r="F302" i="38"/>
  <c r="D379" i="38" s="1"/>
  <c r="F301" i="38"/>
  <c r="K386" i="38"/>
  <c r="A386" i="38"/>
  <c r="F386" i="38"/>
  <c r="T378" i="38" l="1"/>
  <c r="N394" i="38" s="1"/>
  <c r="F15" i="29" s="1"/>
  <c r="T377" i="38"/>
  <c r="N393" i="38" s="1"/>
  <c r="T379" i="38"/>
  <c r="N395" i="38" s="1"/>
  <c r="E386" i="38"/>
  <c r="R377" i="38" s="1"/>
  <c r="M393" i="38" s="1"/>
  <c r="D14" i="29" s="1"/>
  <c r="Q373" i="38"/>
  <c r="H382" i="38"/>
  <c r="I381" i="38"/>
  <c r="I380" i="38"/>
  <c r="I379" i="38"/>
  <c r="I378" i="38"/>
  <c r="I377" i="38"/>
  <c r="I376" i="38"/>
  <c r="G382" i="38"/>
  <c r="H381" i="38"/>
  <c r="H380" i="38"/>
  <c r="H379" i="38"/>
  <c r="H378" i="38"/>
  <c r="H377" i="38"/>
  <c r="H376" i="38"/>
  <c r="F382" i="38"/>
  <c r="G381" i="38"/>
  <c r="G380" i="38"/>
  <c r="G379" i="38"/>
  <c r="G378" i="38"/>
  <c r="G377" i="38"/>
  <c r="G376" i="38"/>
  <c r="F380" i="38"/>
  <c r="I382" i="38"/>
  <c r="F381" i="38"/>
  <c r="F379" i="38"/>
  <c r="F378" i="38"/>
  <c r="F376" i="38"/>
  <c r="F377" i="38"/>
  <c r="K373" i="38"/>
  <c r="F14" i="29" l="1"/>
  <c r="J386" i="38"/>
  <c r="R378" i="38" s="1"/>
  <c r="H14" i="13"/>
  <c r="M382" i="38"/>
  <c r="N381" i="38"/>
  <c r="N380" i="38"/>
  <c r="N379" i="38"/>
  <c r="N378" i="38"/>
  <c r="N377" i="38"/>
  <c r="N376" i="38"/>
  <c r="L382" i="38"/>
  <c r="M381" i="38"/>
  <c r="M380" i="38"/>
  <c r="M379" i="38"/>
  <c r="M378" i="38"/>
  <c r="M377" i="38"/>
  <c r="M376" i="38"/>
  <c r="K382" i="38"/>
  <c r="L381" i="38"/>
  <c r="L380" i="38"/>
  <c r="L379" i="38"/>
  <c r="L378" i="38"/>
  <c r="L377" i="38"/>
  <c r="L376" i="38"/>
  <c r="N382" i="38"/>
  <c r="K381" i="38"/>
  <c r="K379" i="38"/>
  <c r="K378" i="38"/>
  <c r="K376" i="38"/>
  <c r="K377" i="38"/>
  <c r="K380" i="38"/>
  <c r="Q381" i="38" l="1"/>
  <c r="D14" i="4" s="1"/>
  <c r="M394" i="38"/>
  <c r="D15" i="29" s="1"/>
  <c r="J25" i="4" l="1"/>
  <c r="Q382" i="38"/>
  <c r="D15" i="4" s="1"/>
  <c r="R379" i="38"/>
  <c r="M395" i="38" s="1"/>
  <c r="Q383" i="38" s="1"/>
  <c r="H15" i="13"/>
  <c r="D8" i="4" l="1"/>
  <c r="E57" i="34" l="1"/>
  <c r="A288" i="34"/>
  <c r="S159" i="34"/>
  <c r="S164" i="34" s="1"/>
  <c r="S168" i="34" s="1"/>
  <c r="S171" i="34" s="1"/>
  <c r="K159" i="34"/>
  <c r="K164" i="34" s="1"/>
  <c r="K168" i="34" s="1"/>
  <c r="K171" i="34" s="1"/>
  <c r="C159" i="34"/>
  <c r="C164" i="34" s="1"/>
  <c r="C168" i="34" s="1"/>
  <c r="C171" i="34" s="1"/>
  <c r="S130" i="34"/>
  <c r="S135" i="34" s="1"/>
  <c r="S139" i="34" s="1"/>
  <c r="S142" i="34" s="1"/>
  <c r="K130" i="34"/>
  <c r="K135" i="34" s="1"/>
  <c r="K139" i="34" s="1"/>
  <c r="K142" i="34" s="1"/>
  <c r="C130" i="34"/>
  <c r="C135" i="34" s="1"/>
  <c r="C139" i="34" s="1"/>
  <c r="C142" i="34" s="1"/>
  <c r="S101" i="34"/>
  <c r="S106" i="34" s="1"/>
  <c r="S110" i="34" s="1"/>
  <c r="S113" i="34" s="1"/>
  <c r="K101" i="34"/>
  <c r="K106" i="34" s="1"/>
  <c r="K110" i="34" s="1"/>
  <c r="K113" i="34" s="1"/>
  <c r="C101" i="34"/>
  <c r="C106" i="34" s="1"/>
  <c r="C110" i="34" s="1"/>
  <c r="C113" i="34" s="1"/>
  <c r="C72" i="34"/>
  <c r="C77" i="34" s="1"/>
  <c r="C81" i="34" s="1"/>
  <c r="C84" i="34" s="1"/>
  <c r="K72" i="34"/>
  <c r="K77" i="34" s="1"/>
  <c r="K81" i="34" s="1"/>
  <c r="K84" i="34" s="1"/>
  <c r="S72" i="34"/>
  <c r="S77" i="34" s="1"/>
  <c r="S81" i="34" s="1"/>
  <c r="S84" i="34" s="1"/>
  <c r="S43" i="34"/>
  <c r="S48" i="34" s="1"/>
  <c r="S52" i="34" s="1"/>
  <c r="S55" i="34" s="1"/>
  <c r="K43" i="34"/>
  <c r="K48" i="34" s="1"/>
  <c r="K52" i="34" s="1"/>
  <c r="K55" i="34" s="1"/>
  <c r="C43" i="34"/>
  <c r="C48" i="34" s="1"/>
  <c r="C52" i="34" s="1"/>
  <c r="C55" i="34" s="1"/>
  <c r="S14" i="34"/>
  <c r="S19" i="34" s="1"/>
  <c r="S23" i="34" s="1"/>
  <c r="S26" i="34" s="1"/>
  <c r="K14" i="34"/>
  <c r="K19" i="34" s="1"/>
  <c r="K23" i="34" s="1"/>
  <c r="K26" i="34" s="1"/>
  <c r="C14" i="34"/>
  <c r="C19" i="34" s="1"/>
  <c r="C23" i="34" s="1"/>
  <c r="A238" i="34" l="1"/>
  <c r="E239" i="34"/>
  <c r="B241" i="34"/>
  <c r="F241" i="34"/>
  <c r="D243" i="34"/>
  <c r="C244" i="34"/>
  <c r="B245" i="34"/>
  <c r="F245" i="34"/>
  <c r="F248" i="34"/>
  <c r="D250" i="34"/>
  <c r="C251" i="34"/>
  <c r="B252" i="34"/>
  <c r="C253" i="34"/>
  <c r="B254" i="34"/>
  <c r="F254" i="34"/>
  <c r="F256" i="34"/>
  <c r="E257" i="34"/>
  <c r="I257" i="34" s="1"/>
  <c r="D258" i="34"/>
  <c r="E259" i="34"/>
  <c r="C261" i="34"/>
  <c r="B262" i="34"/>
  <c r="F262" i="34"/>
  <c r="D264" i="34"/>
  <c r="C265" i="34"/>
  <c r="B266" i="34"/>
  <c r="F266" i="34"/>
  <c r="E267" i="34"/>
  <c r="I267" i="34" s="1"/>
  <c r="A241" i="34"/>
  <c r="A245" i="34"/>
  <c r="G245" i="34" s="1"/>
  <c r="A250" i="34"/>
  <c r="A254" i="34"/>
  <c r="A258" i="34"/>
  <c r="A262" i="34"/>
  <c r="A266" i="34"/>
  <c r="D242" i="34"/>
  <c r="F253" i="34"/>
  <c r="C258" i="34"/>
  <c r="B265" i="34"/>
  <c r="A240" i="34"/>
  <c r="A261" i="34"/>
  <c r="F239" i="34"/>
  <c r="C241" i="34"/>
  <c r="B242" i="34"/>
  <c r="F242" i="34"/>
  <c r="D244" i="34"/>
  <c r="C245" i="34"/>
  <c r="B247" i="34"/>
  <c r="C248" i="34"/>
  <c r="B249" i="34"/>
  <c r="F249" i="34"/>
  <c r="D251" i="34"/>
  <c r="E252" i="34"/>
  <c r="C254" i="34"/>
  <c r="B255" i="34"/>
  <c r="F255" i="34"/>
  <c r="F257" i="34"/>
  <c r="F259" i="34"/>
  <c r="E260" i="34"/>
  <c r="I260" i="34" s="1"/>
  <c r="D261" i="34"/>
  <c r="C262" i="34"/>
  <c r="B263" i="34"/>
  <c r="F263" i="34"/>
  <c r="D265" i="34"/>
  <c r="C266" i="34"/>
  <c r="B267" i="34"/>
  <c r="F267" i="34"/>
  <c r="A242" i="34"/>
  <c r="G242" i="34" s="1"/>
  <c r="A247" i="34"/>
  <c r="A251" i="34"/>
  <c r="A255" i="34"/>
  <c r="A259" i="34"/>
  <c r="A263" i="34"/>
  <c r="A267" i="34"/>
  <c r="E241" i="34"/>
  <c r="C243" i="34"/>
  <c r="F244" i="34"/>
  <c r="F247" i="34"/>
  <c r="D249" i="34"/>
  <c r="B251" i="34"/>
  <c r="D255" i="34"/>
  <c r="B259" i="34"/>
  <c r="F261" i="34"/>
  <c r="D263" i="34"/>
  <c r="E266" i="34"/>
  <c r="I266" i="34" s="1"/>
  <c r="A244" i="34"/>
  <c r="G244" i="34" s="1"/>
  <c r="A253" i="34"/>
  <c r="A265" i="34"/>
  <c r="B240" i="34"/>
  <c r="D241" i="34"/>
  <c r="C242" i="34"/>
  <c r="B243" i="34"/>
  <c r="F243" i="34"/>
  <c r="D245" i="34"/>
  <c r="E247" i="34"/>
  <c r="C249" i="34"/>
  <c r="B250" i="34"/>
  <c r="F250" i="34"/>
  <c r="F252" i="34"/>
  <c r="E253" i="34"/>
  <c r="I253" i="34" s="1"/>
  <c r="D254" i="34"/>
  <c r="C255" i="34"/>
  <c r="B256" i="34"/>
  <c r="C257" i="34"/>
  <c r="B258" i="34"/>
  <c r="F258" i="34"/>
  <c r="F260" i="34"/>
  <c r="D262" i="34"/>
  <c r="C263" i="34"/>
  <c r="B264" i="34"/>
  <c r="F264" i="34"/>
  <c r="D266" i="34"/>
  <c r="C267" i="34"/>
  <c r="A239" i="34"/>
  <c r="A243" i="34"/>
  <c r="G243" i="34" s="1"/>
  <c r="A248" i="34"/>
  <c r="A252" i="34"/>
  <c r="A256" i="34"/>
  <c r="A260" i="34"/>
  <c r="A264" i="34"/>
  <c r="F240" i="34"/>
  <c r="B244" i="34"/>
  <c r="E248" i="34"/>
  <c r="C250" i="34"/>
  <c r="F251" i="34"/>
  <c r="E256" i="34"/>
  <c r="C260" i="34"/>
  <c r="B261" i="34"/>
  <c r="C264" i="34"/>
  <c r="F265" i="34"/>
  <c r="D267" i="34"/>
  <c r="A249" i="34"/>
  <c r="A257" i="34"/>
  <c r="D7" i="29" l="1"/>
  <c r="A116" i="27" l="1"/>
  <c r="A7" i="13"/>
  <c r="A7" i="4" s="1"/>
  <c r="A7" i="29" s="1"/>
  <c r="D71" i="13" l="1"/>
  <c r="D72" i="13"/>
  <c r="D73" i="13"/>
  <c r="D70" i="13"/>
  <c r="X16" i="35" l="1"/>
  <c r="D36" i="35" s="1"/>
  <c r="D35" i="35"/>
  <c r="B16" i="35"/>
  <c r="J55" i="13" l="1"/>
  <c r="J56" i="13"/>
  <c r="J57" i="13"/>
  <c r="J58" i="13"/>
  <c r="J59" i="13"/>
  <c r="J60" i="13"/>
  <c r="J61" i="13"/>
  <c r="J54" i="13"/>
  <c r="H55" i="13"/>
  <c r="H56" i="13"/>
  <c r="H57" i="13"/>
  <c r="H58" i="13"/>
  <c r="H59" i="13"/>
  <c r="H60" i="13"/>
  <c r="H61" i="13"/>
  <c r="H54" i="13"/>
  <c r="X20" i="35"/>
  <c r="D34" i="35" s="1"/>
  <c r="X19" i="35"/>
  <c r="D33" i="35" s="1"/>
  <c r="X18" i="35"/>
  <c r="D32" i="35" s="1"/>
  <c r="O124" i="12"/>
  <c r="X17" i="35"/>
  <c r="D31" i="35" s="1"/>
  <c r="Q114" i="12"/>
  <c r="Q90" i="12"/>
  <c r="Q102" i="12"/>
  <c r="Q78" i="12"/>
  <c r="E138" i="12"/>
  <c r="D54" i="13"/>
  <c r="E126" i="12"/>
  <c r="E114" i="12"/>
  <c r="E102" i="12"/>
  <c r="E90" i="12"/>
  <c r="E78" i="12" l="1"/>
  <c r="C76" i="12"/>
  <c r="D112" i="4" l="1"/>
  <c r="I25" i="29"/>
  <c r="C45" i="29" l="1"/>
  <c r="C36" i="29"/>
  <c r="B91" i="29" s="1"/>
  <c r="D91" i="12"/>
  <c r="A10" i="4"/>
  <c r="A10" i="29" s="1"/>
  <c r="A11" i="4"/>
  <c r="A11" i="29" s="1"/>
  <c r="J27" i="35" l="1"/>
  <c r="A113" i="27"/>
  <c r="J114" i="27"/>
  <c r="J115" i="27"/>
  <c r="J116" i="27"/>
  <c r="J117" i="27"/>
  <c r="J118" i="27"/>
  <c r="J119" i="27"/>
  <c r="J120" i="27"/>
  <c r="J121" i="27"/>
  <c r="J122" i="27"/>
  <c r="J123" i="27"/>
  <c r="J124" i="27"/>
  <c r="J125" i="27"/>
  <c r="J126" i="27"/>
  <c r="J127" i="27"/>
  <c r="J128" i="27"/>
  <c r="J129" i="27"/>
  <c r="J130" i="27"/>
  <c r="J131" i="27"/>
  <c r="A131" i="27"/>
  <c r="I131" i="27"/>
  <c r="I130" i="27"/>
  <c r="I129" i="27"/>
  <c r="I128" i="27"/>
  <c r="I127" i="27"/>
  <c r="I126" i="27"/>
  <c r="I125" i="27"/>
  <c r="I124" i="27"/>
  <c r="I123" i="27"/>
  <c r="I122" i="27"/>
  <c r="I121" i="27"/>
  <c r="I120" i="27"/>
  <c r="I119" i="27"/>
  <c r="I118" i="27"/>
  <c r="I117" i="27"/>
  <c r="I116" i="27"/>
  <c r="I115" i="27"/>
  <c r="I114" i="27"/>
  <c r="A130" i="27"/>
  <c r="A129" i="27"/>
  <c r="A128" i="27"/>
  <c r="A127" i="27"/>
  <c r="A126" i="27"/>
  <c r="A125" i="27"/>
  <c r="A124" i="27"/>
  <c r="A123" i="27"/>
  <c r="A122" i="27"/>
  <c r="A121" i="27"/>
  <c r="A120" i="27"/>
  <c r="A119" i="27"/>
  <c r="A118" i="27"/>
  <c r="A117" i="27"/>
  <c r="A115" i="27"/>
  <c r="A114" i="27"/>
  <c r="A106" i="28"/>
  <c r="H107" i="28"/>
  <c r="H108" i="28"/>
  <c r="H109" i="28"/>
  <c r="H110" i="28"/>
  <c r="H111" i="28"/>
  <c r="H112" i="28"/>
  <c r="H113" i="28"/>
  <c r="H114" i="28"/>
  <c r="H115" i="28"/>
  <c r="H116" i="28"/>
  <c r="H117" i="28"/>
  <c r="H118" i="28"/>
  <c r="H119" i="28"/>
  <c r="H120" i="28"/>
  <c r="H121" i="28"/>
  <c r="G121" i="28"/>
  <c r="G120" i="28"/>
  <c r="G119" i="28"/>
  <c r="G118" i="28"/>
  <c r="G117" i="28"/>
  <c r="G116" i="28"/>
  <c r="G115" i="28"/>
  <c r="G114" i="28"/>
  <c r="G113" i="28"/>
  <c r="G112" i="28"/>
  <c r="G111" i="28"/>
  <c r="G110" i="28"/>
  <c r="G109" i="28"/>
  <c r="G108" i="28"/>
  <c r="G107" i="28"/>
  <c r="B96" i="27" l="1"/>
  <c r="C97" i="27"/>
  <c r="B98" i="27"/>
  <c r="F98" i="27"/>
  <c r="D100" i="27"/>
  <c r="C101" i="27"/>
  <c r="B102" i="27"/>
  <c r="F102" i="27"/>
  <c r="D104" i="27"/>
  <c r="C105" i="27"/>
  <c r="A94" i="27"/>
  <c r="A98" i="27"/>
  <c r="A102" i="27"/>
  <c r="F97" i="27"/>
  <c r="C100" i="27"/>
  <c r="F101" i="27"/>
  <c r="D103" i="27"/>
  <c r="B105" i="27"/>
  <c r="A97" i="27"/>
  <c r="E94" i="27"/>
  <c r="C96" i="27"/>
  <c r="D97" i="27"/>
  <c r="C98" i="27"/>
  <c r="B99" i="27"/>
  <c r="F99" i="27"/>
  <c r="D101" i="27"/>
  <c r="C102" i="27"/>
  <c r="B103" i="27"/>
  <c r="F103" i="27"/>
  <c r="D105" i="27"/>
  <c r="A95" i="27"/>
  <c r="A99" i="27"/>
  <c r="A103" i="27"/>
  <c r="B97" i="27"/>
  <c r="A101" i="27"/>
  <c r="F94" i="27"/>
  <c r="D96" i="27"/>
  <c r="D98" i="27"/>
  <c r="C99" i="27"/>
  <c r="B100" i="27"/>
  <c r="F100" i="27"/>
  <c r="D102" i="27"/>
  <c r="C103" i="27"/>
  <c r="B104" i="27"/>
  <c r="F104" i="27"/>
  <c r="E105" i="27"/>
  <c r="A96" i="27"/>
  <c r="A100" i="27"/>
  <c r="A104" i="27"/>
  <c r="B95" i="27"/>
  <c r="D99" i="27"/>
  <c r="B101" i="27"/>
  <c r="C104" i="27"/>
  <c r="F105" i="27"/>
  <c r="A93" i="27"/>
  <c r="M132" i="27"/>
  <c r="A133" i="27" s="1"/>
  <c r="B82" i="13" s="1"/>
  <c r="K132" i="27"/>
  <c r="A132" i="27"/>
  <c r="S72" i="28" l="1"/>
  <c r="A121" i="28"/>
  <c r="A120" i="28"/>
  <c r="A119" i="28"/>
  <c r="A116" i="28"/>
  <c r="A115" i="28"/>
  <c r="A114" i="28"/>
  <c r="A112" i="28"/>
  <c r="A110" i="28"/>
  <c r="A109" i="28"/>
  <c r="A122" i="28" s="1"/>
  <c r="K122" i="28" s="1"/>
  <c r="Q271" i="34" l="1"/>
  <c r="Q272" i="34"/>
  <c r="Q273" i="34"/>
  <c r="Q274" i="34"/>
  <c r="Q280" i="34"/>
  <c r="Q281" i="34"/>
  <c r="Q282" i="34"/>
  <c r="Q283" i="34"/>
  <c r="W39" i="12"/>
  <c r="N30" i="12"/>
  <c r="N31" i="12" s="1"/>
  <c r="N32" i="12" s="1"/>
  <c r="N33" i="12" s="1"/>
  <c r="W27" i="12"/>
  <c r="N18" i="12"/>
  <c r="N19" i="12" s="1"/>
  <c r="N20" i="12" s="1"/>
  <c r="N21" i="12" s="1"/>
  <c r="W15" i="12"/>
  <c r="N6" i="12"/>
  <c r="N7" i="12" s="1"/>
  <c r="N8" i="12" s="1"/>
  <c r="N9" i="12" s="1"/>
  <c r="K63" i="12"/>
  <c r="B54" i="12"/>
  <c r="B55" i="12" s="1"/>
  <c r="B56" i="12" s="1"/>
  <c r="B57" i="12" s="1"/>
  <c r="Q6" i="12"/>
  <c r="Q18" i="12"/>
  <c r="Q30" i="12"/>
  <c r="E54" i="12"/>
  <c r="K39" i="12"/>
  <c r="B30" i="12"/>
  <c r="B31" i="12" s="1"/>
  <c r="B32" i="12" s="1"/>
  <c r="B33" i="12" s="1"/>
  <c r="E42" i="12" l="1"/>
  <c r="E30" i="12"/>
  <c r="E18" i="12"/>
  <c r="E6" i="12"/>
  <c r="A313" i="34"/>
  <c r="J289" i="34"/>
  <c r="J290" i="34"/>
  <c r="J291" i="34"/>
  <c r="J292" i="34"/>
  <c r="J293" i="34"/>
  <c r="J294" i="34"/>
  <c r="J295" i="34"/>
  <c r="J296" i="34"/>
  <c r="J297" i="34"/>
  <c r="J298" i="34"/>
  <c r="J299" i="34"/>
  <c r="J300" i="34"/>
  <c r="J301" i="34"/>
  <c r="J302" i="34"/>
  <c r="J303" i="34"/>
  <c r="J304" i="34"/>
  <c r="J305" i="34"/>
  <c r="J306" i="34"/>
  <c r="J307" i="34"/>
  <c r="J308" i="34"/>
  <c r="J309" i="34"/>
  <c r="J310" i="34"/>
  <c r="J311" i="34"/>
  <c r="J312" i="34"/>
  <c r="I289" i="34"/>
  <c r="I290" i="34"/>
  <c r="I291" i="34"/>
  <c r="I292" i="34"/>
  <c r="I293" i="34"/>
  <c r="I294" i="34"/>
  <c r="I295" i="34"/>
  <c r="I296" i="34"/>
  <c r="I297" i="34"/>
  <c r="I298" i="34"/>
  <c r="I299" i="34"/>
  <c r="I300" i="34"/>
  <c r="I301" i="34"/>
  <c r="I302" i="34"/>
  <c r="I303" i="34"/>
  <c r="I304" i="34"/>
  <c r="I305" i="34"/>
  <c r="I306" i="34"/>
  <c r="I307" i="34"/>
  <c r="I308" i="34"/>
  <c r="I309" i="34"/>
  <c r="I310" i="34"/>
  <c r="I311" i="34"/>
  <c r="I312" i="34"/>
  <c r="U176" i="34"/>
  <c r="U175" i="34"/>
  <c r="U174" i="34"/>
  <c r="U173" i="34"/>
  <c r="U172" i="34"/>
  <c r="U169" i="34"/>
  <c r="U166" i="34"/>
  <c r="U165" i="34"/>
  <c r="U162" i="34"/>
  <c r="U161" i="34"/>
  <c r="U160" i="34"/>
  <c r="T159" i="34"/>
  <c r="T164" i="34" s="1"/>
  <c r="T168" i="34" s="1"/>
  <c r="T171" i="34" s="1"/>
  <c r="R159" i="34"/>
  <c r="R164" i="34" s="1"/>
  <c r="R168" i="34" s="1"/>
  <c r="R171" i="34" s="1"/>
  <c r="U157" i="34"/>
  <c r="U156" i="34"/>
  <c r="U155" i="34"/>
  <c r="U154" i="34"/>
  <c r="M176" i="34"/>
  <c r="M175" i="34"/>
  <c r="M174" i="34"/>
  <c r="M173" i="34"/>
  <c r="M172" i="34"/>
  <c r="M169" i="34"/>
  <c r="M166" i="34"/>
  <c r="M165" i="34"/>
  <c r="L159" i="34"/>
  <c r="L164" i="34" s="1"/>
  <c r="L168" i="34" s="1"/>
  <c r="L171" i="34" s="1"/>
  <c r="J159" i="34"/>
  <c r="J164" i="34" s="1"/>
  <c r="J168" i="34" s="1"/>
  <c r="J171" i="34" s="1"/>
  <c r="M157" i="34"/>
  <c r="M156" i="34"/>
  <c r="M155" i="34"/>
  <c r="M154" i="34"/>
  <c r="E176" i="34"/>
  <c r="E175" i="34"/>
  <c r="E174" i="34"/>
  <c r="E173" i="34"/>
  <c r="E172" i="34"/>
  <c r="E169" i="34"/>
  <c r="E166" i="34"/>
  <c r="E165" i="34"/>
  <c r="E162" i="34"/>
  <c r="E161" i="34"/>
  <c r="E160" i="34"/>
  <c r="D159" i="34"/>
  <c r="D164" i="34" s="1"/>
  <c r="D168" i="34" s="1"/>
  <c r="D171" i="34" s="1"/>
  <c r="B159" i="34"/>
  <c r="B164" i="34" s="1"/>
  <c r="B168" i="34" s="1"/>
  <c r="B171" i="34" s="1"/>
  <c r="E157" i="34"/>
  <c r="E156" i="34"/>
  <c r="E155" i="34"/>
  <c r="E154" i="34"/>
  <c r="U147" i="34"/>
  <c r="U146" i="34"/>
  <c r="U145" i="34"/>
  <c r="U144" i="34"/>
  <c r="U143" i="34"/>
  <c r="U140" i="34"/>
  <c r="U137" i="34"/>
  <c r="U136" i="34"/>
  <c r="U133" i="34"/>
  <c r="U132" i="34"/>
  <c r="U131" i="34"/>
  <c r="T130" i="34"/>
  <c r="T135" i="34" s="1"/>
  <c r="T139" i="34" s="1"/>
  <c r="T142" i="34" s="1"/>
  <c r="R130" i="34"/>
  <c r="R135" i="34" s="1"/>
  <c r="R139" i="34" s="1"/>
  <c r="R142" i="34" s="1"/>
  <c r="U128" i="34"/>
  <c r="U127" i="34"/>
  <c r="U126" i="34"/>
  <c r="U125" i="34"/>
  <c r="M147" i="34"/>
  <c r="M146" i="34"/>
  <c r="M145" i="34"/>
  <c r="M144" i="34"/>
  <c r="M143" i="34"/>
  <c r="M140" i="34"/>
  <c r="M137" i="34"/>
  <c r="M136" i="34"/>
  <c r="M133" i="34"/>
  <c r="M132" i="34"/>
  <c r="M131" i="34"/>
  <c r="L130" i="34"/>
  <c r="L135" i="34" s="1"/>
  <c r="L139" i="34" s="1"/>
  <c r="L142" i="34" s="1"/>
  <c r="J130" i="34"/>
  <c r="J135" i="34" s="1"/>
  <c r="J139" i="34" s="1"/>
  <c r="J142" i="34" s="1"/>
  <c r="M128" i="34"/>
  <c r="M127" i="34"/>
  <c r="M126" i="34"/>
  <c r="M125" i="34"/>
  <c r="E147" i="34"/>
  <c r="E146" i="34"/>
  <c r="E145" i="34"/>
  <c r="E144" i="34"/>
  <c r="E143" i="34"/>
  <c r="D130" i="34"/>
  <c r="D135" i="34" s="1"/>
  <c r="D139" i="34" s="1"/>
  <c r="D142" i="34" s="1"/>
  <c r="B130" i="34"/>
  <c r="B135" i="34" s="1"/>
  <c r="B139" i="34" s="1"/>
  <c r="B142" i="34" s="1"/>
  <c r="U118" i="34"/>
  <c r="U117" i="34"/>
  <c r="U116" i="34"/>
  <c r="U115" i="34"/>
  <c r="U114" i="34"/>
  <c r="T101" i="34"/>
  <c r="T106" i="34" s="1"/>
  <c r="T110" i="34" s="1"/>
  <c r="T113" i="34" s="1"/>
  <c r="R101" i="34"/>
  <c r="R106" i="34" s="1"/>
  <c r="R110" i="34" s="1"/>
  <c r="R113" i="34" s="1"/>
  <c r="M118" i="34"/>
  <c r="M117" i="34"/>
  <c r="M116" i="34"/>
  <c r="M115" i="34"/>
  <c r="M114" i="34"/>
  <c r="L101" i="34"/>
  <c r="L106" i="34" s="1"/>
  <c r="L110" i="34" s="1"/>
  <c r="L113" i="34" s="1"/>
  <c r="J101" i="34"/>
  <c r="J106" i="34" s="1"/>
  <c r="J110" i="34" s="1"/>
  <c r="J113" i="34" s="1"/>
  <c r="E118" i="34"/>
  <c r="E117" i="34"/>
  <c r="E116" i="34"/>
  <c r="E115" i="34"/>
  <c r="E114" i="34"/>
  <c r="D101" i="34"/>
  <c r="D106" i="34" s="1"/>
  <c r="D110" i="34" s="1"/>
  <c r="D113" i="34" s="1"/>
  <c r="B101" i="34"/>
  <c r="B106" i="34" s="1"/>
  <c r="B110" i="34" s="1"/>
  <c r="B113" i="34" s="1"/>
  <c r="U89" i="34"/>
  <c r="U88" i="34"/>
  <c r="U87" i="34"/>
  <c r="U86" i="34"/>
  <c r="U85" i="34"/>
  <c r="T72" i="34"/>
  <c r="R72" i="34"/>
  <c r="M89" i="34"/>
  <c r="M88" i="34"/>
  <c r="M87" i="34"/>
  <c r="M86" i="34"/>
  <c r="M85" i="34"/>
  <c r="L72" i="34"/>
  <c r="L77" i="34" s="1"/>
  <c r="L81" i="34" s="1"/>
  <c r="L84" i="34" s="1"/>
  <c r="J72" i="34"/>
  <c r="J77" i="34" s="1"/>
  <c r="J81" i="34" s="1"/>
  <c r="J84" i="34" s="1"/>
  <c r="E89" i="34"/>
  <c r="E88" i="34"/>
  <c r="E87" i="34"/>
  <c r="E86" i="34"/>
  <c r="E85" i="34"/>
  <c r="D72" i="34"/>
  <c r="D77" i="34" s="1"/>
  <c r="D81" i="34" s="1"/>
  <c r="D84" i="34" s="1"/>
  <c r="B72" i="34"/>
  <c r="B77" i="34" s="1"/>
  <c r="B81" i="34" s="1"/>
  <c r="B84" i="34" s="1"/>
  <c r="U60" i="34"/>
  <c r="U59" i="34"/>
  <c r="U58" i="34"/>
  <c r="U57" i="34"/>
  <c r="U56" i="34"/>
  <c r="T43" i="34"/>
  <c r="R43" i="34"/>
  <c r="M60" i="34"/>
  <c r="M59" i="34"/>
  <c r="M58" i="34"/>
  <c r="M57" i="34"/>
  <c r="M56" i="34"/>
  <c r="L43" i="34"/>
  <c r="L48" i="34" s="1"/>
  <c r="L52" i="34" s="1"/>
  <c r="L55" i="34" s="1"/>
  <c r="J43" i="34"/>
  <c r="J48" i="34" s="1"/>
  <c r="J52" i="34" s="1"/>
  <c r="J55" i="34" s="1"/>
  <c r="D43" i="34"/>
  <c r="D48" i="34" s="1"/>
  <c r="D52" i="34" s="1"/>
  <c r="D55" i="34" s="1"/>
  <c r="B43" i="34"/>
  <c r="B48" i="34" s="1"/>
  <c r="B52" i="34" s="1"/>
  <c r="B55" i="34" s="1"/>
  <c r="E60" i="34"/>
  <c r="E59" i="34"/>
  <c r="E58" i="34"/>
  <c r="E56" i="34"/>
  <c r="U31" i="34"/>
  <c r="U30" i="34"/>
  <c r="U29" i="34"/>
  <c r="U28" i="34"/>
  <c r="U27" i="34"/>
  <c r="T14" i="34"/>
  <c r="T19" i="34" s="1"/>
  <c r="T23" i="34" s="1"/>
  <c r="T26" i="34" s="1"/>
  <c r="R14" i="34"/>
  <c r="R19" i="34" s="1"/>
  <c r="R23" i="34" s="1"/>
  <c r="R26" i="34" s="1"/>
  <c r="L14" i="34"/>
  <c r="L19" i="34" s="1"/>
  <c r="L23" i="34" s="1"/>
  <c r="L26" i="34" s="1"/>
  <c r="J14" i="34"/>
  <c r="J19" i="34" s="1"/>
  <c r="J23" i="34" s="1"/>
  <c r="J26" i="34" s="1"/>
  <c r="D14" i="34"/>
  <c r="D19" i="34" s="1"/>
  <c r="D23" i="34" s="1"/>
  <c r="B14" i="34"/>
  <c r="B19" i="34" s="1"/>
  <c r="B23" i="34" s="1"/>
  <c r="M31" i="34"/>
  <c r="M30" i="34"/>
  <c r="M29" i="34"/>
  <c r="M28" i="34"/>
  <c r="M27" i="34"/>
  <c r="E29" i="34"/>
  <c r="E27" i="34"/>
  <c r="E31" i="34"/>
  <c r="E30" i="34"/>
  <c r="E28" i="34"/>
  <c r="E140" i="34"/>
  <c r="E137" i="34"/>
  <c r="E136" i="34"/>
  <c r="E133" i="34"/>
  <c r="E132" i="34"/>
  <c r="E131" i="34"/>
  <c r="E128" i="34"/>
  <c r="E127" i="34"/>
  <c r="E126" i="34"/>
  <c r="E125" i="34"/>
  <c r="U111" i="34"/>
  <c r="M111" i="34"/>
  <c r="E111" i="34"/>
  <c r="U108" i="34"/>
  <c r="M108" i="34"/>
  <c r="E108" i="34"/>
  <c r="U107" i="34"/>
  <c r="M107" i="34"/>
  <c r="E107" i="34"/>
  <c r="U104" i="34"/>
  <c r="M104" i="34"/>
  <c r="E104" i="34"/>
  <c r="U103" i="34"/>
  <c r="M103" i="34"/>
  <c r="E103" i="34"/>
  <c r="U102" i="34"/>
  <c r="M102" i="34"/>
  <c r="E102" i="34"/>
  <c r="U99" i="34"/>
  <c r="M99" i="34"/>
  <c r="E99" i="34"/>
  <c r="U98" i="34"/>
  <c r="M98" i="34"/>
  <c r="E98" i="34"/>
  <c r="U97" i="34"/>
  <c r="M97" i="34"/>
  <c r="E97" i="34"/>
  <c r="U96" i="34"/>
  <c r="M96" i="34"/>
  <c r="E96" i="34"/>
  <c r="U82" i="34"/>
  <c r="M82" i="34"/>
  <c r="E82" i="34"/>
  <c r="U79" i="34"/>
  <c r="E255" i="34" s="1"/>
  <c r="I255" i="34" s="1"/>
  <c r="M79" i="34"/>
  <c r="E79" i="34"/>
  <c r="U78" i="34"/>
  <c r="E254" i="34" s="1"/>
  <c r="I254" i="34" s="1"/>
  <c r="M78" i="34"/>
  <c r="E78" i="34"/>
  <c r="U75" i="34"/>
  <c r="M75" i="34"/>
  <c r="E75" i="34"/>
  <c r="U74" i="34"/>
  <c r="M74" i="34"/>
  <c r="E74" i="34"/>
  <c r="U73" i="34"/>
  <c r="M73" i="34"/>
  <c r="E73" i="34"/>
  <c r="U70" i="34"/>
  <c r="M70" i="34"/>
  <c r="E70" i="34"/>
  <c r="U69" i="34"/>
  <c r="M69" i="34"/>
  <c r="E69" i="34"/>
  <c r="U68" i="34"/>
  <c r="M68" i="34"/>
  <c r="E68" i="34"/>
  <c r="U67" i="34"/>
  <c r="M67" i="34"/>
  <c r="E67" i="34"/>
  <c r="E242" i="34" s="1"/>
  <c r="I242" i="34" s="1"/>
  <c r="U53" i="34"/>
  <c r="M53" i="34"/>
  <c r="E53" i="34"/>
  <c r="U50" i="34"/>
  <c r="M50" i="34"/>
  <c r="E50" i="34"/>
  <c r="U49" i="34"/>
  <c r="M49" i="34"/>
  <c r="E49" i="34"/>
  <c r="U46" i="34"/>
  <c r="M46" i="34"/>
  <c r="E46" i="34"/>
  <c r="U45" i="34"/>
  <c r="M45" i="34"/>
  <c r="E45" i="34"/>
  <c r="U44" i="34"/>
  <c r="M44" i="34"/>
  <c r="E44" i="34"/>
  <c r="U41" i="34"/>
  <c r="M41" i="34"/>
  <c r="E41" i="34"/>
  <c r="U40" i="34"/>
  <c r="M40" i="34"/>
  <c r="E40" i="34"/>
  <c r="U39" i="34"/>
  <c r="M39" i="34"/>
  <c r="E39" i="34"/>
  <c r="U38" i="34"/>
  <c r="M38" i="34"/>
  <c r="E38" i="34"/>
  <c r="U24" i="34"/>
  <c r="M24" i="34"/>
  <c r="E24" i="34"/>
  <c r="U21" i="34"/>
  <c r="M21" i="34"/>
  <c r="E21" i="34"/>
  <c r="U20" i="34"/>
  <c r="M20" i="34"/>
  <c r="E20" i="34"/>
  <c r="U17" i="34"/>
  <c r="M17" i="34"/>
  <c r="E17" i="34"/>
  <c r="U16" i="34"/>
  <c r="M16" i="34"/>
  <c r="E16" i="34"/>
  <c r="U15" i="34"/>
  <c r="M15" i="34"/>
  <c r="E15" i="34"/>
  <c r="AH13" i="34"/>
  <c r="AH12" i="34"/>
  <c r="U12" i="34"/>
  <c r="M12" i="34"/>
  <c r="E12" i="34"/>
  <c r="AH11" i="34"/>
  <c r="U11" i="34"/>
  <c r="M11" i="34"/>
  <c r="E11" i="34"/>
  <c r="U10" i="34"/>
  <c r="M10" i="34"/>
  <c r="E10" i="34"/>
  <c r="Z9" i="34"/>
  <c r="Z10" i="34" s="1"/>
  <c r="U9" i="34"/>
  <c r="M9" i="34"/>
  <c r="E9" i="34"/>
  <c r="E245" i="34" l="1"/>
  <c r="I245" i="34" s="1"/>
  <c r="E249" i="34"/>
  <c r="I249" i="34" s="1"/>
  <c r="E258" i="34"/>
  <c r="I258" i="34" s="1"/>
  <c r="E261" i="34"/>
  <c r="I261" i="34" s="1"/>
  <c r="E265" i="34"/>
  <c r="I265" i="34" s="1"/>
  <c r="E244" i="34"/>
  <c r="I244" i="34" s="1"/>
  <c r="E251" i="34"/>
  <c r="I251" i="34" s="1"/>
  <c r="E262" i="34"/>
  <c r="I262" i="34" s="1"/>
  <c r="E243" i="34"/>
  <c r="I243" i="34" s="1"/>
  <c r="E250" i="34"/>
  <c r="I250" i="34" s="1"/>
  <c r="E263" i="34"/>
  <c r="I263" i="34" s="1"/>
  <c r="E264" i="34"/>
  <c r="I264" i="34" s="1"/>
  <c r="R77" i="34"/>
  <c r="B248" i="34"/>
  <c r="T77" i="34"/>
  <c r="D248" i="34"/>
  <c r="R48" i="34"/>
  <c r="Q288" i="34"/>
  <c r="Q313" i="34" s="1"/>
  <c r="T48" i="34"/>
  <c r="T81" i="34" l="1"/>
  <c r="D253" i="34"/>
  <c r="R81" i="34"/>
  <c r="B253" i="34"/>
  <c r="R52" i="34"/>
  <c r="T52" i="34"/>
  <c r="R84" i="34" l="1"/>
  <c r="B260" i="34" s="1"/>
  <c r="B257" i="34"/>
  <c r="T84" i="34"/>
  <c r="D260" i="34" s="1"/>
  <c r="D257" i="34"/>
  <c r="R55" i="34"/>
  <c r="T55" i="34"/>
  <c r="L27" i="13" l="1"/>
  <c r="B11" i="35" s="1"/>
  <c r="A9" i="13" l="1"/>
  <c r="A8" i="13"/>
  <c r="A8" i="4" l="1"/>
  <c r="A8" i="29" s="1"/>
  <c r="A9" i="4"/>
  <c r="A9" i="29" s="1"/>
  <c r="Q241" i="34" l="1"/>
  <c r="S241" i="34" s="1"/>
  <c r="R271" i="34"/>
  <c r="S271" i="34" l="1"/>
  <c r="L35" i="13" s="1"/>
  <c r="C26" i="4"/>
  <c r="C26" i="29" s="1"/>
  <c r="C27" i="4"/>
  <c r="C28" i="4"/>
  <c r="C28" i="29" s="1"/>
  <c r="C25" i="4"/>
  <c r="C25" i="29" s="1"/>
  <c r="C27" i="29" l="1"/>
  <c r="U271" i="34"/>
  <c r="V271" i="34" s="1"/>
  <c r="U241" i="34"/>
  <c r="W241" i="34" s="1"/>
  <c r="Y241" i="34" l="1"/>
  <c r="D45" i="13"/>
  <c r="O52" i="12" s="1"/>
  <c r="D46" i="13"/>
  <c r="O125" i="12" s="1"/>
  <c r="D47" i="13"/>
  <c r="O137" i="12" s="1"/>
  <c r="D48" i="13"/>
  <c r="O63" i="12" s="1"/>
  <c r="D44" i="13"/>
  <c r="O41" i="12" s="1"/>
  <c r="K98" i="27" l="1"/>
  <c r="K97" i="27"/>
  <c r="K96" i="27"/>
  <c r="K94" i="27"/>
  <c r="K95" i="27"/>
  <c r="T280" i="34" l="1"/>
  <c r="D54" i="12" s="1"/>
  <c r="K70" i="13"/>
  <c r="Q254" i="34" l="1"/>
  <c r="S254" i="34" s="1"/>
  <c r="R280" i="34"/>
  <c r="B101" i="4"/>
  <c r="S280" i="34" l="1"/>
  <c r="L70" i="13" s="1"/>
  <c r="U254" i="34"/>
  <c r="W254" i="34" s="1"/>
  <c r="B104" i="29"/>
  <c r="Y254" i="34" l="1"/>
  <c r="D57" i="12" s="1"/>
  <c r="H85" i="28"/>
  <c r="D55" i="13"/>
  <c r="D56" i="13"/>
  <c r="D57" i="13"/>
  <c r="D58" i="13"/>
  <c r="D59" i="13"/>
  <c r="D60" i="13"/>
  <c r="D61" i="13"/>
  <c r="H89" i="28" l="1"/>
  <c r="C124" i="12"/>
  <c r="H92" i="28"/>
  <c r="O88" i="12"/>
  <c r="H88" i="28"/>
  <c r="C112" i="12"/>
  <c r="H91" i="28"/>
  <c r="O76" i="12"/>
  <c r="H87" i="28"/>
  <c r="C100" i="12"/>
  <c r="H90" i="28"/>
  <c r="C136" i="12"/>
  <c r="H86" i="28"/>
  <c r="C88" i="12"/>
  <c r="D57" i="4"/>
  <c r="D53" i="4"/>
  <c r="D60" i="4"/>
  <c r="D56" i="4"/>
  <c r="D59" i="4"/>
  <c r="D55" i="4"/>
  <c r="D58" i="4"/>
  <c r="D54" i="4"/>
  <c r="D56" i="12"/>
  <c r="U280" i="34" l="1"/>
  <c r="V280" i="34" s="1"/>
  <c r="O112" i="12" l="1"/>
  <c r="O100" i="12"/>
  <c r="L7" i="28" l="1"/>
  <c r="L8" i="28"/>
  <c r="L9" i="28"/>
  <c r="L10" i="28"/>
  <c r="L11" i="28"/>
  <c r="L12" i="28"/>
  <c r="L13" i="28"/>
  <c r="L14" i="28"/>
  <c r="L15" i="28"/>
  <c r="L16" i="28"/>
  <c r="M28" i="4" l="1"/>
  <c r="B49" i="4"/>
  <c r="K44" i="13" l="1"/>
  <c r="L94" i="27" s="1"/>
  <c r="K38" i="13"/>
  <c r="K36" i="13"/>
  <c r="E43" i="4" l="1"/>
  <c r="Q244" i="34"/>
  <c r="S244" i="34" s="1"/>
  <c r="R272" i="34"/>
  <c r="R274" i="34"/>
  <c r="Q251" i="34"/>
  <c r="S251" i="34" s="1"/>
  <c r="B79" i="4" l="1"/>
  <c r="B85" i="4"/>
  <c r="U251" i="34"/>
  <c r="W251" i="34" s="1"/>
  <c r="S274" i="34"/>
  <c r="U244" i="34"/>
  <c r="W244" i="34" s="1"/>
  <c r="S272" i="34"/>
  <c r="R94" i="27"/>
  <c r="L44" i="13"/>
  <c r="B31" i="13"/>
  <c r="K71" i="13"/>
  <c r="K72" i="13"/>
  <c r="K73" i="13"/>
  <c r="B89" i="29" l="1"/>
  <c r="B83" i="29"/>
  <c r="Y244" i="34"/>
  <c r="D21" i="12" s="1"/>
  <c r="Y251" i="34"/>
  <c r="D45" i="12" s="1"/>
  <c r="F43" i="4"/>
  <c r="L43" i="4" s="1"/>
  <c r="U272" i="34"/>
  <c r="V272" i="34" s="1"/>
  <c r="D44" i="12"/>
  <c r="D20" i="12"/>
  <c r="R273" i="34"/>
  <c r="Q248" i="34"/>
  <c r="S248" i="34" s="1"/>
  <c r="R282" i="34"/>
  <c r="Q260" i="34"/>
  <c r="S260" i="34" s="1"/>
  <c r="Q263" i="34"/>
  <c r="S263" i="34" s="1"/>
  <c r="R283" i="34"/>
  <c r="Q257" i="34"/>
  <c r="S257" i="34" s="1"/>
  <c r="R281" i="34"/>
  <c r="S281" i="34" l="1"/>
  <c r="L71" i="13" s="1"/>
  <c r="S283" i="34"/>
  <c r="L73" i="13" s="1"/>
  <c r="U248" i="34"/>
  <c r="W248" i="34" s="1"/>
  <c r="S273" i="34"/>
  <c r="S282" i="34"/>
  <c r="L72" i="13" s="1"/>
  <c r="L36" i="13"/>
  <c r="U257" i="34"/>
  <c r="U274" i="34"/>
  <c r="V274" i="34" s="1"/>
  <c r="L38" i="13"/>
  <c r="U263" i="34"/>
  <c r="W263" i="34" s="1"/>
  <c r="U260" i="34"/>
  <c r="W260" i="34" l="1"/>
  <c r="Y260" i="34"/>
  <c r="P21" i="12" s="1"/>
  <c r="W257" i="34"/>
  <c r="Y257" i="34"/>
  <c r="P9" i="12" s="1"/>
  <c r="D32" i="12"/>
  <c r="Y248" i="34"/>
  <c r="D33" i="12" s="1"/>
  <c r="Y263" i="34"/>
  <c r="P33" i="12" s="1"/>
  <c r="U273" i="34"/>
  <c r="V273" i="34" s="1"/>
  <c r="L37" i="13" l="1"/>
  <c r="P32" i="12"/>
  <c r="P20" i="12"/>
  <c r="P8" i="12"/>
  <c r="U281" i="34" l="1"/>
  <c r="V281" i="34" s="1"/>
  <c r="U282" i="34"/>
  <c r="V282" i="34" s="1"/>
  <c r="U283" i="34"/>
  <c r="V283" i="34" s="1"/>
  <c r="B40" i="13"/>
  <c r="L26" i="13" l="1"/>
  <c r="C34" i="4"/>
  <c r="B39" i="4"/>
  <c r="A100" i="13"/>
  <c r="A88" i="13"/>
  <c r="A75" i="13"/>
  <c r="B66" i="13"/>
  <c r="B68" i="4" s="1"/>
  <c r="B50" i="13"/>
  <c r="B51" i="29" s="1"/>
  <c r="B30" i="4"/>
  <c r="A30" i="13"/>
  <c r="B30" i="13"/>
  <c r="B29" i="4" s="1"/>
  <c r="B9" i="35" l="1"/>
  <c r="C8" i="35"/>
  <c r="B32" i="29"/>
  <c r="B30" i="29"/>
  <c r="B64" i="29"/>
  <c r="B41" i="29"/>
  <c r="B105" i="29"/>
  <c r="K28" i="29"/>
  <c r="K25" i="29"/>
  <c r="B91" i="4"/>
  <c r="B78" i="4"/>
  <c r="B82" i="29" s="1"/>
  <c r="B92" i="4" l="1"/>
  <c r="B93" i="4" s="1"/>
  <c r="B98" i="29" s="1"/>
  <c r="B96" i="29"/>
  <c r="M26" i="4"/>
  <c r="D73" i="4"/>
  <c r="D74" i="4"/>
  <c r="D75" i="4"/>
  <c r="D72" i="4"/>
  <c r="D44" i="4"/>
  <c r="G43" i="4" s="1"/>
  <c r="D45" i="4"/>
  <c r="D46" i="4"/>
  <c r="D47" i="4"/>
  <c r="D43" i="4"/>
  <c r="D35" i="4"/>
  <c r="G34" i="4" s="1"/>
  <c r="D36" i="4"/>
  <c r="D37" i="4"/>
  <c r="D34" i="4"/>
  <c r="Q116" i="12"/>
  <c r="Q115" i="12"/>
  <c r="P115" i="12"/>
  <c r="Q104" i="12"/>
  <c r="Q103" i="12"/>
  <c r="P103" i="12"/>
  <c r="Q92" i="12"/>
  <c r="Q91" i="12"/>
  <c r="P91" i="12"/>
  <c r="Q80" i="12"/>
  <c r="Q79" i="12"/>
  <c r="P79" i="12"/>
  <c r="E140" i="12"/>
  <c r="E139" i="12"/>
  <c r="D139" i="12"/>
  <c r="E128" i="12"/>
  <c r="E127" i="12"/>
  <c r="D127" i="12"/>
  <c r="E116" i="12"/>
  <c r="E115" i="12"/>
  <c r="D115" i="12"/>
  <c r="E104" i="12"/>
  <c r="E103" i="12"/>
  <c r="D103" i="12"/>
  <c r="E92" i="12"/>
  <c r="E91" i="12"/>
  <c r="G91" i="12" s="1"/>
  <c r="I91" i="12" s="1"/>
  <c r="E80" i="12"/>
  <c r="E79" i="12"/>
  <c r="D79" i="12"/>
  <c r="AH216" i="12"/>
  <c r="AH212" i="12"/>
  <c r="AD204" i="12"/>
  <c r="AH204" i="12" s="1"/>
  <c r="AD200" i="12"/>
  <c r="AH200" i="12" s="1"/>
  <c r="AD196" i="12"/>
  <c r="AH196" i="12" s="1"/>
  <c r="AD192" i="12"/>
  <c r="AH192" i="12" s="1"/>
  <c r="AD188" i="12"/>
  <c r="AH188" i="12" s="1"/>
  <c r="AD184" i="12"/>
  <c r="AH184" i="12" s="1"/>
  <c r="AD180" i="12"/>
  <c r="AH180" i="12" s="1"/>
  <c r="S80" i="28"/>
  <c r="S79" i="28"/>
  <c r="S78" i="28"/>
  <c r="S77" i="28"/>
  <c r="S76" i="28"/>
  <c r="S75" i="28"/>
  <c r="S74" i="28"/>
  <c r="S73" i="28"/>
  <c r="S71" i="28"/>
  <c r="S64" i="28"/>
  <c r="S63" i="28"/>
  <c r="S62" i="28"/>
  <c r="S61" i="28"/>
  <c r="S60" i="28"/>
  <c r="S59" i="28"/>
  <c r="S58" i="28"/>
  <c r="S57" i="28"/>
  <c r="S56" i="28"/>
  <c r="S55" i="28"/>
  <c r="L80" i="28"/>
  <c r="L79" i="28"/>
  <c r="L78" i="28"/>
  <c r="L77" i="28"/>
  <c r="L76" i="28"/>
  <c r="L75" i="28"/>
  <c r="L74" i="28"/>
  <c r="L73" i="28"/>
  <c r="L72" i="28"/>
  <c r="L71" i="28"/>
  <c r="L64" i="28"/>
  <c r="L63" i="28"/>
  <c r="L62" i="28"/>
  <c r="L61" i="28"/>
  <c r="L60" i="28"/>
  <c r="L59" i="28"/>
  <c r="L58" i="28"/>
  <c r="L57" i="28"/>
  <c r="L56" i="28"/>
  <c r="L55" i="28"/>
  <c r="E80" i="28"/>
  <c r="E79" i="28"/>
  <c r="E78" i="28"/>
  <c r="E77" i="28"/>
  <c r="E76" i="28"/>
  <c r="E75" i="28"/>
  <c r="E74" i="28"/>
  <c r="E73" i="28"/>
  <c r="E72" i="28"/>
  <c r="E71" i="28"/>
  <c r="E64" i="28"/>
  <c r="E63" i="28"/>
  <c r="E62" i="28"/>
  <c r="E61" i="28"/>
  <c r="E60" i="28"/>
  <c r="E59" i="28"/>
  <c r="E58" i="28"/>
  <c r="E57" i="28"/>
  <c r="E56" i="28"/>
  <c r="E55" i="28"/>
  <c r="S48" i="28"/>
  <c r="S47" i="28"/>
  <c r="S46" i="28"/>
  <c r="S45" i="28"/>
  <c r="S44" i="28"/>
  <c r="S43" i="28"/>
  <c r="S42" i="28"/>
  <c r="S41" i="28"/>
  <c r="S40" i="28"/>
  <c r="S39" i="28"/>
  <c r="S32" i="28"/>
  <c r="S31" i="28"/>
  <c r="S30" i="28"/>
  <c r="S29" i="28"/>
  <c r="S28" i="28"/>
  <c r="S27" i="28"/>
  <c r="S26" i="28"/>
  <c r="S25" i="28"/>
  <c r="S24" i="28"/>
  <c r="S23" i="28"/>
  <c r="S16" i="28"/>
  <c r="S15" i="28"/>
  <c r="S14" i="28"/>
  <c r="S13" i="28"/>
  <c r="S12" i="28"/>
  <c r="S11" i="28"/>
  <c r="S10" i="28"/>
  <c r="S9" i="28"/>
  <c r="S8" i="28"/>
  <c r="S7" i="28"/>
  <c r="L48" i="28"/>
  <c r="L47" i="28"/>
  <c r="L46" i="28"/>
  <c r="L45" i="28"/>
  <c r="L44" i="28"/>
  <c r="L43" i="28"/>
  <c r="L42" i="28"/>
  <c r="L41" i="28"/>
  <c r="L40" i="28"/>
  <c r="L39" i="28"/>
  <c r="L32" i="28"/>
  <c r="L31" i="28"/>
  <c r="L30" i="28"/>
  <c r="L29" i="28"/>
  <c r="L28" i="28"/>
  <c r="L27" i="28"/>
  <c r="L26" i="28"/>
  <c r="L25" i="28"/>
  <c r="L24" i="28"/>
  <c r="L23" i="28"/>
  <c r="E48" i="28"/>
  <c r="E47" i="28"/>
  <c r="E46" i="28"/>
  <c r="E96" i="28" s="1"/>
  <c r="E45" i="28"/>
  <c r="E44" i="28"/>
  <c r="E43" i="28"/>
  <c r="E42" i="28"/>
  <c r="E92" i="28" s="1"/>
  <c r="E41" i="28"/>
  <c r="E91" i="28" s="1"/>
  <c r="E40" i="28"/>
  <c r="E39" i="28"/>
  <c r="E88" i="28"/>
  <c r="E32" i="28"/>
  <c r="E31" i="28"/>
  <c r="E30" i="28"/>
  <c r="E29" i="28"/>
  <c r="E28" i="28"/>
  <c r="E27" i="28"/>
  <c r="E26" i="28"/>
  <c r="E25" i="28"/>
  <c r="E24" i="28"/>
  <c r="E23" i="28"/>
  <c r="E16" i="28"/>
  <c r="E15" i="28"/>
  <c r="E14" i="28"/>
  <c r="E13" i="28"/>
  <c r="E12" i="28"/>
  <c r="E11" i="28"/>
  <c r="E10" i="28"/>
  <c r="E9" i="28"/>
  <c r="E8" i="28"/>
  <c r="E7" i="28"/>
  <c r="Q66" i="12"/>
  <c r="P66" i="12"/>
  <c r="Q65" i="12"/>
  <c r="Q140" i="12"/>
  <c r="P140" i="12"/>
  <c r="Q139" i="12"/>
  <c r="Q128" i="12"/>
  <c r="P128" i="12"/>
  <c r="Q127" i="12"/>
  <c r="Q55" i="12"/>
  <c r="P55" i="12"/>
  <c r="Q54" i="12"/>
  <c r="Q44" i="12"/>
  <c r="P44" i="12"/>
  <c r="Q43" i="12"/>
  <c r="S83" i="27"/>
  <c r="S82" i="27"/>
  <c r="S81" i="27"/>
  <c r="S80" i="27"/>
  <c r="S79" i="27"/>
  <c r="S78" i="27"/>
  <c r="S77" i="27"/>
  <c r="S76" i="27"/>
  <c r="L83" i="27"/>
  <c r="L82" i="27"/>
  <c r="L81" i="27"/>
  <c r="L80" i="27"/>
  <c r="L79" i="27"/>
  <c r="L78" i="27"/>
  <c r="L77" i="27"/>
  <c r="L76" i="27"/>
  <c r="E83" i="27"/>
  <c r="E82" i="27"/>
  <c r="E81" i="27"/>
  <c r="E80" i="27"/>
  <c r="E79" i="27"/>
  <c r="E78" i="27"/>
  <c r="E77" i="27"/>
  <c r="E76" i="27"/>
  <c r="S69" i="27"/>
  <c r="S68" i="27"/>
  <c r="S67" i="27"/>
  <c r="S66" i="27"/>
  <c r="S65" i="27"/>
  <c r="S64" i="27"/>
  <c r="S63" i="27"/>
  <c r="S62" i="27"/>
  <c r="L69" i="27"/>
  <c r="L68" i="27"/>
  <c r="L67" i="27"/>
  <c r="L66" i="27"/>
  <c r="L65" i="27"/>
  <c r="L64" i="27"/>
  <c r="L63" i="27"/>
  <c r="L62" i="27"/>
  <c r="E69" i="27"/>
  <c r="E68" i="27"/>
  <c r="E67" i="27"/>
  <c r="E66" i="27"/>
  <c r="E65" i="27"/>
  <c r="E64" i="27"/>
  <c r="E63" i="27"/>
  <c r="E62" i="27"/>
  <c r="S55" i="27"/>
  <c r="S54" i="27"/>
  <c r="S53" i="27"/>
  <c r="S52" i="27"/>
  <c r="S51" i="27"/>
  <c r="S50" i="27"/>
  <c r="S49" i="27"/>
  <c r="S48" i="27"/>
  <c r="L55" i="27"/>
  <c r="L54" i="27"/>
  <c r="L53" i="27"/>
  <c r="L52" i="27"/>
  <c r="L51" i="27"/>
  <c r="L50" i="27"/>
  <c r="L49" i="27"/>
  <c r="L48" i="27"/>
  <c r="E55" i="27"/>
  <c r="E54" i="27"/>
  <c r="E53" i="27"/>
  <c r="E52" i="27"/>
  <c r="E51" i="27"/>
  <c r="E50" i="27"/>
  <c r="E49" i="27"/>
  <c r="E48" i="27"/>
  <c r="S41" i="27"/>
  <c r="S40" i="27"/>
  <c r="S39" i="27"/>
  <c r="S38" i="27"/>
  <c r="S37" i="27"/>
  <c r="S36" i="27"/>
  <c r="S35" i="27"/>
  <c r="S34" i="27"/>
  <c r="L41" i="27"/>
  <c r="L40" i="27"/>
  <c r="L39" i="27"/>
  <c r="L38" i="27"/>
  <c r="L37" i="27"/>
  <c r="L36" i="27"/>
  <c r="L35" i="27"/>
  <c r="L34" i="27"/>
  <c r="E41" i="27"/>
  <c r="E40" i="27"/>
  <c r="E39" i="27"/>
  <c r="E38" i="27"/>
  <c r="E37" i="27"/>
  <c r="E36" i="27"/>
  <c r="E35" i="27"/>
  <c r="E34" i="27"/>
  <c r="S27" i="27"/>
  <c r="S26" i="27"/>
  <c r="S25" i="27"/>
  <c r="S24" i="27"/>
  <c r="S23" i="27"/>
  <c r="S22" i="27"/>
  <c r="S21" i="27"/>
  <c r="S20" i="27"/>
  <c r="L27" i="27"/>
  <c r="L26" i="27"/>
  <c r="L25" i="27"/>
  <c r="L24" i="27"/>
  <c r="L23" i="27"/>
  <c r="L22" i="27"/>
  <c r="L21" i="27"/>
  <c r="L20" i="27"/>
  <c r="E27" i="27"/>
  <c r="E26" i="27"/>
  <c r="E25" i="27"/>
  <c r="E24" i="27"/>
  <c r="E23" i="27"/>
  <c r="E22" i="27"/>
  <c r="E21" i="27"/>
  <c r="E20" i="27"/>
  <c r="S13" i="27"/>
  <c r="S12" i="27"/>
  <c r="S11" i="27"/>
  <c r="S10" i="27"/>
  <c r="S9" i="27"/>
  <c r="S8" i="27"/>
  <c r="S7" i="27"/>
  <c r="S6" i="27"/>
  <c r="L13" i="27"/>
  <c r="L12" i="27"/>
  <c r="L11" i="27"/>
  <c r="L10" i="27"/>
  <c r="L9" i="27"/>
  <c r="L8" i="27"/>
  <c r="L7" i="27"/>
  <c r="L6" i="27"/>
  <c r="E9" i="27"/>
  <c r="E10" i="27"/>
  <c r="E11" i="27"/>
  <c r="E12" i="27"/>
  <c r="E13" i="27"/>
  <c r="E6" i="27"/>
  <c r="E7" i="27"/>
  <c r="E8" i="27"/>
  <c r="P31" i="12"/>
  <c r="P19" i="12"/>
  <c r="D55" i="12"/>
  <c r="D43" i="12"/>
  <c r="D31" i="12"/>
  <c r="P7" i="12"/>
  <c r="D19" i="12"/>
  <c r="D7" i="12"/>
  <c r="AH208" i="12" l="1"/>
  <c r="B97" i="29"/>
  <c r="E95" i="28"/>
  <c r="E103" i="27"/>
  <c r="E97" i="27"/>
  <c r="E101" i="27"/>
  <c r="E89" i="28"/>
  <c r="E93" i="28"/>
  <c r="E97" i="28"/>
  <c r="E98" i="27"/>
  <c r="E102" i="27"/>
  <c r="E90" i="28"/>
  <c r="E94" i="28"/>
  <c r="E98" i="28"/>
  <c r="E99" i="27"/>
  <c r="E100" i="27"/>
  <c r="E104" i="27"/>
  <c r="G115" i="12"/>
  <c r="I115" i="12" s="1"/>
  <c r="J115" i="12" s="1"/>
  <c r="S91" i="12"/>
  <c r="U91" i="12" s="1"/>
  <c r="W91" i="12" s="1"/>
  <c r="S128" i="12"/>
  <c r="U128" i="12" s="1"/>
  <c r="W128" i="12" s="1"/>
  <c r="G139" i="12"/>
  <c r="I139" i="12" s="1"/>
  <c r="K139" i="12" s="1"/>
  <c r="S115" i="12"/>
  <c r="U115" i="12" s="1"/>
  <c r="V115" i="12" s="1"/>
  <c r="G103" i="12"/>
  <c r="I103" i="12" s="1"/>
  <c r="K103" i="12" s="1"/>
  <c r="S79" i="12"/>
  <c r="U79" i="12" s="1"/>
  <c r="W79" i="12" s="1"/>
  <c r="G79" i="12"/>
  <c r="I79" i="12" s="1"/>
  <c r="J79" i="12" s="1"/>
  <c r="G127" i="12"/>
  <c r="I127" i="12" s="1"/>
  <c r="K127" i="12" s="1"/>
  <c r="S103" i="12"/>
  <c r="U103" i="12" s="1"/>
  <c r="W103" i="12" s="1"/>
  <c r="AK205" i="12"/>
  <c r="AK207" i="12"/>
  <c r="AK217" i="12"/>
  <c r="D39" i="29"/>
  <c r="D47" i="29"/>
  <c r="D61" i="29"/>
  <c r="D57" i="29"/>
  <c r="D38" i="29"/>
  <c r="D46" i="29"/>
  <c r="D60" i="29"/>
  <c r="D56" i="29"/>
  <c r="D69" i="29"/>
  <c r="D37" i="29"/>
  <c r="D49" i="29"/>
  <c r="D55" i="29"/>
  <c r="D59" i="29"/>
  <c r="D68" i="29"/>
  <c r="D70" i="29"/>
  <c r="D36" i="29"/>
  <c r="D45" i="29"/>
  <c r="D48" i="29"/>
  <c r="D62" i="29"/>
  <c r="D58" i="29"/>
  <c r="D71" i="29"/>
  <c r="S55" i="12"/>
  <c r="U55" i="12" s="1"/>
  <c r="V55" i="12" s="1"/>
  <c r="AE215" i="12"/>
  <c r="AE183" i="12"/>
  <c r="AE211" i="12"/>
  <c r="AG201" i="12"/>
  <c r="AG217" i="12"/>
  <c r="AG211" i="12"/>
  <c r="AE195" i="12"/>
  <c r="AG205" i="12"/>
  <c r="AI183" i="12"/>
  <c r="AL184" i="12"/>
  <c r="AO183" i="12" s="1"/>
  <c r="AK193" i="12"/>
  <c r="AI191" i="12"/>
  <c r="AL192" i="12"/>
  <c r="AO191" i="12" s="1"/>
  <c r="AK201" i="12"/>
  <c r="AI199" i="12"/>
  <c r="AL200" i="12"/>
  <c r="AO199" i="12" s="1"/>
  <c r="AK209" i="12"/>
  <c r="AI207" i="12"/>
  <c r="AL208" i="12"/>
  <c r="AO207" i="12" s="1"/>
  <c r="AE191" i="12"/>
  <c r="AG199" i="12"/>
  <c r="AG203" i="12"/>
  <c r="AG207" i="12"/>
  <c r="AE213" i="12"/>
  <c r="AG185" i="12"/>
  <c r="AG193" i="12"/>
  <c r="AE201" i="12"/>
  <c r="AE199" i="12"/>
  <c r="AG209" i="12"/>
  <c r="AE209" i="12"/>
  <c r="AE207" i="12"/>
  <c r="AF208" i="12" s="1"/>
  <c r="AK181" i="12"/>
  <c r="AI179" i="12"/>
  <c r="AL180" i="12"/>
  <c r="AO179" i="12" s="1"/>
  <c r="AI187" i="12"/>
  <c r="AL188" i="12"/>
  <c r="AO187" i="12" s="1"/>
  <c r="AI195" i="12"/>
  <c r="AL196" i="12"/>
  <c r="AO195" i="12" s="1"/>
  <c r="AI203" i="12"/>
  <c r="AL204" i="12"/>
  <c r="AO203" i="12" s="1"/>
  <c r="AI211" i="12"/>
  <c r="AL212" i="12"/>
  <c r="AM213" i="12" s="1"/>
  <c r="AL216" i="12"/>
  <c r="AO215" i="12" s="1"/>
  <c r="AE179" i="12"/>
  <c r="AE187" i="12"/>
  <c r="AE203" i="12"/>
  <c r="AE205" i="12"/>
  <c r="AG181" i="12"/>
  <c r="AG189" i="12"/>
  <c r="AG197" i="12"/>
  <c r="AG213" i="12"/>
  <c r="AI215" i="12"/>
  <c r="J91" i="12"/>
  <c r="K91" i="12"/>
  <c r="AI201" i="12"/>
  <c r="AI205" i="12"/>
  <c r="AI209" i="12"/>
  <c r="AI213" i="12"/>
  <c r="AI217" i="12"/>
  <c r="AK203" i="12"/>
  <c r="AK215" i="12"/>
  <c r="AI197" i="12"/>
  <c r="AK195" i="12"/>
  <c r="AI193" i="12"/>
  <c r="AI189" i="12"/>
  <c r="AK187" i="12"/>
  <c r="AI185" i="12"/>
  <c r="AK183" i="12"/>
  <c r="AI181" i="12"/>
  <c r="AK179" i="12"/>
  <c r="AE217" i="12"/>
  <c r="AG215" i="12"/>
  <c r="AE193" i="12"/>
  <c r="AE197" i="12"/>
  <c r="AG191" i="12"/>
  <c r="AG195" i="12"/>
  <c r="AE185" i="12"/>
  <c r="AE189" i="12"/>
  <c r="AG183" i="12"/>
  <c r="AG187" i="12"/>
  <c r="AE181" i="12"/>
  <c r="AG179" i="12"/>
  <c r="S140" i="12"/>
  <c r="U140" i="12" s="1"/>
  <c r="W140" i="12" s="1"/>
  <c r="S66" i="12"/>
  <c r="U66" i="12" s="1"/>
  <c r="W66" i="12" s="1"/>
  <c r="S44" i="12"/>
  <c r="U44" i="12" s="1"/>
  <c r="W44" i="12" s="1"/>
  <c r="K115" i="12" l="1"/>
  <c r="V128" i="12"/>
  <c r="J139" i="12"/>
  <c r="W115" i="12"/>
  <c r="V91" i="12"/>
  <c r="K79" i="12"/>
  <c r="J103" i="12"/>
  <c r="V79" i="12"/>
  <c r="J127" i="12"/>
  <c r="V103" i="12"/>
  <c r="AK189" i="12"/>
  <c r="AJ188" i="12" s="1"/>
  <c r="AK213" i="12"/>
  <c r="AK199" i="12"/>
  <c r="AJ200" i="12" s="1"/>
  <c r="AK211" i="12"/>
  <c r="AK197" i="12"/>
  <c r="AJ196" i="12" s="1"/>
  <c r="AK191" i="12"/>
  <c r="AJ192" i="12" s="1"/>
  <c r="AK185" i="12"/>
  <c r="AJ184" i="12" s="1"/>
  <c r="W55" i="12"/>
  <c r="V66" i="12"/>
  <c r="V140" i="12"/>
  <c r="V44" i="12"/>
  <c r="AM209" i="12"/>
  <c r="AM201" i="12"/>
  <c r="AF184" i="12"/>
  <c r="AF204" i="12"/>
  <c r="AJ208" i="12"/>
  <c r="AF216" i="12"/>
  <c r="AO211" i="12"/>
  <c r="AF212" i="12"/>
  <c r="AF192" i="12"/>
  <c r="AF196" i="12"/>
  <c r="AJ180" i="12"/>
  <c r="AM193" i="12"/>
  <c r="AJ216" i="12"/>
  <c r="AJ204" i="12"/>
  <c r="AM181" i="12"/>
  <c r="AM197" i="12"/>
  <c r="AM217" i="12"/>
  <c r="AO217" i="12"/>
  <c r="AM215" i="12"/>
  <c r="AO205" i="12"/>
  <c r="AM203" i="12"/>
  <c r="AO189" i="12"/>
  <c r="AM187" i="12"/>
  <c r="AO201" i="12"/>
  <c r="AM199" i="12"/>
  <c r="AO185" i="12"/>
  <c r="AM183" i="12"/>
  <c r="AF180" i="12"/>
  <c r="AF188" i="12"/>
  <c r="AM185" i="12"/>
  <c r="AM189" i="12"/>
  <c r="AM205" i="12"/>
  <c r="AO213" i="12"/>
  <c r="AM211" i="12"/>
  <c r="AO197" i="12"/>
  <c r="AM195" i="12"/>
  <c r="AO181" i="12"/>
  <c r="AM179" i="12"/>
  <c r="AF200" i="12"/>
  <c r="AO209" i="12"/>
  <c r="AM207" i="12"/>
  <c r="AO193" i="12"/>
  <c r="AM191" i="12"/>
  <c r="AJ212" i="12" l="1"/>
  <c r="AN200" i="12"/>
  <c r="AN216" i="12"/>
  <c r="AN188" i="12"/>
  <c r="AN180" i="12"/>
  <c r="AN196" i="12"/>
  <c r="AN212" i="12"/>
  <c r="AN204" i="12"/>
  <c r="AN184" i="12"/>
  <c r="AN192" i="12"/>
  <c r="AN208" i="12"/>
  <c r="M71" i="13" l="1"/>
  <c r="T281" i="34" s="1"/>
  <c r="P6" i="12" s="1"/>
  <c r="M72" i="13"/>
  <c r="T282" i="34" s="1"/>
  <c r="P18" i="12" s="1"/>
  <c r="M73" i="13"/>
  <c r="T283" i="34" s="1"/>
  <c r="P30" i="12" s="1"/>
  <c r="M45" i="13"/>
  <c r="M46" i="13"/>
  <c r="M47" i="13"/>
  <c r="M48" i="13"/>
  <c r="K45" i="13"/>
  <c r="L95" i="27" s="1"/>
  <c r="K46" i="13"/>
  <c r="L96" i="27" s="1"/>
  <c r="K47" i="13"/>
  <c r="L97" i="27" s="1"/>
  <c r="K48" i="13"/>
  <c r="L98" i="27" s="1"/>
  <c r="C4" i="12"/>
  <c r="T271" i="34"/>
  <c r="D6" i="12" s="1"/>
  <c r="C16" i="12"/>
  <c r="T272" i="34"/>
  <c r="T273" i="34"/>
  <c r="D30" i="12" s="1"/>
  <c r="C40" i="12"/>
  <c r="T274" i="34"/>
  <c r="D42" i="12" s="1"/>
  <c r="P127" i="12" l="1"/>
  <c r="S127" i="12" s="1"/>
  <c r="U127" i="12" s="1"/>
  <c r="P94" i="27"/>
  <c r="P43" i="12" s="1"/>
  <c r="S43" i="12" s="1"/>
  <c r="U43" i="12" s="1"/>
  <c r="P97" i="27"/>
  <c r="P98" i="27"/>
  <c r="P65" i="12" s="1"/>
  <c r="S65" i="12" s="1"/>
  <c r="U65" i="12" s="1"/>
  <c r="P95" i="27"/>
  <c r="P54" i="12" s="1"/>
  <c r="S54" i="12" s="1"/>
  <c r="U54" i="12" s="1"/>
  <c r="V54" i="12" s="1"/>
  <c r="V57" i="12" s="1"/>
  <c r="V58" i="12" s="1"/>
  <c r="D18" i="12"/>
  <c r="X184" i="12"/>
  <c r="X180" i="12"/>
  <c r="X192" i="12"/>
  <c r="X176" i="12"/>
  <c r="X188" i="12"/>
  <c r="C52" i="12"/>
  <c r="O28" i="12"/>
  <c r="O16" i="12"/>
  <c r="O4" i="12"/>
  <c r="C28" i="12"/>
  <c r="R96" i="27" l="1"/>
  <c r="L46" i="13"/>
  <c r="E45" i="4"/>
  <c r="L47" i="13"/>
  <c r="E46" i="4"/>
  <c r="R97" i="27"/>
  <c r="L45" i="13"/>
  <c r="E44" i="4"/>
  <c r="R95" i="27"/>
  <c r="L48" i="13"/>
  <c r="E47" i="4"/>
  <c r="R98" i="27"/>
  <c r="P139" i="12"/>
  <c r="S139" i="12" s="1"/>
  <c r="U139" i="12" s="1"/>
  <c r="V43" i="12"/>
  <c r="V46" i="12" s="1"/>
  <c r="V47" i="12" s="1"/>
  <c r="W43" i="12"/>
  <c r="W46" i="12" s="1"/>
  <c r="W65" i="12"/>
  <c r="W68" i="12" s="1"/>
  <c r="V65" i="12"/>
  <c r="V68" i="12" s="1"/>
  <c r="V69" i="12" s="1"/>
  <c r="W127" i="12"/>
  <c r="W130" i="12" s="1"/>
  <c r="V127" i="12"/>
  <c r="V130" i="12" s="1"/>
  <c r="V131" i="12" s="1"/>
  <c r="W54" i="12"/>
  <c r="W57" i="12" s="1"/>
  <c r="V59" i="12" s="1"/>
  <c r="V60" i="12" s="1"/>
  <c r="V61" i="12" s="1"/>
  <c r="AA175" i="12"/>
  <c r="AA177" i="12"/>
  <c r="Y175" i="12"/>
  <c r="Y177" i="12"/>
  <c r="Y179" i="12"/>
  <c r="AA179" i="12"/>
  <c r="AA181" i="12"/>
  <c r="Y181" i="12"/>
  <c r="AA185" i="12"/>
  <c r="Y185" i="12"/>
  <c r="AA183" i="12"/>
  <c r="Y183" i="12"/>
  <c r="Y191" i="12"/>
  <c r="AA193" i="12"/>
  <c r="AA191" i="12"/>
  <c r="Y193" i="12"/>
  <c r="Y197" i="12"/>
  <c r="Y195" i="12"/>
  <c r="AA197" i="12"/>
  <c r="AA195" i="12"/>
  <c r="AA199" i="12"/>
  <c r="Y201" i="12"/>
  <c r="AA201" i="12"/>
  <c r="Y199" i="12"/>
  <c r="AA189" i="12"/>
  <c r="Y189" i="12"/>
  <c r="Y187" i="12"/>
  <c r="AA187" i="12"/>
  <c r="F45" i="4" l="1"/>
  <c r="F46" i="4"/>
  <c r="F44" i="4"/>
  <c r="F47" i="4"/>
  <c r="V48" i="12"/>
  <c r="V49" i="12" s="1"/>
  <c r="V50" i="12" s="1"/>
  <c r="S94" i="27" s="1"/>
  <c r="W139" i="12"/>
  <c r="W142" i="12" s="1"/>
  <c r="V139" i="12"/>
  <c r="V142" i="12" s="1"/>
  <c r="V143" i="12" s="1"/>
  <c r="V70" i="12"/>
  <c r="V71" i="12" s="1"/>
  <c r="V72" i="12" s="1"/>
  <c r="S98" i="27" s="1"/>
  <c r="V132" i="12"/>
  <c r="V133" i="12" s="1"/>
  <c r="V134" i="12" s="1"/>
  <c r="S96" i="27" s="1"/>
  <c r="S95" i="27"/>
  <c r="Z196" i="12"/>
  <c r="Z192" i="12"/>
  <c r="Z180" i="12"/>
  <c r="Z176" i="12"/>
  <c r="Z200" i="12"/>
  <c r="Z188" i="12"/>
  <c r="E75" i="4"/>
  <c r="F75" i="4" s="1"/>
  <c r="E73" i="4"/>
  <c r="F73" i="4" s="1"/>
  <c r="E74" i="4"/>
  <c r="F74" i="4" s="1"/>
  <c r="Z184" i="12"/>
  <c r="I44" i="4" l="1"/>
  <c r="I46" i="29" s="1"/>
  <c r="I45" i="4"/>
  <c r="I47" i="29" s="1"/>
  <c r="I47" i="4"/>
  <c r="I49" i="29" s="1"/>
  <c r="I43" i="4"/>
  <c r="I45" i="29" s="1"/>
  <c r="V144" i="12"/>
  <c r="V145" i="12" s="1"/>
  <c r="V146" i="12" s="1"/>
  <c r="S97" i="27" s="1"/>
  <c r="E71" i="29"/>
  <c r="E47" i="29"/>
  <c r="E70" i="29"/>
  <c r="E48" i="29"/>
  <c r="E49" i="29"/>
  <c r="E46" i="29"/>
  <c r="G45" i="29" s="1"/>
  <c r="E69" i="29"/>
  <c r="I46" i="4" l="1"/>
  <c r="I48" i="29" s="1"/>
  <c r="H45" i="4"/>
  <c r="H47" i="29" s="1"/>
  <c r="H47" i="4"/>
  <c r="H49" i="29" s="1"/>
  <c r="H44" i="4"/>
  <c r="H46" i="29" s="1"/>
  <c r="H43" i="4"/>
  <c r="H45" i="29" s="1"/>
  <c r="E45" i="29"/>
  <c r="L46" i="4"/>
  <c r="Z46" i="4" s="1"/>
  <c r="F48" i="29"/>
  <c r="F69" i="29"/>
  <c r="L47" i="4"/>
  <c r="Z47" i="4" s="1"/>
  <c r="F49" i="29"/>
  <c r="F71" i="29"/>
  <c r="F47" i="29"/>
  <c r="L44" i="4"/>
  <c r="F46" i="29"/>
  <c r="F70" i="29"/>
  <c r="L45" i="4"/>
  <c r="Z45" i="4" s="1"/>
  <c r="H46" i="4" l="1"/>
  <c r="H48" i="29" s="1"/>
  <c r="Z44" i="4"/>
  <c r="Z43" i="4"/>
  <c r="F45" i="29"/>
  <c r="AA43" i="4" l="1"/>
  <c r="Q32" i="12"/>
  <c r="Q31" i="12"/>
  <c r="Q20" i="12"/>
  <c r="Q19" i="12"/>
  <c r="Q8" i="12"/>
  <c r="Q7" i="12"/>
  <c r="E56" i="12"/>
  <c r="E55" i="12"/>
  <c r="E44" i="12"/>
  <c r="E43" i="12"/>
  <c r="E32" i="12"/>
  <c r="E31" i="12"/>
  <c r="E20" i="12"/>
  <c r="E19" i="12"/>
  <c r="E8" i="12"/>
  <c r="E7" i="12"/>
  <c r="S18" i="12" l="1"/>
  <c r="U18" i="12" s="1"/>
  <c r="V18" i="12" s="1"/>
  <c r="G54" i="12"/>
  <c r="I54" i="12" s="1"/>
  <c r="K54" i="12" s="1"/>
  <c r="G30" i="12"/>
  <c r="I30" i="12" s="1"/>
  <c r="K30" i="12" s="1"/>
  <c r="S30" i="12"/>
  <c r="U30" i="12" s="1"/>
  <c r="W30" i="12" s="1"/>
  <c r="S6" i="12"/>
  <c r="U6" i="12" s="1"/>
  <c r="V6" i="12" s="1"/>
  <c r="G42" i="12"/>
  <c r="I42" i="12" s="1"/>
  <c r="K42" i="12" s="1"/>
  <c r="G18" i="12"/>
  <c r="I18" i="12" s="1"/>
  <c r="J18" i="12" s="1"/>
  <c r="G7" i="12"/>
  <c r="I7" i="12" s="1"/>
  <c r="K7" i="12" s="1"/>
  <c r="G19" i="12"/>
  <c r="I19" i="12" s="1"/>
  <c r="J19" i="12" s="1"/>
  <c r="G31" i="12"/>
  <c r="I31" i="12" s="1"/>
  <c r="K31" i="12" s="1"/>
  <c r="G43" i="12"/>
  <c r="I43" i="12" s="1"/>
  <c r="J43" i="12" s="1"/>
  <c r="G55" i="12"/>
  <c r="I55" i="12" s="1"/>
  <c r="K55" i="12" s="1"/>
  <c r="S7" i="12"/>
  <c r="U7" i="12" s="1"/>
  <c r="V7" i="12" s="1"/>
  <c r="S19" i="12"/>
  <c r="U19" i="12" s="1"/>
  <c r="W19" i="12" s="1"/>
  <c r="S31" i="12"/>
  <c r="U31" i="12" s="1"/>
  <c r="V31" i="12" s="1"/>
  <c r="W18" i="12" l="1"/>
  <c r="J30" i="12"/>
  <c r="J54" i="12"/>
  <c r="V19" i="12"/>
  <c r="J42" i="12"/>
  <c r="J7" i="12"/>
  <c r="V30" i="12"/>
  <c r="J31" i="12"/>
  <c r="J55" i="12"/>
  <c r="K18" i="12"/>
  <c r="W31" i="12"/>
  <c r="K19" i="12"/>
  <c r="K43" i="12"/>
  <c r="W7" i="12"/>
  <c r="W6" i="12"/>
  <c r="S33" i="12" l="1"/>
  <c r="U33" i="12" s="1"/>
  <c r="W33" i="12" s="1"/>
  <c r="G45" i="12"/>
  <c r="I45" i="12" s="1"/>
  <c r="J45" i="12" s="1"/>
  <c r="S8" i="12"/>
  <c r="U8" i="12" s="1"/>
  <c r="V8" i="12" s="1"/>
  <c r="S9" i="12"/>
  <c r="U9" i="12" s="1"/>
  <c r="V9" i="12" s="1"/>
  <c r="S32" i="12"/>
  <c r="U32" i="12" s="1"/>
  <c r="V32" i="12" s="1"/>
  <c r="G56" i="12"/>
  <c r="I56" i="12" s="1"/>
  <c r="J56" i="12" s="1"/>
  <c r="S20" i="12"/>
  <c r="U20" i="12" s="1"/>
  <c r="W20" i="12" s="1"/>
  <c r="G57" i="12"/>
  <c r="I57" i="12" s="1"/>
  <c r="S21" i="12" l="1"/>
  <c r="U21" i="12" s="1"/>
  <c r="W21" i="12" s="1"/>
  <c r="W23" i="12" s="1"/>
  <c r="G33" i="12"/>
  <c r="I33" i="12" s="1"/>
  <c r="K33" i="12" s="1"/>
  <c r="G21" i="12"/>
  <c r="I21" i="12" s="1"/>
  <c r="K21" i="12" s="1"/>
  <c r="V33" i="12"/>
  <c r="V35" i="12" s="1"/>
  <c r="V36" i="12" s="1"/>
  <c r="K45" i="12"/>
  <c r="V20" i="12"/>
  <c r="W8" i="12"/>
  <c r="K56" i="12"/>
  <c r="W9" i="12"/>
  <c r="W32" i="12"/>
  <c r="W35" i="12" s="1"/>
  <c r="K57" i="12"/>
  <c r="J57" i="12"/>
  <c r="J59" i="12" s="1"/>
  <c r="J60" i="12" s="1"/>
  <c r="V11" i="12"/>
  <c r="V12" i="12" s="1"/>
  <c r="A5" i="13"/>
  <c r="A6" i="13"/>
  <c r="A4" i="13"/>
  <c r="A6" i="4" l="1"/>
  <c r="A6" i="29" s="1"/>
  <c r="A5" i="4"/>
  <c r="A5" i="29" s="1"/>
  <c r="J33" i="12"/>
  <c r="K59" i="12"/>
  <c r="J61" i="12" s="1"/>
  <c r="V21" i="12"/>
  <c r="V23" i="12" s="1"/>
  <c r="V24" i="12" s="1"/>
  <c r="V25" i="12" s="1"/>
  <c r="J21" i="12"/>
  <c r="W11" i="12"/>
  <c r="V13" i="12" s="1"/>
  <c r="A4" i="4"/>
  <c r="A4" i="29" s="1"/>
  <c r="V37" i="12"/>
  <c r="W38" i="12" s="1"/>
  <c r="V38" i="12" l="1"/>
  <c r="V39" i="12" s="1"/>
  <c r="W283" i="34" s="1"/>
  <c r="I75" i="4" s="1"/>
  <c r="I71" i="29" s="1"/>
  <c r="H71" i="29" s="1"/>
  <c r="J62" i="12"/>
  <c r="J63" i="12" s="1"/>
  <c r="K62" i="12"/>
  <c r="V26" i="12"/>
  <c r="V27" i="12" s="1"/>
  <c r="W282" i="34" s="1"/>
  <c r="I74" i="4" s="1"/>
  <c r="I70" i="29" s="1"/>
  <c r="H70" i="29" s="1"/>
  <c r="W26" i="12"/>
  <c r="V14" i="12"/>
  <c r="V15" i="12" s="1"/>
  <c r="W281" i="34" s="1"/>
  <c r="I73" i="4" s="1"/>
  <c r="I69" i="29" s="1"/>
  <c r="H69" i="29" s="1"/>
  <c r="W14" i="12"/>
  <c r="W280" i="34" l="1"/>
  <c r="X281" i="34"/>
  <c r="X282" i="34"/>
  <c r="H74" i="4"/>
  <c r="X283" i="34"/>
  <c r="X280" i="34" l="1"/>
  <c r="I72" i="4"/>
  <c r="H72" i="4" s="1"/>
  <c r="L74" i="4"/>
  <c r="Z74" i="4" s="1"/>
  <c r="L73" i="4"/>
  <c r="Z73" i="4" s="1"/>
  <c r="H73" i="4"/>
  <c r="H75" i="4"/>
  <c r="L75" i="4"/>
  <c r="Z75" i="4" s="1"/>
  <c r="K28" i="4"/>
  <c r="K25" i="4"/>
  <c r="O25" i="4" s="1"/>
  <c r="B20" i="13"/>
  <c r="B19" i="13"/>
  <c r="K26" i="29" l="1"/>
  <c r="K27" i="29"/>
  <c r="K27" i="4"/>
  <c r="K26" i="4"/>
  <c r="D11" i="29"/>
  <c r="G6" i="12"/>
  <c r="I6" i="12" s="1"/>
  <c r="B102" i="4"/>
  <c r="G112" i="4"/>
  <c r="D9" i="29" l="1"/>
  <c r="D4" i="29"/>
  <c r="D20" i="29"/>
  <c r="D6" i="29"/>
  <c r="D19" i="29"/>
  <c r="D8" i="29"/>
  <c r="D10" i="29"/>
  <c r="D5" i="29"/>
  <c r="K6" i="12"/>
  <c r="J6" i="12"/>
  <c r="G44" i="12" l="1"/>
  <c r="I44" i="12" s="1"/>
  <c r="J44" i="12" s="1"/>
  <c r="J47" i="12" s="1"/>
  <c r="J48" i="12" s="1"/>
  <c r="E35" i="4"/>
  <c r="G32" i="12"/>
  <c r="I32" i="12" s="1"/>
  <c r="J32" i="12" s="1"/>
  <c r="J35" i="12" s="1"/>
  <c r="J36" i="12" s="1"/>
  <c r="E37" i="4"/>
  <c r="G20" i="12"/>
  <c r="I20" i="12" s="1"/>
  <c r="K20" i="12" s="1"/>
  <c r="K23" i="12" s="1"/>
  <c r="E36" i="4"/>
  <c r="F37" i="4" l="1"/>
  <c r="F36" i="4"/>
  <c r="F35" i="4"/>
  <c r="E34" i="4"/>
  <c r="K44" i="12"/>
  <c r="K47" i="12" s="1"/>
  <c r="J49" i="12" s="1"/>
  <c r="E39" i="29"/>
  <c r="E37" i="29"/>
  <c r="G36" i="29" s="1"/>
  <c r="K32" i="12"/>
  <c r="K35" i="12" s="1"/>
  <c r="J37" i="12" s="1"/>
  <c r="J20" i="12"/>
  <c r="J23" i="12" s="1"/>
  <c r="J24" i="12" s="1"/>
  <c r="J25" i="12" s="1"/>
  <c r="E38" i="29"/>
  <c r="F39" i="29" l="1"/>
  <c r="F34" i="4"/>
  <c r="J50" i="12"/>
  <c r="J51" i="12" s="1"/>
  <c r="K50" i="12"/>
  <c r="J38" i="12"/>
  <c r="J39" i="12" s="1"/>
  <c r="K38" i="12"/>
  <c r="J26" i="12"/>
  <c r="J27" i="12" s="1"/>
  <c r="K26" i="12"/>
  <c r="E36" i="29"/>
  <c r="F37" i="29"/>
  <c r="F38" i="29"/>
  <c r="F36" i="29" l="1"/>
  <c r="W273" i="34"/>
  <c r="W272" i="34"/>
  <c r="W274" i="34"/>
  <c r="D9" i="12"/>
  <c r="G9" i="12" s="1"/>
  <c r="I9" i="12" s="1"/>
  <c r="X274" i="34" l="1"/>
  <c r="I37" i="4"/>
  <c r="I39" i="29" s="1"/>
  <c r="X272" i="34"/>
  <c r="I35" i="4"/>
  <c r="X273" i="34"/>
  <c r="I36" i="4"/>
  <c r="I38" i="29" s="1"/>
  <c r="K9" i="12"/>
  <c r="J9" i="12"/>
  <c r="H35" i="4" l="1"/>
  <c r="I37" i="29"/>
  <c r="H37" i="29" s="1"/>
  <c r="H37" i="4"/>
  <c r="L37" i="4"/>
  <c r="Z37" i="4" s="1"/>
  <c r="H36" i="4"/>
  <c r="L35" i="4"/>
  <c r="Z35" i="4" s="1"/>
  <c r="L36" i="4"/>
  <c r="Z36" i="4" s="1"/>
  <c r="H38" i="29"/>
  <c r="H39" i="29"/>
  <c r="D8" i="12"/>
  <c r="G8" i="12" s="1"/>
  <c r="I8" i="12" s="1"/>
  <c r="J8" i="12" l="1"/>
  <c r="J11" i="12" s="1"/>
  <c r="J12" i="12" s="1"/>
  <c r="K8" i="12"/>
  <c r="K11" i="12" s="1"/>
  <c r="E72" i="4"/>
  <c r="B87" i="29" l="1"/>
  <c r="B81" i="4"/>
  <c r="B85" i="29" s="1"/>
  <c r="B86" i="4"/>
  <c r="B90" i="29" s="1"/>
  <c r="E68" i="29"/>
  <c r="F72" i="4"/>
  <c r="J13" i="12"/>
  <c r="G72" i="4"/>
  <c r="J14" i="12" l="1"/>
  <c r="J15" i="12" s="1"/>
  <c r="W271" i="34" s="1"/>
  <c r="X271" i="34" s="1"/>
  <c r="K14" i="12"/>
  <c r="G68" i="29"/>
  <c r="I68" i="29"/>
  <c r="H68" i="29" s="1"/>
  <c r="L72" i="4"/>
  <c r="Z72" i="4" s="1"/>
  <c r="AA72" i="4" s="1"/>
  <c r="AA73" i="4" s="1"/>
  <c r="N72" i="4" s="1"/>
  <c r="F68" i="29"/>
  <c r="I34" i="4" l="1"/>
  <c r="I36" i="29" s="1"/>
  <c r="H36" i="29" s="1"/>
  <c r="L34" i="4" l="1"/>
  <c r="Z34" i="4" s="1"/>
  <c r="AA34" i="4" s="1"/>
  <c r="AA35" i="4" s="1"/>
  <c r="AA36" i="4" s="1"/>
  <c r="H34" i="4"/>
  <c r="AA33" i="4"/>
  <c r="N34" i="4" l="1"/>
  <c r="I122" i="28"/>
  <c r="A123" i="28"/>
  <c r="B83" i="13" l="1"/>
  <c r="M25" i="4" l="1"/>
  <c r="J25" i="29"/>
  <c r="M91" i="28" l="1"/>
  <c r="P78" i="12" s="1"/>
  <c r="S78" i="12" s="1"/>
  <c r="U78" i="12" s="1"/>
  <c r="M92" i="28"/>
  <c r="P90" i="12" s="1"/>
  <c r="S90" i="12" s="1"/>
  <c r="U90" i="12" s="1"/>
  <c r="I92" i="28" l="1"/>
  <c r="I91" i="28"/>
  <c r="W78" i="12"/>
  <c r="V78" i="12"/>
  <c r="W90" i="12"/>
  <c r="V90" i="12"/>
  <c r="J91" i="28" l="1"/>
  <c r="N91" i="28" s="1"/>
  <c r="J92" i="28"/>
  <c r="N92" i="28" s="1"/>
  <c r="L92" i="28" l="1"/>
  <c r="P93" i="12" s="1"/>
  <c r="S93" i="12" s="1"/>
  <c r="U93" i="12" s="1"/>
  <c r="V93" i="12" s="1"/>
  <c r="K92" i="28"/>
  <c r="P92" i="12" s="1"/>
  <c r="S92" i="12" s="1"/>
  <c r="U92" i="12" s="1"/>
  <c r="V92" i="12" s="1"/>
  <c r="I61" i="13"/>
  <c r="E60" i="4" s="1"/>
  <c r="O92" i="28"/>
  <c r="L91" i="28"/>
  <c r="P81" i="12" s="1"/>
  <c r="S81" i="12" s="1"/>
  <c r="U81" i="12" s="1"/>
  <c r="W81" i="12" s="1"/>
  <c r="K91" i="28"/>
  <c r="P80" i="12" s="1"/>
  <c r="S80" i="12" s="1"/>
  <c r="U80" i="12" s="1"/>
  <c r="V80" i="12" s="1"/>
  <c r="I60" i="13"/>
  <c r="E59" i="4" s="1"/>
  <c r="O91" i="28"/>
  <c r="F60" i="4" l="1"/>
  <c r="L60" i="4" s="1"/>
  <c r="E62" i="29"/>
  <c r="W92" i="12"/>
  <c r="F59" i="4"/>
  <c r="L59" i="4" s="1"/>
  <c r="E61" i="29"/>
  <c r="W93" i="12"/>
  <c r="W80" i="12"/>
  <c r="W83" i="12" s="1"/>
  <c r="V81" i="12"/>
  <c r="V83" i="12" s="1"/>
  <c r="V84" i="12" s="1"/>
  <c r="V95" i="12"/>
  <c r="V96" i="12" s="1"/>
  <c r="F62" i="29" l="1"/>
  <c r="W95" i="12"/>
  <c r="V97" i="12" s="1"/>
  <c r="F61" i="29"/>
  <c r="V85" i="12"/>
  <c r="W86" i="12" s="1"/>
  <c r="V86" i="12" l="1"/>
  <c r="V87" i="12" s="1"/>
  <c r="W98" i="12"/>
  <c r="V98" i="12"/>
  <c r="V99" i="12" s="1"/>
  <c r="I60" i="4" s="1"/>
  <c r="I62" i="29" s="1"/>
  <c r="P91" i="28" l="1"/>
  <c r="I59" i="4"/>
  <c r="I61" i="29" s="1"/>
  <c r="Z59" i="4"/>
  <c r="P92" i="28"/>
  <c r="H59" i="4" l="1"/>
  <c r="H61" i="29" s="1"/>
  <c r="H60" i="4"/>
  <c r="H62" i="29" s="1"/>
  <c r="Z60" i="4"/>
  <c r="E33" i="35" l="1"/>
  <c r="E34" i="35" l="1"/>
  <c r="L33" i="35"/>
  <c r="L34" i="35" l="1"/>
  <c r="I33" i="35"/>
  <c r="H33" i="35" s="1"/>
  <c r="I34" i="35" l="1"/>
  <c r="H34" i="35" s="1"/>
  <c r="O136" i="12" l="1"/>
  <c r="E32" i="35" l="1"/>
  <c r="E31" i="35"/>
  <c r="I31" i="35" l="1"/>
  <c r="H31" i="35" s="1"/>
  <c r="I32" i="35"/>
  <c r="H32" i="35" s="1"/>
  <c r="AD176" i="12" l="1"/>
  <c r="AG177" i="12" s="1"/>
  <c r="I85" i="28"/>
  <c r="J85" i="28" s="1"/>
  <c r="N85" i="28" l="1"/>
  <c r="K85" i="28" s="1"/>
  <c r="AG175" i="12"/>
  <c r="AH176" i="12"/>
  <c r="AE175" i="12"/>
  <c r="AE177" i="12"/>
  <c r="D80" i="12" l="1"/>
  <c r="G80" i="12" s="1"/>
  <c r="I80" i="12" s="1"/>
  <c r="L85" i="28"/>
  <c r="D81" i="12" s="1"/>
  <c r="G81" i="12" s="1"/>
  <c r="I81" i="12" s="1"/>
  <c r="O85" i="28"/>
  <c r="AF176" i="12"/>
  <c r="I54" i="13"/>
  <c r="AK175" i="12"/>
  <c r="AI175" i="12"/>
  <c r="AK177" i="12"/>
  <c r="AI177" i="12"/>
  <c r="AL176" i="12"/>
  <c r="AJ176" i="12" l="1"/>
  <c r="E53" i="4"/>
  <c r="AO175" i="12"/>
  <c r="AO177" i="12"/>
  <c r="AM175" i="12"/>
  <c r="AM177" i="12"/>
  <c r="K81" i="12"/>
  <c r="J81" i="12"/>
  <c r="K80" i="12"/>
  <c r="J80" i="12"/>
  <c r="B80" i="4" l="1"/>
  <c r="B84" i="29" s="1"/>
  <c r="B84" i="4"/>
  <c r="B88" i="29" s="1"/>
  <c r="AN176" i="12"/>
  <c r="E55" i="29"/>
  <c r="G55" i="29" s="1"/>
  <c r="B92" i="29" s="1"/>
  <c r="F53" i="4"/>
  <c r="L53" i="4" s="1"/>
  <c r="Z53" i="4" s="1"/>
  <c r="F55" i="29" l="1"/>
  <c r="I90" i="28"/>
  <c r="I89" i="28"/>
  <c r="J89" i="28" s="1"/>
  <c r="I86" i="28"/>
  <c r="J86" i="28" s="1"/>
  <c r="I88" i="28"/>
  <c r="I87" i="28"/>
  <c r="J87" i="28" s="1"/>
  <c r="J88" i="28" l="1"/>
  <c r="N88" i="28" s="1"/>
  <c r="J90" i="28"/>
  <c r="N90" i="28" s="1"/>
  <c r="N87" i="28"/>
  <c r="N89" i="28"/>
  <c r="N86" i="28"/>
  <c r="E36" i="35" l="1"/>
  <c r="P116" i="12"/>
  <c r="S116" i="12" s="1"/>
  <c r="U116" i="12" s="1"/>
  <c r="W116" i="12" s="1"/>
  <c r="P117" i="12"/>
  <c r="S117" i="12" s="1"/>
  <c r="U117" i="12" s="1"/>
  <c r="W117" i="12" s="1"/>
  <c r="K90" i="28"/>
  <c r="D140" i="12" s="1"/>
  <c r="G140" i="12" s="1"/>
  <c r="I140" i="12" s="1"/>
  <c r="J140" i="12" s="1"/>
  <c r="L90" i="28"/>
  <c r="D141" i="12" s="1"/>
  <c r="G141" i="12" s="1"/>
  <c r="I141" i="12" s="1"/>
  <c r="K141" i="12" s="1"/>
  <c r="I59" i="13"/>
  <c r="E58" i="4" s="1"/>
  <c r="O90" i="28"/>
  <c r="K88" i="28"/>
  <c r="D116" i="12" s="1"/>
  <c r="G116" i="12" s="1"/>
  <c r="I116" i="12" s="1"/>
  <c r="J116" i="12" s="1"/>
  <c r="L88" i="28"/>
  <c r="D117" i="12" s="1"/>
  <c r="G117" i="12" s="1"/>
  <c r="I117" i="12" s="1"/>
  <c r="J117" i="12" s="1"/>
  <c r="O88" i="28"/>
  <c r="I57" i="13"/>
  <c r="E56" i="4" s="1"/>
  <c r="O89" i="28"/>
  <c r="K89" i="28"/>
  <c r="D128" i="12" s="1"/>
  <c r="G128" i="12" s="1"/>
  <c r="I128" i="12" s="1"/>
  <c r="J128" i="12" s="1"/>
  <c r="L89" i="28"/>
  <c r="D129" i="12" s="1"/>
  <c r="G129" i="12" s="1"/>
  <c r="I129" i="12" s="1"/>
  <c r="J129" i="12" s="1"/>
  <c r="I56" i="13"/>
  <c r="E55" i="4" s="1"/>
  <c r="K87" i="28"/>
  <c r="D104" i="12" s="1"/>
  <c r="G104" i="12" s="1"/>
  <c r="I104" i="12" s="1"/>
  <c r="J104" i="12" s="1"/>
  <c r="L87" i="28"/>
  <c r="D105" i="12" s="1"/>
  <c r="G105" i="12" s="1"/>
  <c r="I105" i="12" s="1"/>
  <c r="J105" i="12" s="1"/>
  <c r="E35" i="35"/>
  <c r="P105" i="12"/>
  <c r="S105" i="12" s="1"/>
  <c r="U105" i="12" s="1"/>
  <c r="P104" i="12"/>
  <c r="S104" i="12" s="1"/>
  <c r="U104" i="12" s="1"/>
  <c r="L86" i="28"/>
  <c r="D93" i="12" s="1"/>
  <c r="G93" i="12" s="1"/>
  <c r="I93" i="12" s="1"/>
  <c r="K86" i="28"/>
  <c r="D92" i="12" s="1"/>
  <c r="G92" i="12" s="1"/>
  <c r="I92" i="12" s="1"/>
  <c r="I58" i="13"/>
  <c r="E57" i="4" s="1"/>
  <c r="O87" i="28"/>
  <c r="O86" i="28"/>
  <c r="I55" i="13"/>
  <c r="V117" i="12" l="1"/>
  <c r="K140" i="12"/>
  <c r="V116" i="12"/>
  <c r="K116" i="12"/>
  <c r="L35" i="35"/>
  <c r="L36" i="35"/>
  <c r="J141" i="12"/>
  <c r="K117" i="12"/>
  <c r="K129" i="12"/>
  <c r="K128" i="12"/>
  <c r="K104" i="12"/>
  <c r="K105" i="12"/>
  <c r="F55" i="4"/>
  <c r="L55" i="4" s="1"/>
  <c r="E57" i="29"/>
  <c r="W105" i="12"/>
  <c r="V105" i="12"/>
  <c r="E60" i="29"/>
  <c r="F58" i="4"/>
  <c r="L58" i="4" s="1"/>
  <c r="J93" i="12"/>
  <c r="K93" i="12"/>
  <c r="K92" i="12"/>
  <c r="J92" i="12"/>
  <c r="E58" i="29"/>
  <c r="F56" i="4"/>
  <c r="L56" i="4" s="1"/>
  <c r="E54" i="4"/>
  <c r="F57" i="4"/>
  <c r="L57" i="4" s="1"/>
  <c r="E59" i="29"/>
  <c r="V104" i="12"/>
  <c r="W104" i="12"/>
  <c r="F60" i="29" l="1"/>
  <c r="F57" i="29"/>
  <c r="F54" i="4"/>
  <c r="L54" i="4" s="1"/>
  <c r="E56" i="29"/>
  <c r="G53" i="4" s="1"/>
  <c r="F58" i="29"/>
  <c r="F59" i="29"/>
  <c r="F56" i="29" l="1"/>
  <c r="M85" i="28"/>
  <c r="D78" i="12" s="1"/>
  <c r="G78" i="12" s="1"/>
  <c r="I78" i="12" s="1"/>
  <c r="K78" i="12" l="1"/>
  <c r="K83" i="12" s="1"/>
  <c r="J78" i="12"/>
  <c r="J83" i="12" s="1"/>
  <c r="J84" i="12" s="1"/>
  <c r="J85" i="12" l="1"/>
  <c r="K86" i="12" l="1"/>
  <c r="J86" i="12"/>
  <c r="J87" i="12" s="1"/>
  <c r="I53" i="4" s="1"/>
  <c r="I55" i="29" s="1"/>
  <c r="P85" i="28" l="1"/>
  <c r="H53" i="4" l="1"/>
  <c r="H55" i="29" s="1"/>
  <c r="P102" i="12" l="1"/>
  <c r="S102" i="12" s="1"/>
  <c r="U102" i="12" s="1"/>
  <c r="P114" i="12"/>
  <c r="S114" i="12" s="1"/>
  <c r="U114" i="12" s="1"/>
  <c r="M86" i="28"/>
  <c r="D90" i="12" s="1"/>
  <c r="G90" i="12" s="1"/>
  <c r="I90" i="12" s="1"/>
  <c r="M87" i="28"/>
  <c r="D102" i="12" s="1"/>
  <c r="G102" i="12" s="1"/>
  <c r="I102" i="12" s="1"/>
  <c r="M88" i="28"/>
  <c r="D114" i="12" s="1"/>
  <c r="G114" i="12" s="1"/>
  <c r="I114" i="12" s="1"/>
  <c r="M90" i="28"/>
  <c r="D138" i="12" s="1"/>
  <c r="G138" i="12" s="1"/>
  <c r="I138" i="12" s="1"/>
  <c r="M89" i="28"/>
  <c r="D126" i="12" s="1"/>
  <c r="G126" i="12" s="1"/>
  <c r="I126" i="12" s="1"/>
  <c r="J114" i="12" l="1"/>
  <c r="J119" i="12" s="1"/>
  <c r="J120" i="12" s="1"/>
  <c r="K114" i="12"/>
  <c r="K119" i="12" s="1"/>
  <c r="W102" i="12"/>
  <c r="W107" i="12" s="1"/>
  <c r="V102" i="12"/>
  <c r="V107" i="12" s="1"/>
  <c r="V108" i="12" s="1"/>
  <c r="J138" i="12"/>
  <c r="J143" i="12" s="1"/>
  <c r="J144" i="12" s="1"/>
  <c r="K138" i="12"/>
  <c r="K143" i="12" s="1"/>
  <c r="J90" i="12"/>
  <c r="J95" i="12" s="1"/>
  <c r="J96" i="12" s="1"/>
  <c r="K90" i="12"/>
  <c r="K95" i="12" s="1"/>
  <c r="J126" i="12"/>
  <c r="J131" i="12" s="1"/>
  <c r="J132" i="12" s="1"/>
  <c r="K126" i="12"/>
  <c r="K131" i="12" s="1"/>
  <c r="K102" i="12"/>
  <c r="K107" i="12" s="1"/>
  <c r="J102" i="12"/>
  <c r="J107" i="12" s="1"/>
  <c r="J108" i="12" s="1"/>
  <c r="V114" i="12"/>
  <c r="V119" i="12" s="1"/>
  <c r="V120" i="12" s="1"/>
  <c r="W114" i="12"/>
  <c r="W119" i="12" s="1"/>
  <c r="V109" i="12" l="1"/>
  <c r="J97" i="12"/>
  <c r="J109" i="12"/>
  <c r="V121" i="12"/>
  <c r="J133" i="12"/>
  <c r="J145" i="12"/>
  <c r="J121" i="12"/>
  <c r="J146" i="12" l="1"/>
  <c r="J147" i="12" s="1"/>
  <c r="I58" i="4" s="1"/>
  <c r="I60" i="29" s="1"/>
  <c r="K146" i="12"/>
  <c r="K98" i="12"/>
  <c r="J98" i="12"/>
  <c r="J99" i="12" s="1"/>
  <c r="I54" i="4" s="1"/>
  <c r="I56" i="29" s="1"/>
  <c r="K134" i="12"/>
  <c r="J134" i="12"/>
  <c r="J135" i="12" s="1"/>
  <c r="I57" i="4" s="1"/>
  <c r="I59" i="29" s="1"/>
  <c r="W110" i="12"/>
  <c r="V110" i="12"/>
  <c r="V111" i="12" s="1"/>
  <c r="I35" i="35" s="1"/>
  <c r="H35" i="35" s="1"/>
  <c r="W122" i="12"/>
  <c r="V122" i="12"/>
  <c r="V123" i="12" s="1"/>
  <c r="I36" i="35" s="1"/>
  <c r="H36" i="35" s="1"/>
  <c r="K122" i="12"/>
  <c r="J122" i="12"/>
  <c r="J123" i="12" s="1"/>
  <c r="I56" i="4" s="1"/>
  <c r="I58" i="29" s="1"/>
  <c r="K110" i="12"/>
  <c r="J110" i="12"/>
  <c r="J111" i="12" s="1"/>
  <c r="I55" i="4" s="1"/>
  <c r="I57" i="29" s="1"/>
  <c r="P88" i="28" l="1"/>
  <c r="P86" i="28"/>
  <c r="P87" i="28"/>
  <c r="P89" i="28"/>
  <c r="P90" i="28"/>
  <c r="Z58" i="4" l="1"/>
  <c r="H58" i="4"/>
  <c r="H60" i="29" s="1"/>
  <c r="Z56" i="4"/>
  <c r="H56" i="4"/>
  <c r="H58" i="29" s="1"/>
  <c r="H57" i="4"/>
  <c r="H59" i="29" s="1"/>
  <c r="Z57" i="4"/>
  <c r="Z55" i="4"/>
  <c r="H55" i="4"/>
  <c r="H57" i="29" s="1"/>
  <c r="H54" i="4"/>
  <c r="H56" i="29" s="1"/>
  <c r="Z54" i="4"/>
  <c r="AA53" i="4" l="1"/>
  <c r="N43" i="4" s="1"/>
  <c r="M27" i="4" l="1"/>
  <c r="J27" i="4" l="1"/>
  <c r="J27" i="29" s="1"/>
  <c r="S20" i="4"/>
  <c r="Y20" i="4" s="1"/>
  <c r="I27" i="29"/>
  <c r="J28" i="4"/>
  <c r="J28" i="29" s="1"/>
  <c r="O28" i="4"/>
  <c r="I28" i="29"/>
  <c r="J26" i="4"/>
  <c r="J26" i="29" s="1"/>
  <c r="I26" i="29"/>
  <c r="O26" i="4"/>
  <c r="B93" i="29" l="1"/>
  <c r="B85" i="13"/>
  <c r="B87" i="4" s="1"/>
  <c r="B94" i="4"/>
  <c r="B99" i="29" s="1"/>
  <c r="S28" i="4"/>
  <c r="T28" i="4"/>
  <c r="O27" i="4" l="1"/>
  <c r="O29" i="4" l="1"/>
  <c r="N25" i="4" s="1"/>
  <c r="J112" i="4" s="1"/>
  <c r="H1" i="40" s="1"/>
  <c r="H2" i="13" l="1"/>
  <c r="B101" i="13" s="1"/>
  <c r="B102" i="29" s="1"/>
  <c r="A2" i="4" l="1"/>
  <c r="A2" i="29" s="1"/>
  <c r="B9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PC-Sapras</author>
  </authors>
  <commentList>
    <comment ref="N137" authorId="0" shapeId="0" xr:uid="{00000000-0006-0000-0000-000001000000}">
      <text>
        <r>
          <rPr>
            <b/>
            <sz val="16"/>
            <color indexed="81"/>
            <rFont val="Tahoma"/>
            <family val="2"/>
          </rPr>
          <t>INPUT DISINI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ASUS E402WA</author>
    <author>PC-Sapras</author>
    <author>New User</author>
  </authors>
  <commentList>
    <comment ref="I2" authorId="0" shapeId="0" xr:uid="{00000000-0006-0000-0700-000001000000}">
      <text>
        <r>
          <rPr>
            <sz val="16"/>
            <color indexed="81"/>
            <rFont val="Tahoma"/>
            <family val="2"/>
          </rPr>
          <t xml:space="preserve">TAMBAHKAN SPASI PADA WAKTU INPUT
</t>
        </r>
      </text>
    </comment>
    <comment ref="J27" authorId="1" shapeId="0" xr:uid="{00000000-0006-0000-0700-000002000000}">
      <text>
        <r>
          <rPr>
            <sz val="10"/>
            <color indexed="81"/>
            <rFont val="Tahoma"/>
            <family val="2"/>
          </rPr>
          <t>BILA HASILNYA KELUAR, MAKA LAKUKAN PENGUKURAN "</t>
        </r>
        <r>
          <rPr>
            <b/>
            <sz val="10"/>
            <color indexed="81"/>
            <rFont val="Tahoma"/>
            <family val="2"/>
          </rPr>
          <t>NC</t>
        </r>
        <r>
          <rPr>
            <sz val="10"/>
            <color indexed="81"/>
            <rFont val="Tahoma"/>
            <family val="2"/>
          </rPr>
          <t>" DAN HASILNYA INPUT PADA KOLOM "</t>
        </r>
        <r>
          <rPr>
            <b/>
            <sz val="10"/>
            <color indexed="81"/>
            <rFont val="Tahoma"/>
            <family val="2"/>
          </rPr>
          <t>NC</t>
        </r>
        <r>
          <rPr>
            <sz val="10"/>
            <color indexed="81"/>
            <rFont val="Tahoma"/>
            <family val="2"/>
          </rPr>
          <t>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" authorId="2" shapeId="0" xr:uid="{00000000-0006-0000-0700-000003000000}">
      <text>
        <r>
          <rPr>
            <b/>
            <sz val="14"/>
            <color indexed="81"/>
            <rFont val="Tahoma"/>
            <family val="2"/>
          </rPr>
          <t>INPUT NC DISINI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3" shapeId="0" xr:uid="{00000000-0006-0000-0700-000004000000}">
      <text>
        <r>
          <rPr>
            <b/>
            <sz val="14"/>
            <color indexed="81"/>
            <rFont val="Times New Roman"/>
            <family val="1"/>
          </rPr>
          <t xml:space="preserve">DIGANTI PULSE RATE BILA PENGUKURAN MENGGUNAKAN SPO2 / TIDAK ADA ELEKTRODA ECG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6" authorId="2" shapeId="0" xr:uid="{00000000-0006-0000-0700-000005000000}">
      <text>
        <r>
          <rPr>
            <sz val="14"/>
            <color indexed="81"/>
            <rFont val="Tahoma"/>
            <family val="2"/>
          </rPr>
          <t xml:space="preserve">INPUT ESA YANG DIGUNAKAN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PC-Sapras</author>
  </authors>
  <commentList>
    <comment ref="B92" authorId="0" shapeId="0" xr:uid="{00000000-0006-0000-0A00-000001000000}">
      <text>
        <r>
          <rPr>
            <sz val="18"/>
            <color indexed="81"/>
            <rFont val="Tahoma"/>
            <family val="2"/>
          </rPr>
          <t>JIKA TANDA "-" SILAHKAN DI HIDE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3" authorId="0" shapeId="0" xr:uid="{00000000-0006-0000-0A00-000002000000}">
      <text>
        <r>
          <rPr>
            <sz val="16"/>
            <color indexed="81"/>
            <rFont val="Tahoma"/>
            <family val="2"/>
          </rPr>
          <t>JIKA ADA TANDA "-" SILAHKAN DI HIDE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PC-Sapras</author>
    <author>ASUS E402WA</author>
  </authors>
  <commentList>
    <comment ref="B97" authorId="0" shapeId="0" xr:uid="{00000000-0006-0000-0B00-000001000000}">
      <text>
        <r>
          <rPr>
            <b/>
            <sz val="14"/>
            <color indexed="81"/>
            <rFont val="Tahoma"/>
            <family val="2"/>
          </rPr>
          <t>JIKA MUNCUL TANDA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Tahoma"/>
            <family val="2"/>
          </rPr>
          <t>"-" DIPERSILAHKAN UNTUK MENGHIDE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8" authorId="1" shapeId="0" xr:uid="{00000000-0006-0000-0B00-000002000000}">
      <text>
        <r>
          <rPr>
            <sz val="16"/>
            <color indexed="81"/>
            <rFont val="Tahoma"/>
            <family val="2"/>
          </rPr>
          <t xml:space="preserve">jika muncul tanda "-" dipersilahkan untuk menghide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PC-PK</author>
  </authors>
  <commentList>
    <comment ref="D2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PC-PK:</t>
        </r>
        <r>
          <rPr>
            <sz val="9"/>
            <color indexed="81"/>
            <rFont val="Tahoma"/>
            <family val="2"/>
          </rPr>
          <t xml:space="preserve">
CONTOH</t>
        </r>
      </text>
    </comment>
  </commentList>
</comments>
</file>

<file path=xl/sharedStrings.xml><?xml version="1.0" encoding="utf-8"?>
<sst xmlns="http://schemas.openxmlformats.org/spreadsheetml/2006/main" count="4437" uniqueCount="614">
  <si>
    <t>No. Seri</t>
  </si>
  <si>
    <t>2. Fungsi</t>
  </si>
  <si>
    <t>III.</t>
  </si>
  <si>
    <t>Parameter</t>
  </si>
  <si>
    <t>I</t>
  </si>
  <si>
    <t>II</t>
  </si>
  <si>
    <t>III</t>
  </si>
  <si>
    <t>V</t>
  </si>
  <si>
    <t xml:space="preserve">I.     </t>
  </si>
  <si>
    <t>Kondisi Ruang</t>
  </si>
  <si>
    <t xml:space="preserve">II.     </t>
  </si>
  <si>
    <t>1. Fisik</t>
  </si>
  <si>
    <t>No</t>
  </si>
  <si>
    <t xml:space="preserve"> Ambang Batas yang Diijinkan</t>
  </si>
  <si>
    <t>Alat Yang Digunakan :</t>
  </si>
  <si>
    <t>VII.</t>
  </si>
  <si>
    <t>Keterangan :</t>
  </si>
  <si>
    <t>Model/Tipe</t>
  </si>
  <si>
    <t>Merek</t>
  </si>
  <si>
    <t xml:space="preserve">1. Suhu </t>
  </si>
  <si>
    <t>Ketidakpastian               Pengukuran</t>
  </si>
  <si>
    <t xml:space="preserve">: </t>
  </si>
  <si>
    <t>Nama Ruang</t>
  </si>
  <si>
    <t xml:space="preserve">Hasil Pengukuran Keselamatan Listrik </t>
  </si>
  <si>
    <t>Choirul Huda</t>
  </si>
  <si>
    <t>Koreksi</t>
  </si>
  <si>
    <t>Kesimpulan</t>
  </si>
  <si>
    <t>VIII.</t>
  </si>
  <si>
    <t>STDEV</t>
  </si>
  <si>
    <t>Nama</t>
  </si>
  <si>
    <t>Tanggal</t>
  </si>
  <si>
    <t>Paraf</t>
  </si>
  <si>
    <t>UNCERTAINTY BUDGET</t>
  </si>
  <si>
    <t>Komponen</t>
  </si>
  <si>
    <t>Satuan</t>
  </si>
  <si>
    <t>Distribusi</t>
  </si>
  <si>
    <t>U</t>
  </si>
  <si>
    <t>Pembagi</t>
  </si>
  <si>
    <t>vi</t>
  </si>
  <si>
    <t>ui</t>
  </si>
  <si>
    <t>ci</t>
  </si>
  <si>
    <t>uici</t>
  </si>
  <si>
    <t>(uici)^2</t>
  </si>
  <si>
    <t>(uici)^4/vi</t>
  </si>
  <si>
    <t xml:space="preserve">1. Repeatability </t>
  </si>
  <si>
    <t>normal</t>
  </si>
  <si>
    <t>2. Daya baca UUT</t>
  </si>
  <si>
    <t>rect.</t>
  </si>
  <si>
    <t>Jumlah</t>
  </si>
  <si>
    <t>Ketidakpastian baku gabungan, Uc</t>
  </si>
  <si>
    <r>
      <t>Uc</t>
    </r>
    <r>
      <rPr>
        <sz val="11"/>
        <rFont val="Times New Roman"/>
        <family val="1"/>
      </rPr>
      <t xml:space="preserve"> = </t>
    </r>
    <r>
      <rPr>
        <sz val="11"/>
        <rFont val="Symbol"/>
        <family val="1"/>
        <charset val="2"/>
      </rPr>
      <t>Ö</t>
    </r>
    <r>
      <rPr>
        <sz val="11"/>
        <rFont val="Times New Roman"/>
        <family val="1"/>
      </rPr>
      <t xml:space="preserve"> [</t>
    </r>
    <r>
      <rPr>
        <sz val="11"/>
        <rFont val="Symbol"/>
        <family val="1"/>
        <charset val="2"/>
      </rPr>
      <t>S</t>
    </r>
    <r>
      <rPr>
        <sz val="11"/>
        <rFont val="Times New Roman"/>
        <family val="1"/>
      </rPr>
      <t>(u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c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)²]</t>
    </r>
  </si>
  <si>
    <t>Derajat kebebasan efektif, veff</t>
  </si>
  <si>
    <r>
      <t>n</t>
    </r>
    <r>
      <rPr>
        <vertAlign val="subscript"/>
        <sz val="11"/>
        <rFont val="Times New Roman"/>
        <family val="1"/>
      </rPr>
      <t>eff</t>
    </r>
    <r>
      <rPr>
        <sz val="11"/>
        <rFont val="Times New Roman"/>
        <family val="1"/>
      </rPr>
      <t xml:space="preserve"> = u</t>
    </r>
    <r>
      <rPr>
        <vertAlign val="subscript"/>
        <sz val="11"/>
        <rFont val="Times New Roman"/>
        <family val="1"/>
      </rPr>
      <t>c</t>
    </r>
    <r>
      <rPr>
        <vertAlign val="super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/ [</t>
    </r>
    <r>
      <rPr>
        <sz val="11"/>
        <rFont val="Symbol"/>
        <family val="1"/>
        <charset val="2"/>
      </rPr>
      <t>S</t>
    </r>
    <r>
      <rPr>
        <sz val="11"/>
        <rFont val="Times New Roman"/>
        <family val="1"/>
      </rPr>
      <t>(u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c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</t>
    </r>
    <r>
      <rPr>
        <vertAlign val="superscript"/>
        <sz val="11"/>
        <rFont val="Times New Roman"/>
        <family val="1"/>
      </rPr>
      <t xml:space="preserve"> 4</t>
    </r>
    <r>
      <rPr>
        <sz val="11"/>
        <rFont val="Times New Roman"/>
        <family val="1"/>
      </rPr>
      <t>/</t>
    </r>
    <r>
      <rPr>
        <sz val="11"/>
        <rFont val="Symbol"/>
        <family val="1"/>
        <charset val="2"/>
      </rPr>
      <t>n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]</t>
    </r>
  </si>
  <si>
    <t>k</t>
  </si>
  <si>
    <t>Ketidakpastian bentangan, U = k.Uc</t>
  </si>
  <si>
    <t>U = k. Uc</t>
  </si>
  <si>
    <t>Awal</t>
  </si>
  <si>
    <t>Akhir</t>
  </si>
  <si>
    <t>IX.</t>
  </si>
  <si>
    <t>Tanggal Pembuatan laporan</t>
  </si>
  <si>
    <t>:</t>
  </si>
  <si>
    <t>%</t>
  </si>
  <si>
    <t>-</t>
  </si>
  <si>
    <t>AWAL</t>
  </si>
  <si>
    <t>AKHIR</t>
  </si>
  <si>
    <t>Toleransi</t>
  </si>
  <si>
    <t>: Baik / Tidak Baik</t>
  </si>
  <si>
    <t>(Pilih salah satu dan coret yang tidak perlu)</t>
  </si>
  <si>
    <t>Hasil Ukur</t>
  </si>
  <si>
    <t>Metode Kerja</t>
  </si>
  <si>
    <t>................................................................</t>
  </si>
  <si>
    <t>Ω</t>
  </si>
  <si>
    <t>µA</t>
  </si>
  <si>
    <t>KOREKSI THERMOHYGROMETER</t>
  </si>
  <si>
    <t>DRIFT</t>
  </si>
  <si>
    <t>Tahun</t>
  </si>
  <si>
    <t>%RH</t>
  </si>
  <si>
    <t>U95</t>
  </si>
  <si>
    <t>Rata-Rata Terkoreksi</t>
  </si>
  <si>
    <t>IV.</t>
  </si>
  <si>
    <t>°C</t>
  </si>
  <si>
    <t xml:space="preserve"> </t>
  </si>
  <si>
    <t>3. Tegangan Jala-jala</t>
  </si>
  <si>
    <t>MΩ</t>
  </si>
  <si>
    <t>Ω</t>
  </si>
  <si>
    <t>≤ 0.2</t>
  </si>
  <si>
    <t>≤ 500</t>
  </si>
  <si>
    <t>≤ 100</t>
  </si>
  <si>
    <t>Donny Martha</t>
  </si>
  <si>
    <t>Rangga Setya Hantoko</t>
  </si>
  <si>
    <t>Isra Mahensa</t>
  </si>
  <si>
    <t>Muhammad Zaenuri Sugiasmoro</t>
  </si>
  <si>
    <t>Hary Ernanto</t>
  </si>
  <si>
    <t>Pembacaan Standar</t>
  </si>
  <si>
    <t>≤ 0.3</t>
  </si>
  <si>
    <t>≤ 50</t>
  </si>
  <si>
    <t>Pemeriksaan Kondisi Fisik dan Fungsi Alat</t>
  </si>
  <si>
    <t xml:space="preserve">Hasil Pengujian Keselamatan Listrik </t>
  </si>
  <si>
    <t>Hamdan Syarif</t>
  </si>
  <si>
    <t>Muhammad Irfan Husnuzhzhan</t>
  </si>
  <si>
    <t/>
  </si>
  <si>
    <t>Arus bocor peralatan yang diaplikasikan</t>
  </si>
  <si>
    <t>TOTAL SKOR</t>
  </si>
  <si>
    <t>**</t>
  </si>
  <si>
    <t>pilih salah satu</t>
  </si>
  <si>
    <t>*</t>
  </si>
  <si>
    <t>ü</t>
  </si>
  <si>
    <t>û</t>
  </si>
  <si>
    <t xml:space="preserve">3. Drift standar </t>
  </si>
  <si>
    <t>4. Sertifikat Standar</t>
  </si>
  <si>
    <t>Faktor cakupan</t>
  </si>
  <si>
    <t>( BPM )</t>
  </si>
  <si>
    <t>INTERPOLASI KOREKSI</t>
  </si>
  <si>
    <t>INTERPOLASI DRIFT</t>
  </si>
  <si>
    <t>Gusti Arya Dinata</t>
  </si>
  <si>
    <t>Skor</t>
  </si>
  <si>
    <t>Fatimah Novrianisa</t>
  </si>
  <si>
    <t>Fikry Faradinna</t>
  </si>
  <si>
    <t>Muhammad Iqbal Saiful Rahman</t>
  </si>
  <si>
    <t>Septia Khairunnisa</t>
  </si>
  <si>
    <t>Taufik Priawan</t>
  </si>
  <si>
    <t>Venna Filosofia</t>
  </si>
  <si>
    <t>Wardimanul Abrar</t>
  </si>
  <si>
    <t>Arus bocor peralatan untuk peralatan elektromedik kelas I**</t>
  </si>
  <si>
    <t>Arus bocor peralatan untuk peralatan elektromedik kelas II**</t>
  </si>
  <si>
    <t>2. Kelembaban</t>
  </si>
  <si>
    <t>Volt</t>
  </si>
  <si>
    <t>Arus bocor peralatan untuk peralatan elektromedik kelas I</t>
  </si>
  <si>
    <t>Arus bocor peralatan untuk peralatan elektromedik kelas II</t>
  </si>
  <si>
    <t>Hasil kalibrasi Waktu Pengisian tertelusur ke Satuan Internasional melalui PUSKIM - LIPI</t>
  </si>
  <si>
    <t>Hasil kalibrasi Waktu Pengisian tertelusur ke Satuan Internasional melalui PT. KALIMAN (LK-032-IDN)</t>
  </si>
  <si>
    <t>INTERPOLASI U95</t>
  </si>
  <si>
    <t>IV</t>
  </si>
  <si>
    <t>Frekuensi Heart Rate  (BPM)</t>
  </si>
  <si>
    <t>Setting Standar</t>
  </si>
  <si>
    <t>ECG</t>
  </si>
  <si>
    <t>Terukur Rata-Rata Alat</t>
  </si>
  <si>
    <t>bpm</t>
  </si>
  <si>
    <t>Hz</t>
  </si>
  <si>
    <t xml:space="preserve">Nomor Sertifikat / No. Surat Keterangan : 7 / ......  / ...... - ...... / E - ........ </t>
  </si>
  <si>
    <t>Setting            Pada Standar</t>
  </si>
  <si>
    <t xml:space="preserve"> Pembacaan Pada Alat</t>
  </si>
  <si>
    <t>VI</t>
  </si>
  <si>
    <t>V.</t>
  </si>
  <si>
    <t>VI.</t>
  </si>
  <si>
    <t>Parameter
(mmHg)</t>
  </si>
  <si>
    <t>Sistole</t>
  </si>
  <si>
    <t>Diastole</t>
  </si>
  <si>
    <t>Keterangan</t>
  </si>
  <si>
    <t>1. ..............................................................................................</t>
  </si>
  <si>
    <t>2. ..............................................................................................</t>
  </si>
  <si>
    <t>3. ..............................................................................................</t>
  </si>
  <si>
    <t>4. ..............................................................................................</t>
  </si>
  <si>
    <t>Alat Yang Digunakan</t>
  </si>
  <si>
    <t>□  1. Multiparameter Simulator, Merek : Fluke, Model : PS410 (21033) ; PS420 (1826055) / (1827060) ; MPS450 (184633) / (184635)</t>
  </si>
  <si>
    <t>□  3. NIBP Simulator, Merek : Accupulse, Model/Type : AH-2 (HH12080309) / (HH12080311)</t>
  </si>
  <si>
    <t>□  4. Electrical Safety Analyzer, Merek : Fluke, Model : ESA 620 (1837056) / (1834020)</t>
  </si>
  <si>
    <t>□  5. Thermohygrometer, Merek : KIMO, KH-210-AO (14082463) / (15062872) /(15062873) / (15062874) / (15062875)</t>
  </si>
  <si>
    <t>□  5. Thermohygrometer, Merek : SEKONIC, ST-50A (HE 21-000669) / (HE 21-000670)</t>
  </si>
  <si>
    <t>.................................</t>
  </si>
  <si>
    <r>
      <t>+</t>
    </r>
    <r>
      <rPr>
        <sz val="11"/>
        <rFont val="Arial"/>
        <family val="2"/>
      </rPr>
      <t xml:space="preserve"> 1% O2</t>
    </r>
  </si>
  <si>
    <t>□  1. Vital Signs Simulator, Merek : Fluke, Model : Prosim8 (3217028) / (3188428)</t>
  </si>
  <si>
    <t>□  1. Vital Signs Simulator, Merek : Fluke, Model : Prosim4 (-------) / (-------) / (-------)</t>
  </si>
  <si>
    <t>□  4. Electrical Safety Analyzer, Merek : Fluke, Model : ESA 615 (2853077) / (2853078) / (3148907) / (3148908) / (3699030)</t>
  </si>
  <si>
    <t>□  5. Thermohygrobarometer, Merek : GHM - GREISINGER, Model : GFTB.200 (34903053) / (34904091) / (34903051) / (34903046)</t>
  </si>
  <si>
    <t>SPO2</t>
  </si>
  <si>
    <t>Pembacaan Alat</t>
  </si>
  <si>
    <t>Ketidakpastian Pengukuran Kinerja NIBP dilaporkan pada tingkat kepercayaan 95 % dengan faktor cakupan k = 2</t>
  </si>
  <si>
    <t>1. Pengukuran ECG:</t>
  </si>
  <si>
    <t>2. Pengukuran Pulse Oximetri:</t>
  </si>
  <si>
    <t>3. Pengukuran NIBP :</t>
  </si>
  <si>
    <t>4. Pengukuran Keselamatan Kelistrikan :</t>
  </si>
  <si>
    <t>5. Pengukuran Suhu &amp; Kelembaban :</t>
  </si>
  <si>
    <t>ECG Simulator</t>
  </si>
  <si>
    <t>PS410</t>
  </si>
  <si>
    <t xml:space="preserve"> KOREKSI ECG SIMULATOR</t>
  </si>
  <si>
    <t>U95    STD</t>
  </si>
  <si>
    <t>Setting Heart Rate</t>
  </si>
  <si>
    <t>of</t>
  </si>
  <si>
    <t>reading</t>
  </si>
  <si>
    <t>Setting Respiration</t>
  </si>
  <si>
    <t>PS420 (1827055)</t>
  </si>
  <si>
    <t>MPS450 (186433)</t>
  </si>
  <si>
    <t>MPS450 (186435)</t>
  </si>
  <si>
    <t>Prosim 8 (3217028)</t>
  </si>
  <si>
    <t>Prosim 8 (3188428)</t>
  </si>
  <si>
    <t>ECG Resp</t>
  </si>
  <si>
    <t xml:space="preserve"> KOREKSI SPO2 SIMULATOR</t>
  </si>
  <si>
    <t>Setting SPO2</t>
  </si>
  <si>
    <t>( % )</t>
  </si>
  <si>
    <t>Prosim 8 (KOSONG1)</t>
  </si>
  <si>
    <t>Prosim 8 (KOSONG2)</t>
  </si>
  <si>
    <t>Prosim 8 (KOSONG3)</t>
  </si>
  <si>
    <t>RIGEL (LUPA1)</t>
  </si>
  <si>
    <t>RIGEL (LUPA2)</t>
  </si>
  <si>
    <t>RIGEL (LUPA3)</t>
  </si>
  <si>
    <t>RIGEL (KOSONG1)</t>
  </si>
  <si>
    <t>SPOTLight KOSONG6</t>
  </si>
  <si>
    <t>RIGEL (KOSONG2)</t>
  </si>
  <si>
    <t>%O2</t>
  </si>
  <si>
    <t>NIBP</t>
  </si>
  <si>
    <t xml:space="preserve"> KOREKSI NIBP SIMULATOR</t>
  </si>
  <si>
    <t>Tekanan Naik</t>
  </si>
  <si>
    <t>( mmHg )</t>
  </si>
  <si>
    <t xml:space="preserve">Sistole </t>
  </si>
  <si>
    <t>mmHg</t>
  </si>
  <si>
    <t>Koreksi (%O2)</t>
  </si>
  <si>
    <t>Koreksi + U95</t>
  </si>
  <si>
    <t>Ketidakpastian Pengukuran Kinerja Respirasi dilaporkan pada tingkat kepercayaan 95 % dengan faktor cakupan k = 2</t>
  </si>
  <si>
    <t>Halaman 2 dari 3 halaman</t>
  </si>
  <si>
    <t>Halaman 3 dari 3 halaman</t>
  </si>
  <si>
    <t xml:space="preserve">Pengujian Kinerja </t>
  </si>
  <si>
    <t>Menyetujui,</t>
  </si>
  <si>
    <t>Kepala Instalasi Laboratorium</t>
  </si>
  <si>
    <t>Pengujian dan Kalibrasi</t>
  </si>
  <si>
    <t>NIP 198008062010121001</t>
  </si>
  <si>
    <t>a. Kalibrasi Heart Rate</t>
  </si>
  <si>
    <t>d. Kalibrasi Respirasi</t>
  </si>
  <si>
    <t>b. Kalibrasi Pulse Oximetri</t>
  </si>
  <si>
    <t>c. Kalibrasi NIBP (Non Invasive Blood Pressure)</t>
  </si>
  <si>
    <t>±  5 BrPM</t>
  </si>
  <si>
    <t>± 5 bpm</t>
  </si>
  <si>
    <t>a. Kalibrasi Pulse Rate</t>
  </si>
  <si>
    <t>Hasil pengujian Keselamatan Listrik tertelusur ke Satuan Internasional ( SI ) melalui PT. CALTEK PTE LTD</t>
  </si>
  <si>
    <t>Hasil pengujian Keselamatan Listrik tertelusur ke Satuan Internasional ( SI ) melalui PT. Kaliman (LK-032-IDN)</t>
  </si>
  <si>
    <t>Thermohygrolight, Merek : Sekonic, Model : ST-50A, SN : HE-21.000670</t>
  </si>
  <si>
    <t>Thermohygrolight, Merek : Sekonic, Model : ST-50A, SN : HE-21.000669</t>
  </si>
  <si>
    <t>Thermohygrolight, Merek : Greisinger, Model : GFTB 200, SN : 34904091</t>
  </si>
  <si>
    <t>Thermohygrolight, Merek : Greisinger, Model : GFTB 200, SN : 34903053</t>
  </si>
  <si>
    <t>Thermohygrolight, Merek : Greisinger, Model : GFTB 200, SN : 34903046</t>
  </si>
  <si>
    <t>Thermohygrolight, Merek : KIMO, Model : KH-210-AO, SN : 14082463</t>
  </si>
  <si>
    <t>INTERPOLASI KOREKSI KELEMBABAN</t>
  </si>
  <si>
    <t>INTERPOLASI KOREKSI SUHU</t>
  </si>
  <si>
    <t xml:space="preserve"> )</t>
  </si>
  <si>
    <t xml:space="preserve"> ± </t>
  </si>
  <si>
    <t xml:space="preserve">( </t>
  </si>
  <si>
    <t xml:space="preserve"> %RH</t>
  </si>
  <si>
    <t xml:space="preserve"> °C</t>
  </si>
  <si>
    <t>Konversi TEXT</t>
  </si>
  <si>
    <t>Suhu</t>
  </si>
  <si>
    <r>
      <rPr>
        <b/>
        <sz val="11"/>
        <rFont val="Times New Roman"/>
        <family val="1"/>
      </rPr>
      <t>°</t>
    </r>
    <r>
      <rPr>
        <b/>
        <i/>
        <sz val="11"/>
        <rFont val="Times New Roman"/>
        <family val="1"/>
      </rPr>
      <t>C</t>
    </r>
  </si>
  <si>
    <t>Rata-rata Terkoreksi</t>
  </si>
  <si>
    <t>Rata-rata standar</t>
  </si>
  <si>
    <t>Kelembaban</t>
  </si>
  <si>
    <t>G</t>
  </si>
  <si>
    <t>No urut alat</t>
  </si>
  <si>
    <r>
      <rPr>
        <b/>
        <sz val="11"/>
        <rFont val="Calibri"/>
        <family val="2"/>
      </rPr>
      <t>°</t>
    </r>
    <r>
      <rPr>
        <b/>
        <i/>
        <sz val="11"/>
        <rFont val="Times New Roman"/>
        <family val="1"/>
      </rPr>
      <t>C</t>
    </r>
  </si>
  <si>
    <t>KOREKSI Sekonic HE-21.000670</t>
  </si>
  <si>
    <t>KOREKSI Sekonic HE-21.000669</t>
  </si>
  <si>
    <t>KOREKSI GREISINGER 34904091</t>
  </si>
  <si>
    <t>KOREKSI GREISINGER 34903051</t>
  </si>
  <si>
    <t>KOREKSI GREISINGER 34903053</t>
  </si>
  <si>
    <t>KOREKSI GREISINGER 34903046</t>
  </si>
  <si>
    <t>KOREKSI KIMO THERMOHYGROMETER 15062875</t>
  </si>
  <si>
    <t>KOREKSI KIMO THERMOHYGROMETER 15062872</t>
  </si>
  <si>
    <t>KOREKSI KIMO THERMOHYGROMETER 14082463</t>
  </si>
  <si>
    <t>KOREKSI KIMO THERMOHYGROMETER 15062874</t>
  </si>
  <si>
    <t>KOREKSI KIMO THERMOHYGROMETER 15062873</t>
  </si>
  <si>
    <t>INPUT SERTIFIKAT THERMOHYGROMETER</t>
  </si>
  <si>
    <t>Pembacaan terkoreksi</t>
  </si>
  <si>
    <t>Resistansi Isolasi</t>
  </si>
  <si>
    <t>Resistansi Pembumian Protektif (kabel dapat dilepas)*</t>
  </si>
  <si>
    <t>Resistansi Pembumian Protektif (kabel tidak dapat dilepas)*</t>
  </si>
  <si>
    <t>Resistansi Pembumian Protektif (kabel dapat dilepas)</t>
  </si>
  <si>
    <t>Resistansi Pembumian Protektif (kabel tidak dapat dilepas)</t>
  </si>
  <si>
    <t xml:space="preserve">Koreksi + U95 </t>
  </si>
  <si>
    <t>&gt; 2</t>
  </si>
  <si>
    <t>Anak</t>
  </si>
  <si>
    <t>Bayi</t>
  </si>
  <si>
    <t>Klasifikasi :</t>
  </si>
  <si>
    <t>Dewasa,  Anak,  Bayi</t>
  </si>
  <si>
    <t>Dewasa</t>
  </si>
  <si>
    <t>Setting Pada Standar</t>
  </si>
  <si>
    <t>Respirasi       (BrPM)</t>
  </si>
  <si>
    <r>
      <t>+</t>
    </r>
    <r>
      <rPr>
        <sz val="11"/>
        <rFont val="Arial"/>
        <family val="2"/>
      </rPr>
      <t xml:space="preserve"> 5 mmHg</t>
    </r>
  </si>
  <si>
    <t>Choirul Huda, S.Tr.Kes</t>
  </si>
  <si>
    <t>MK.012-18</t>
  </si>
  <si>
    <t>KL.UB - 012-18 / REV : 0</t>
  </si>
  <si>
    <t>Tanggal Kalibrasi</t>
  </si>
  <si>
    <t>Tempat Kalibrasi</t>
  </si>
  <si>
    <t>Petugas Kalibrasi</t>
  </si>
  <si>
    <t>Alat yang dikalibrasi dalam batas toleransi dan dinyatakan LAIK PAKAI, dimana hasil atau skor akhir sama dengan atau melampaui 70 % berdasarkan Keputusan Direktur Jenderal Pelayanan Kesehatan No : HK.02.02/V/0412/2020</t>
  </si>
  <si>
    <t>Alat yang dikalibrasi melebihi batas toleransi dan dinyatakan TIDAK LAIK PAKAI, dimana hasil atau skor akhir dibawah 70 % berdasarkan Keputusan Direktur Jenderal Pelayanan Kesehatan No : HK.02.02/V/0412/2020</t>
  </si>
  <si>
    <t>NC</t>
  </si>
  <si>
    <t>NG</t>
  </si>
  <si>
    <t>PS420 (1827060)</t>
  </si>
  <si>
    <t>Caltek</t>
  </si>
  <si>
    <t>Setting Amplitude</t>
  </si>
  <si>
    <r>
      <t xml:space="preserve">( </t>
    </r>
    <r>
      <rPr>
        <b/>
        <sz val="10"/>
        <rFont val="Calibri"/>
        <family val="2"/>
      </rPr>
      <t>m</t>
    </r>
    <r>
      <rPr>
        <b/>
        <sz val="10"/>
        <rFont val="Arial"/>
        <family val="2"/>
      </rPr>
      <t>V )</t>
    </r>
  </si>
  <si>
    <t>mv</t>
  </si>
  <si>
    <t>coreksi</t>
  </si>
  <si>
    <t>Setting Square</t>
  </si>
  <si>
    <t>( Hz )</t>
  </si>
  <si>
    <t>xx</t>
  </si>
  <si>
    <t>Setting Sine</t>
  </si>
  <si>
    <t>XX</t>
  </si>
  <si>
    <t>RIGEL (05J-0804)***</t>
  </si>
  <si>
    <t>RIGEL (45K-1036)***</t>
  </si>
  <si>
    <t>RIGEL (45K-1059)</t>
  </si>
  <si>
    <t>RIGEL  PatSim200, SN : 15L-0684</t>
  </si>
  <si>
    <t>RIGEL PatSim200, SN : 11L-0293</t>
  </si>
  <si>
    <t>RIGEL 1</t>
  </si>
  <si>
    <t>RIGEL  2</t>
  </si>
  <si>
    <t>RIGEL 3</t>
  </si>
  <si>
    <t>RIGEL 4</t>
  </si>
  <si>
    <t>RIGEL  5</t>
  </si>
  <si>
    <t>RIGEL 6</t>
  </si>
  <si>
    <t>RIGEL 7</t>
  </si>
  <si>
    <t>RIGEL  8</t>
  </si>
  <si>
    <t>RIGEL 9</t>
  </si>
  <si>
    <t>RIGEL 10</t>
  </si>
  <si>
    <t>RIGEL  11</t>
  </si>
  <si>
    <t>RIGEL 12</t>
  </si>
  <si>
    <t>Resolusi</t>
  </si>
  <si>
    <t>Multiparameter Simulator, Merek : Fluke Biomedical, Model : PS 410, SN : 21033</t>
  </si>
  <si>
    <t>Multiparameter Simulator, Merek : Fluke Biomedical, Model : PS 420, SN : 1826055</t>
  </si>
  <si>
    <t>Multiparameter Simulator, Merek : Fluke Biomedical, Model : PS 420, SN : 1827060</t>
  </si>
  <si>
    <t>Multiparameter Simulator, Merek : Fluke Biomedical, Model : MPS 450, SN : 184633</t>
  </si>
  <si>
    <t>Multiparameter Simulator, Merek : Fluke Biomedical, Model : MPS 450, SN : 184635</t>
  </si>
  <si>
    <t>Vital Sign Simulator, Merek : Fluke Biomedical, Model : Prosim 8, SN : 3217028</t>
  </si>
  <si>
    <t>Vital Sign Simulator, Merek : Fluke Biomedical, Model : Prosim 8, SN : 3188428</t>
  </si>
  <si>
    <t>Vital Sign Simulator, Merek : RIGEL, Model : UNI-SiM, SN : 05J-0804</t>
  </si>
  <si>
    <t>Vital Sign Simulator, Merek : RIGEL, Model : UNI-SiM, SN : 45K-1036</t>
  </si>
  <si>
    <t>Vital Sign Simulator, Merek : RIGEL, Model : UNI-SiM, SN : 45K-1059</t>
  </si>
  <si>
    <t>Multiparameter Simulator, Merek : RIGEL , Model : PatSim200, SN : 15L-0684</t>
  </si>
  <si>
    <t>Multiparameter Simulator, Merek : RIGEL , Model : PatSim200, SN : 11L-0293</t>
  </si>
  <si>
    <t>Vital Sign Simulator, Merek : RIGEL1</t>
  </si>
  <si>
    <t>Vital Sign Simulator, Merek : RIGEL2</t>
  </si>
  <si>
    <t>Vital Sign Simulator, Merek : RIGEL3</t>
  </si>
  <si>
    <t>Vital Sign Simulator, Merek : RIGEL4</t>
  </si>
  <si>
    <t>Vital Sign Simulator, Merek : RIGEL5</t>
  </si>
  <si>
    <t>Vital Sign Simulator, Merek : RIGEL6</t>
  </si>
  <si>
    <t>Vital Sign Simulator, Merek : RIGEL7</t>
  </si>
  <si>
    <t>Vital Sign Simulator, Merek : RIGEL8</t>
  </si>
  <si>
    <t>Vital Sign Simulator, Merek : RIGEL9</t>
  </si>
  <si>
    <t>Vital Sign Simulator, Merek : RIGEL10</t>
  </si>
  <si>
    <t>Vital Sign Simulator, Merek : RIGEL11</t>
  </si>
  <si>
    <t>Vital Sign Simulator, Merek : RIGEL12</t>
  </si>
  <si>
    <t>( BrPM )</t>
  </si>
  <si>
    <t>Koreksi 
(%)</t>
  </si>
  <si>
    <t xml:space="preserve">U95 </t>
  </si>
  <si>
    <t>U95 
(%)</t>
  </si>
  <si>
    <t>BrPM</t>
  </si>
  <si>
    <t>HEART RATE</t>
  </si>
  <si>
    <t>RESPIRASI</t>
  </si>
  <si>
    <t>Setting Standar
(BPM)</t>
  </si>
  <si>
    <t>Setting Standar
(BrPM)</t>
  </si>
  <si>
    <t>Rata-rata Pembacaan</t>
  </si>
  <si>
    <t>tertelusur ke Satuan Internasional ( SI ) melalui Caltek PTE LTD</t>
  </si>
  <si>
    <t>Rata-rata Pembacaan Terkoreksi</t>
  </si>
  <si>
    <t>Interpolasi Drift</t>
  </si>
  <si>
    <t>Interpolasi U95</t>
  </si>
  <si>
    <t>Hasil kalibrasi NIBP</t>
  </si>
  <si>
    <t>Stdev</t>
  </si>
  <si>
    <t>Interpolasi koreksi</t>
  </si>
  <si>
    <t>U 95</t>
  </si>
  <si>
    <t>Rata - rata Pembacaan Alat</t>
  </si>
  <si>
    <t>Handheld NIBP Simulator, Merek : ACCUPULSE PLUS, Model : AH-2, SN : HH12080311</t>
  </si>
  <si>
    <t>Handheld NIBP Simulator, Merek : ACCUPULSE PLUS, Model : AH-2, SN : HH12080309</t>
  </si>
  <si>
    <t>Vital Sign Simulator, Merek : RIGEL, Model : UNI - SIM, SN : 05J - 0804</t>
  </si>
  <si>
    <t>SPO₂ Simulator, Merek : Fluke, Model : SPOTLIGHT, SN : 2799069</t>
  </si>
  <si>
    <t>SPO₂ Simulator, Merek : Fluke, Model : SPOTLIGHT, SN : 2799009</t>
  </si>
  <si>
    <t>Hasil kalibrasi Pulse Oximetri</t>
  </si>
  <si>
    <t>1. Suhu</t>
  </si>
  <si>
    <t>SPO2 (%)</t>
  </si>
  <si>
    <t>Respirasi (BrPM)</t>
  </si>
  <si>
    <t>Heart Rate (BPM)</t>
  </si>
  <si>
    <t>Pulse Rate (BPM)</t>
  </si>
  <si>
    <t>Dibuat Oleh</t>
  </si>
  <si>
    <t>Penyelia</t>
  </si>
  <si>
    <r>
      <t>n</t>
    </r>
    <r>
      <rPr>
        <vertAlign val="subscript"/>
        <sz val="11"/>
        <color theme="0"/>
        <rFont val="Times New Roman"/>
        <family val="1"/>
      </rPr>
      <t>eff</t>
    </r>
    <r>
      <rPr>
        <sz val="11"/>
        <color theme="0"/>
        <rFont val="Times New Roman"/>
        <family val="1"/>
      </rPr>
      <t xml:space="preserve"> = u</t>
    </r>
    <r>
      <rPr>
        <vertAlign val="subscript"/>
        <sz val="11"/>
        <color theme="0"/>
        <rFont val="Times New Roman"/>
        <family val="1"/>
      </rPr>
      <t>c</t>
    </r>
    <r>
      <rPr>
        <vertAlign val="superscript"/>
        <sz val="11"/>
        <color theme="0"/>
        <rFont val="Times New Roman"/>
        <family val="1"/>
      </rPr>
      <t>4</t>
    </r>
    <r>
      <rPr>
        <sz val="11"/>
        <color theme="0"/>
        <rFont val="Times New Roman"/>
        <family val="1"/>
      </rPr>
      <t xml:space="preserve"> / [</t>
    </r>
    <r>
      <rPr>
        <sz val="11"/>
        <color theme="0"/>
        <rFont val="Symbol"/>
        <family val="1"/>
        <charset val="2"/>
      </rPr>
      <t>S</t>
    </r>
    <r>
      <rPr>
        <sz val="11"/>
        <color theme="0"/>
        <rFont val="Times New Roman"/>
        <family val="1"/>
      </rPr>
      <t>(u</t>
    </r>
    <r>
      <rPr>
        <vertAlign val="subscript"/>
        <sz val="11"/>
        <color theme="0"/>
        <rFont val="Times New Roman"/>
        <family val="1"/>
      </rPr>
      <t>i</t>
    </r>
    <r>
      <rPr>
        <sz val="11"/>
        <color theme="0"/>
        <rFont val="Times New Roman"/>
        <family val="1"/>
      </rPr>
      <t xml:space="preserve"> c</t>
    </r>
    <r>
      <rPr>
        <vertAlign val="subscript"/>
        <sz val="11"/>
        <color theme="0"/>
        <rFont val="Times New Roman"/>
        <family val="1"/>
      </rPr>
      <t>i</t>
    </r>
    <r>
      <rPr>
        <sz val="11"/>
        <color theme="0"/>
        <rFont val="Times New Roman"/>
        <family val="1"/>
      </rPr>
      <t>)</t>
    </r>
    <r>
      <rPr>
        <vertAlign val="superscript"/>
        <sz val="11"/>
        <color theme="0"/>
        <rFont val="Times New Roman"/>
        <family val="1"/>
      </rPr>
      <t xml:space="preserve"> 4</t>
    </r>
    <r>
      <rPr>
        <sz val="11"/>
        <color theme="0"/>
        <rFont val="Times New Roman"/>
        <family val="1"/>
      </rPr>
      <t>/</t>
    </r>
    <r>
      <rPr>
        <sz val="11"/>
        <color theme="0"/>
        <rFont val="Symbol"/>
        <family val="1"/>
        <charset val="2"/>
      </rPr>
      <t>n</t>
    </r>
    <r>
      <rPr>
        <vertAlign val="subscript"/>
        <sz val="11"/>
        <color theme="0"/>
        <rFont val="Times New Roman"/>
        <family val="1"/>
      </rPr>
      <t>i</t>
    </r>
    <r>
      <rPr>
        <sz val="11"/>
        <color theme="0"/>
        <rFont val="Times New Roman"/>
        <family val="1"/>
      </rPr>
      <t>]</t>
    </r>
  </si>
  <si>
    <t>No.</t>
  </si>
  <si>
    <t>Revisi</t>
  </si>
  <si>
    <t>Pelaksana</t>
  </si>
  <si>
    <t>Penanggung jawab</t>
  </si>
  <si>
    <t>* maximal keluar 1</t>
  </si>
  <si>
    <t>* maximal keluar 2</t>
  </si>
  <si>
    <t>Tanggal Penerimaan Alat</t>
  </si>
  <si>
    <t>SPO₂ Simulator, Merek : Fluke, Model : SPOTLIGHT, SN : 2812009</t>
  </si>
  <si>
    <t>SPO₂ Simulator, Merek : Fluke, Model : SPOTLIGHT, SN : 4403084</t>
  </si>
  <si>
    <t>SPO₂ Simulator, Merek : Fluke, Model : SPOTLIGHT, SN : 4352022</t>
  </si>
  <si>
    <t>SPO₂ Simulator, Merek : Fluke, Model : SPOTLIGHT, SN : 4404040</t>
  </si>
  <si>
    <t>SPO₂ Simulator, Merek : Fluke, Model : SPOTLIGHT, SN : 4589019</t>
  </si>
  <si>
    <t>□  2. Vital Signs Simulator, Merek : Fluke, Model : Prosim8 (3217028) / (3188428)</t>
  </si>
  <si>
    <t>□  3. Vital Signs Simulator, Merek : Fluke, Model : Prosim8 (3217028) / (3188428)</t>
  </si>
  <si>
    <t>□  2. SPO₂ Simulator, Merek : Fluke, Model : SPOTLIGHT (2799069) / (2799009) / (2812009) / (4403084) / (4352022) (4404040) / (4589019)</t>
  </si>
  <si>
    <t>□  1. Vital Signs Simulator, Merek : RIGEL Model : UNi-SiM (05J-0804) / (11L-0293)</t>
  </si>
  <si>
    <t>□  3. Vital Sign Simulator, Merek : RIGEL, Model : UNI - SIM, SN : 05J - 0804  / (11L-0293)</t>
  </si>
  <si>
    <t>Vital Sign Simulator, Merek : Fluke Biomedical, Model : Prosim 8, SN : 5144556</t>
  </si>
  <si>
    <t>Vital Sign Simulator, Merek : Rigel, Model : UNI-SIM , SN : 45K-1036</t>
  </si>
  <si>
    <t>Vital Sign Simulator, Merek : Rigel, Model : UNI-SIM , SN : 45K-1059</t>
  </si>
  <si>
    <t>Vital Sign Simulator, Merek : Fluke Biomedical, Model : Prosim 4, SN : 4422046</t>
  </si>
  <si>
    <t>Vital Sign Simulator, Merek : Fluke Biomedical, Model : Prosim 4, SN : 4416070</t>
  </si>
  <si>
    <t>NIBP Simulator, Merek : RIGEL, Model : BP - SIM, SN : 12L-0536</t>
  </si>
  <si>
    <t>NIBP Simulator, Merek : RIGEL, Model : BP - SIM, SN : 44L-1084</t>
  </si>
  <si>
    <t>NIBP Simulator, Merek : RIGEL, Model : BP - SIM, SN : 12L-0534</t>
  </si>
  <si>
    <t>NIBP Simulator, Merek : RIGEL, Model : BP - SIM, SN : 06L-0610</t>
  </si>
  <si>
    <t>Thermohygrolight, Merek : Greisinger, Model : GFTB 200, SN : 34903051</t>
  </si>
  <si>
    <t>4 2 22</t>
  </si>
  <si>
    <t>Hasil</t>
  </si>
  <si>
    <t>Tegangan jala-jala listrik</t>
  </si>
  <si>
    <t>INPUT DATA SERTIFIKAT ESA</t>
  </si>
  <si>
    <t>KOREKSI ESA</t>
  </si>
  <si>
    <t>Setting VAC</t>
  </si>
  <si>
    <t>Driff</t>
  </si>
  <si>
    <t>Tahanan isolasi kabel catu daya</t>
  </si>
  <si>
    <t>( V )</t>
  </si>
  <si>
    <t>Resistansi pembumian protektif</t>
  </si>
  <si>
    <t>Current Leakage</t>
  </si>
  <si>
    <t>Arus bocor</t>
  </si>
  <si>
    <t>( uA )</t>
  </si>
  <si>
    <t>Main-PE</t>
  </si>
  <si>
    <r>
      <rPr>
        <b/>
        <i/>
        <sz val="11"/>
        <rFont val="Times New Roman"/>
        <family val="1"/>
      </rPr>
      <t>( M</t>
    </r>
    <r>
      <rPr>
        <b/>
        <sz val="11"/>
        <rFont val="Calibri"/>
        <family val="2"/>
      </rPr>
      <t>Ω</t>
    </r>
    <r>
      <rPr>
        <b/>
        <i/>
        <sz val="11"/>
        <rFont val="Times New Roman"/>
        <family val="1"/>
      </rPr>
      <t xml:space="preserve"> )</t>
    </r>
  </si>
  <si>
    <t>Resistance</t>
  </si>
  <si>
    <r>
      <rPr>
        <b/>
        <i/>
        <sz val="11"/>
        <rFont val="Times New Roman"/>
        <family val="1"/>
      </rPr>
      <t xml:space="preserve">( </t>
    </r>
    <r>
      <rPr>
        <b/>
        <sz val="11"/>
        <rFont val="Calibri"/>
        <family val="2"/>
      </rPr>
      <t>Ω</t>
    </r>
    <r>
      <rPr>
        <b/>
        <i/>
        <sz val="11"/>
        <rFont val="Times New Roman"/>
        <family val="1"/>
      </rPr>
      <t xml:space="preserve"> )</t>
    </r>
  </si>
  <si>
    <t>Electrical Safety Analyzer, Merek : Fluke, Model : ESA 615, SN : 2853077</t>
  </si>
  <si>
    <t>Electrical Safety Analyzer, Merek : Fluke, Model : ESA 615, SN : 3148908</t>
  </si>
  <si>
    <t>Electrical Safety Analyzer, Merek : Fluke, Model : ESA 615, SN : 3699030</t>
  </si>
  <si>
    <t>Electrical Safety Analyzer, Merek : Fluke, Model : ESA 615, SN : 4669058</t>
  </si>
  <si>
    <t>Electrical Safety Analyzer, Merek : Fluke, Model : ESA 615, SN : 4670010</t>
  </si>
  <si>
    <t>Catu daya menggunakan baterai</t>
  </si>
  <si>
    <t>Electrical Safety Analyzer, Merek : Fluke, Model : ESA 615, SN : --</t>
  </si>
  <si>
    <t>Electrical Safety Analyzer 11</t>
  </si>
  <si>
    <t>Electrical Safety Analyzer 12</t>
  </si>
  <si>
    <t>Tekanan</t>
  </si>
  <si>
    <t>hPa</t>
  </si>
  <si>
    <t>KOREKSI EXTECH A.100586</t>
  </si>
  <si>
    <t>KOREKSI EXTECH A.100605</t>
  </si>
  <si>
    <t>KOREKSI EXTECH A.100609</t>
  </si>
  <si>
    <t>KOREKSI EXTECH A.100611</t>
  </si>
  <si>
    <t>KOREKSI EXTECH A.100616</t>
  </si>
  <si>
    <t>KOREKSI EXTECH A.100617</t>
  </si>
  <si>
    <t>KOREKSI EXTECH A.100618</t>
  </si>
  <si>
    <t>KOREKSI EXTECH A.100615</t>
  </si>
  <si>
    <t>HASIL</t>
  </si>
  <si>
    <t>INTERPOLASI KOREKSI TEKANAN</t>
  </si>
  <si>
    <t xml:space="preserve"> hPa</t>
  </si>
  <si>
    <t>Thermohygrolight, Merek : EXTECH, Model : SD700, SN : A.100586</t>
  </si>
  <si>
    <t>Thermohygrolight, Merek : EXTECH, Model : SD700, SN : A.100605</t>
  </si>
  <si>
    <t>Thermohygrolight, Merek : EXTECH, Model : SD700, SN : A.100609</t>
  </si>
  <si>
    <t>Thermohygrolight, Merek : EXTECH, Model : SD700, SN : A.100611</t>
  </si>
  <si>
    <t>Thermohygrolight, Merek : EXTECH, Model : SD700, SN : A.100616</t>
  </si>
  <si>
    <t>Thermohygrolight, Merek : EXTECH, Model : SD700, SN : A.100617</t>
  </si>
  <si>
    <t>Thermohygrolight, Merek : EXTECH, Model : SD700, SN : A.100618</t>
  </si>
  <si>
    <t>Thermohygrolight, Merek : EXTECH, Model : SD700, SN : A.100615</t>
  </si>
  <si>
    <t>24 2 2022</t>
  </si>
  <si>
    <t>Tehrmohygro</t>
  </si>
  <si>
    <t>Sudah</t>
  </si>
  <si>
    <t>Iqbal</t>
  </si>
  <si>
    <t xml:space="preserve">Nama </t>
  </si>
  <si>
    <t>Model</t>
  </si>
  <si>
    <t>SN</t>
  </si>
  <si>
    <t>05J-0804</t>
  </si>
  <si>
    <t>45K-1036</t>
  </si>
  <si>
    <t>45K-1059</t>
  </si>
  <si>
    <t>15L-0684</t>
  </si>
  <si>
    <t>11L-0293</t>
  </si>
  <si>
    <t>PS 410</t>
  </si>
  <si>
    <t>PS 420</t>
  </si>
  <si>
    <t>MPS 450</t>
  </si>
  <si>
    <t>Prosim 8</t>
  </si>
  <si>
    <t>UNI-SiM</t>
  </si>
  <si>
    <t>PatSim200</t>
  </si>
  <si>
    <t>Fluke Biomedical</t>
  </si>
  <si>
    <t>RIGEL</t>
  </si>
  <si>
    <t>SPOTLIGHT</t>
  </si>
  <si>
    <t>Fluke</t>
  </si>
  <si>
    <t>Multiparameter Simulator</t>
  </si>
  <si>
    <t>Vital Sign Simulator</t>
  </si>
  <si>
    <t>SPO₂ Simulator</t>
  </si>
  <si>
    <t>HH12080311</t>
  </si>
  <si>
    <t>HH12080309</t>
  </si>
  <si>
    <t>Prosim 4</t>
  </si>
  <si>
    <t>BP - SIM</t>
  </si>
  <si>
    <t>12L-0534</t>
  </si>
  <si>
    <t>12L-0536</t>
  </si>
  <si>
    <t>44L-1084</t>
  </si>
  <si>
    <t>06L-0610</t>
  </si>
  <si>
    <t>ACCUPULSE PLUS</t>
  </si>
  <si>
    <t>AH-2</t>
  </si>
  <si>
    <t>Electrical Safety Analyzer</t>
  </si>
  <si>
    <t>ESA 620</t>
  </si>
  <si>
    <t>ESA 621</t>
  </si>
  <si>
    <t>ESA 615</t>
  </si>
  <si>
    <t>ESA 616</t>
  </si>
  <si>
    <t>ESA 617</t>
  </si>
  <si>
    <t>ESA 618</t>
  </si>
  <si>
    <t>ESA 619</t>
  </si>
  <si>
    <t>Thermohygrolight</t>
  </si>
  <si>
    <t>KIMO</t>
  </si>
  <si>
    <t>KH-210-AO</t>
  </si>
  <si>
    <t>Greisinger</t>
  </si>
  <si>
    <t>GFTB 200</t>
  </si>
  <si>
    <t>GFTB 201</t>
  </si>
  <si>
    <t>GFTB 202</t>
  </si>
  <si>
    <t>GFTB 203</t>
  </si>
  <si>
    <t>Sekonic</t>
  </si>
  <si>
    <t>ST-50A</t>
  </si>
  <si>
    <t>HE-21.000669</t>
  </si>
  <si>
    <t>HE-21.000670</t>
  </si>
  <si>
    <t>EXTECH</t>
  </si>
  <si>
    <t>SD700</t>
  </si>
  <si>
    <t>A.100611</t>
  </si>
  <si>
    <t>SD701</t>
  </si>
  <si>
    <t>A.100609</t>
  </si>
  <si>
    <t>SD702</t>
  </si>
  <si>
    <t>A.100605</t>
  </si>
  <si>
    <t>SD703</t>
  </si>
  <si>
    <t>A.100617</t>
  </si>
  <si>
    <t>SD704</t>
  </si>
  <si>
    <t>A.100616</t>
  </si>
  <si>
    <t>SD705</t>
  </si>
  <si>
    <t>A.100618</t>
  </si>
  <si>
    <t>SD706</t>
  </si>
  <si>
    <t>A.100586</t>
  </si>
  <si>
    <t>Handheld NIBP Simulator</t>
  </si>
  <si>
    <t>NIBP Simulator</t>
  </si>
  <si>
    <t>KL. 012-18</t>
  </si>
  <si>
    <t>SUDAH</t>
  </si>
  <si>
    <t>HARY</t>
  </si>
  <si>
    <t>2 3 22</t>
  </si>
  <si>
    <t>IQBAL</t>
  </si>
  <si>
    <t>V LOOK UP ESA</t>
  </si>
  <si>
    <t>Forecast INTERPOLASI</t>
  </si>
  <si>
    <t>Ketidakpastian Pengukuran Kinerja Pulse Oxymetri dilaporkan pada tingkat kepercayaan 95 % dengan faktor cakupan k = 2</t>
  </si>
  <si>
    <t>Terkoreksi</t>
  </si>
  <si>
    <t>Tidak terdapat grounding di ruangan</t>
  </si>
  <si>
    <t>Kelas I</t>
  </si>
  <si>
    <t>Input NC</t>
  </si>
  <si>
    <t>Alat tidak boleh digunakan pada instalasi tanpa dilengkapi grounding</t>
  </si>
  <si>
    <t>Arus Bocor</t>
  </si>
  <si>
    <t>Instalasi</t>
  </si>
  <si>
    <t>2  3 22</t>
  </si>
  <si>
    <t>skoring kelistrikan</t>
  </si>
  <si>
    <t>sudah</t>
  </si>
  <si>
    <t>iqbal</t>
  </si>
  <si>
    <t>INPUT DATA KALIBRASI PATIENT MONITOR</t>
  </si>
  <si>
    <t>HASIL KALIBRASI PATIENT MONITOR</t>
  </si>
  <si>
    <t>LEMBAR KERJA KALIBRASI PATIENT MONITOR</t>
  </si>
  <si>
    <t>Thermohygrolight, Merek : KIMO, Model : KH-210-AO, SN : 15062873</t>
  </si>
  <si>
    <t>Thermohygrolight, Merek : KIMO, Model : KH-210-AO, SN : 15062874</t>
  </si>
  <si>
    <t>Thermohygrolight, Merek : KIMO, Model : KH-210-AO, SN : 15062872</t>
  </si>
  <si>
    <t>Thermohygrolight, Merek : KIMO, Model : KH-210-AO, SN : 15062875</t>
  </si>
  <si>
    <t>MΩ</t>
  </si>
  <si>
    <t>SERTIFIKAT KALIBRASI</t>
  </si>
  <si>
    <t xml:space="preserve">                                                                 </t>
  </si>
  <si>
    <t xml:space="preserve">Nama Alat            : </t>
  </si>
  <si>
    <t xml:space="preserve">Nomor Order           : </t>
  </si>
  <si>
    <t>Model / Tipe</t>
  </si>
  <si>
    <t>Nomor Seri</t>
  </si>
  <si>
    <t>Nama Pemilik      :</t>
  </si>
  <si>
    <t xml:space="preserve">Identitas Pemilik     : </t>
  </si>
  <si>
    <t>Alamat Pemilik</t>
  </si>
  <si>
    <t>Banjarbaru,</t>
  </si>
  <si>
    <t>Kepala Loka Pengamanan</t>
  </si>
  <si>
    <t>Fasilitas Kesehatan Banjarbaru</t>
  </si>
  <si>
    <t>Yuni Irmawati, SKM., MA</t>
  </si>
  <si>
    <t>NIP 197806222002122001</t>
  </si>
  <si>
    <t>I.</t>
  </si>
  <si>
    <t>II.</t>
  </si>
  <si>
    <t>Electrical Safety Analyzer, Merek : Fluke, Model : ESA 620, SN : 1837056</t>
  </si>
  <si>
    <t>Electrical Safety Analyzer, Merek : Fluke, Model : ESA 620, SN : 1834020</t>
  </si>
  <si>
    <t>Electrical Safety Analyzer, Merek : Fluke, Model : ESA 615, SN : 2853078</t>
  </si>
  <si>
    <t>Electrical Safety Analyzer, Merek : Fluke, Model : ESA 615, SN : 3148907</t>
  </si>
  <si>
    <t>tertelusur ke Satuan Internasional ( SI ) melalui PT. Kaliman</t>
  </si>
  <si>
    <t xml:space="preserve"> Medi Globe</t>
  </si>
  <si>
    <t xml:space="preserve"> Garuda 12</t>
  </si>
  <si>
    <t xml:space="preserve"> G122008063</t>
  </si>
  <si>
    <t xml:space="preserve"> OK</t>
  </si>
  <si>
    <t xml:space="preserve"> MK.012-18</t>
  </si>
  <si>
    <t xml:space="preserve"> Baik</t>
  </si>
  <si>
    <t xml:space="preserve"> Tidak Baik</t>
  </si>
  <si>
    <t xml:space="preserve"> 19 Januari 2020</t>
  </si>
  <si>
    <t xml:space="preserve"> 20 Januari 2020</t>
  </si>
  <si>
    <t>Laik Pakai, disarankan untuk dikalibrasi ulang pada tanggal…......</t>
  </si>
  <si>
    <t>NOMOR ORDER</t>
  </si>
  <si>
    <t>KUNCI KOP SERTIFIKAT</t>
  </si>
  <si>
    <t>PENENTU KOP SERTIFIKAT</t>
  </si>
  <si>
    <t>BAHAN</t>
  </si>
  <si>
    <t>SERTIFIKAT PENGUJIAN</t>
  </si>
  <si>
    <t>5.4.2022</t>
  </si>
  <si>
    <t>Tambah sheet sertifikat</t>
  </si>
  <si>
    <t>done</t>
  </si>
  <si>
    <t>Rev 5 : 5.4.2022</t>
  </si>
  <si>
    <t>Tegangan U 95</t>
  </si>
  <si>
    <t xml:space="preserve"> ) </t>
  </si>
  <si>
    <t>Hasil pengukuran keselamatan listrik tertelusur ke Satuan Internasional ( SI ) melalui PT. Kaliman</t>
  </si>
  <si>
    <t>drift</t>
  </si>
  <si>
    <t>1 / I - 22 / E - 060.26 DL</t>
  </si>
  <si>
    <t xml:space="preserve">Nomor Sertifikat : 7 / </t>
  </si>
  <si>
    <t>Tidak dilakukan pengujian keselamatan listrik</t>
  </si>
  <si>
    <t xml:space="preserve">Nomor Surat Keterangan : 7 / M - </t>
  </si>
  <si>
    <t xml:space="preserve">Aksesoris Lead EKG tidak tersedia </t>
  </si>
  <si>
    <t xml:space="preserve">Aksesoris NIBP tidak tersedia </t>
  </si>
  <si>
    <t>Hasil kalibrasi Heart Rate</t>
  </si>
  <si>
    <t xml:space="preserve">Hasil kalibrasi Respirasi </t>
  </si>
  <si>
    <t>Ketidakpastian Pengukuran Kinerja Heart Rate dilaporkan pada tingkat kepercayaan 95 % dengan faktor cakupan k = 2</t>
  </si>
  <si>
    <t>Hasil kalibrasi Heart Rate tertelusur ke Satuan Internasional ( SI ) melalui Caltek PTE LTD</t>
  </si>
  <si>
    <t>Hasil kalibrasi Respirasi tertelusur ke Satuan Internasional ( SI ) melalui Caltek PTE LTD</t>
  </si>
  <si>
    <t>tertelusur ke Satuan Internasional melalui Caltek PTE LTD</t>
  </si>
  <si>
    <t>SURAT KETERANGAN</t>
  </si>
  <si>
    <t xml:space="preserve">Dengan ini kami sampaikan bahwa setelah dilakukan pengujian / kalibrasi alat kesehatan oleh tim Loka Pengamanan Fasilitas Kesehatan Banjarbaru, </t>
  </si>
  <si>
    <t>Nama Pemilik Alat</t>
  </si>
  <si>
    <t>Alamat</t>
  </si>
  <si>
    <t>Nomor Order</t>
  </si>
  <si>
    <t>Bahwa alat kesehatan tersebut dibawah ini :</t>
  </si>
  <si>
    <t>Nama Alat</t>
  </si>
  <si>
    <t>Merk</t>
  </si>
  <si>
    <t>Serial Number</t>
  </si>
  <si>
    <t>1.</t>
  </si>
  <si>
    <r>
      <t xml:space="preserve">Dinyatakan </t>
    </r>
    <r>
      <rPr>
        <b/>
        <i/>
        <u/>
        <sz val="12"/>
        <color theme="1"/>
        <rFont val="Times New Roman"/>
        <family val="1"/>
      </rPr>
      <t xml:space="preserve">tidak aman untuk pelayanan </t>
    </r>
    <r>
      <rPr>
        <sz val="12"/>
        <color theme="1"/>
        <rFont val="Times New Roman"/>
        <family val="1"/>
      </rPr>
      <t>dikarenakan pembacaan alat melebihi batas toleransi maksimal yang diijinkan (Hasil Terlampir).</t>
    </r>
  </si>
  <si>
    <t>Demikian surat keterangan ini dibuat, untuk dapat digunakan bilamana diperlukan.</t>
  </si>
  <si>
    <t>Kepala LPFK Banjarbaru</t>
  </si>
  <si>
    <t>Patient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</si>
</sst>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"/>
    <numFmt numFmtId="165" formatCode="0.000"/>
    <numFmt numFmtId="166" formatCode="0.0000"/>
    <numFmt numFmtId="167" formatCode="0.00000"/>
    <numFmt numFmtId="168" formatCode="0\ &quot;µA&quot;"/>
    <numFmt numFmtId="169" formatCode="0.00000000"/>
    <numFmt numFmtId="170" formatCode="0.000000000"/>
    <numFmt numFmtId="171" formatCode="@\ * &quot; : &quot;"/>
    <numFmt numFmtId="172" formatCode="[$-421]dd\ mmmm\ yyyy;@"/>
    <numFmt numFmtId="173" formatCode="\≤\ 0\ \µ\A"/>
    <numFmt numFmtId="174" formatCode="\≤\ 0"/>
    <numFmt numFmtId="175" formatCode="\≤\ 0.0"/>
    <numFmt numFmtId="176" formatCode="[$-C09]d\ mmmm\ yyyy;@"/>
    <numFmt numFmtId="177" formatCode="0\ &quot;BPM&quot;"/>
    <numFmt numFmtId="178" formatCode="0E+00"/>
    <numFmt numFmtId="179" formatCode="\≥\ 0"/>
    <numFmt numFmtId="180" formatCode="0.000000"/>
    <numFmt numFmtId="181" formatCode="[$-13809]dd\ mmmm\ yyyy;@"/>
    <numFmt numFmtId="182" formatCode="[$-F800]dddd\,\ mmmm\ dd\,\ yyyy"/>
  </numFmts>
  <fonts count="14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i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Symbol"/>
      <family val="1"/>
      <charset val="2"/>
    </font>
    <font>
      <sz val="12"/>
      <name val="Times New Roman"/>
      <family val="1"/>
    </font>
    <font>
      <b/>
      <i/>
      <sz val="10"/>
      <name val="Arial"/>
      <family val="2"/>
    </font>
    <font>
      <b/>
      <sz val="11"/>
      <name val="Calibri"/>
      <family val="2"/>
    </font>
    <font>
      <b/>
      <i/>
      <u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+Mn-Ea"/>
      <charset val="1"/>
    </font>
    <font>
      <b/>
      <u/>
      <sz val="14"/>
      <name val="Calibri"/>
      <family val="2"/>
      <scheme val="minor"/>
    </font>
    <font>
      <sz val="13"/>
      <name val="Calibri"/>
      <family val="2"/>
      <scheme val="minor"/>
    </font>
    <font>
      <sz val="11"/>
      <name val="Arial"/>
      <family val="2"/>
    </font>
    <font>
      <b/>
      <i/>
      <sz val="11"/>
      <name val="Arial"/>
      <family val="2"/>
    </font>
    <font>
      <b/>
      <sz val="20"/>
      <name val="Times New Roman"/>
      <family val="1"/>
    </font>
    <font>
      <sz val="20"/>
      <name val="Calibri"/>
      <family val="2"/>
      <scheme val="minor"/>
    </font>
    <font>
      <b/>
      <u/>
      <sz val="14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0"/>
      <name val="Arial"/>
      <family val="2"/>
    </font>
    <font>
      <u/>
      <sz val="11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i/>
      <u/>
      <sz val="11"/>
      <name val="Arial"/>
      <family val="2"/>
    </font>
    <font>
      <sz val="11"/>
      <name val="Wingdings"/>
      <charset val="2"/>
    </font>
    <font>
      <sz val="10"/>
      <name val="Wingdings"/>
      <charset val="2"/>
    </font>
    <font>
      <sz val="8"/>
      <name val="Calibri"/>
      <family val="2"/>
      <scheme val="minor"/>
    </font>
    <font>
      <b/>
      <sz val="2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14"/>
      <color indexed="8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10"/>
      <color theme="0"/>
      <name val="Arial"/>
      <family val="2"/>
    </font>
    <font>
      <b/>
      <sz val="16"/>
      <name val="Times New Roman"/>
      <family val="1"/>
    </font>
    <font>
      <sz val="9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Arial"/>
      <family val="2"/>
    </font>
    <font>
      <sz val="16"/>
      <color indexed="81"/>
      <name val="Tahoma"/>
      <family val="2"/>
    </font>
    <font>
      <sz val="10"/>
      <name val="Arial"/>
      <family val="2"/>
    </font>
    <font>
      <b/>
      <sz val="36"/>
      <name val="Arial"/>
      <family val="2"/>
    </font>
    <font>
      <sz val="28"/>
      <name val="Arial"/>
      <family val="2"/>
    </font>
    <font>
      <b/>
      <sz val="10"/>
      <name val="Calibri"/>
      <family val="2"/>
    </font>
    <font>
      <b/>
      <sz val="2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8"/>
      <color theme="1"/>
      <name val="Arial"/>
      <family val="2"/>
    </font>
    <font>
      <sz val="8"/>
      <name val="Calibri"/>
      <family val="2"/>
    </font>
    <font>
      <b/>
      <sz val="9"/>
      <name val="Times New Roman"/>
      <family val="1"/>
    </font>
    <font>
      <sz val="11"/>
      <color theme="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9"/>
      <name val="Calibri"/>
      <family val="2"/>
      <scheme val="minor"/>
    </font>
    <font>
      <sz val="10"/>
      <color theme="0" tint="-0.34998626667073579"/>
      <name val="Times New Roman"/>
      <family val="1"/>
    </font>
    <font>
      <sz val="11"/>
      <color theme="0" tint="-0.34998626667073579"/>
      <name val="Arial"/>
      <family val="2"/>
    </font>
    <font>
      <b/>
      <sz val="11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i/>
      <u/>
      <sz val="8"/>
      <name val="Arial"/>
      <family val="2"/>
    </font>
    <font>
      <i/>
      <sz val="8"/>
      <name val="Arial"/>
      <family val="2"/>
    </font>
    <font>
      <b/>
      <sz val="10"/>
      <color theme="0"/>
      <name val="Arial"/>
      <family val="2"/>
    </font>
    <font>
      <b/>
      <i/>
      <sz val="11"/>
      <color theme="0"/>
      <name val="Times New Roman"/>
      <family val="1"/>
    </font>
    <font>
      <b/>
      <sz val="11"/>
      <color theme="0"/>
      <name val="Times New Roman"/>
      <family val="1"/>
    </font>
    <font>
      <vertAlign val="subscript"/>
      <sz val="11"/>
      <color theme="0"/>
      <name val="Times New Roman"/>
      <family val="1"/>
    </font>
    <font>
      <sz val="11"/>
      <color theme="0"/>
      <name val="Symbol"/>
      <family val="1"/>
      <charset val="2"/>
    </font>
    <font>
      <vertAlign val="superscript"/>
      <sz val="11"/>
      <color theme="0"/>
      <name val="Times New Roman"/>
      <family val="1"/>
    </font>
    <font>
      <sz val="12"/>
      <color theme="0"/>
      <name val="Times New Roman"/>
      <family val="1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name val="Wingdings"/>
      <charset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6"/>
      <color indexed="81"/>
      <name val="Tahoma"/>
      <family val="2"/>
    </font>
    <font>
      <b/>
      <sz val="14"/>
      <color indexed="81"/>
      <name val="Tahoma"/>
      <family val="2"/>
    </font>
    <font>
      <sz val="10"/>
      <color theme="0" tint="-0.249977111117893"/>
      <name val="Arial"/>
      <family val="2"/>
    </font>
    <font>
      <i/>
      <sz val="9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4"/>
      <color indexed="81"/>
      <name val="Tahoma"/>
      <family val="2"/>
    </font>
    <font>
      <i/>
      <sz val="10"/>
      <name val="Arial"/>
      <family val="2"/>
    </font>
    <font>
      <sz val="10"/>
      <color theme="0"/>
      <name val="Times New Roman"/>
      <family val="1"/>
    </font>
    <font>
      <sz val="8"/>
      <color theme="0"/>
      <name val="Times New Roman"/>
      <family val="1"/>
    </font>
    <font>
      <sz val="10"/>
      <name val="Arial"/>
      <family val="2"/>
    </font>
    <font>
      <b/>
      <sz val="8"/>
      <color theme="0"/>
      <name val="Times New Roman"/>
      <family val="1"/>
    </font>
    <font>
      <b/>
      <sz val="12"/>
      <name val="Arial"/>
      <family val="2"/>
    </font>
    <font>
      <sz val="10"/>
      <name val="Calibri"/>
      <family val="2"/>
    </font>
    <font>
      <sz val="12"/>
      <color indexed="8"/>
      <name val="Calibri"/>
      <family val="2"/>
      <scheme val="minor"/>
    </font>
    <font>
      <sz val="11"/>
      <color theme="0"/>
      <name val="Wingdings"/>
      <charset val="2"/>
    </font>
    <font>
      <b/>
      <sz val="11"/>
      <color theme="0"/>
      <name val="Calibri"/>
      <family val="2"/>
      <scheme val="minor"/>
    </font>
    <font>
      <b/>
      <u/>
      <sz val="24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rgb="FFFFFF00"/>
      <name val="Arial"/>
      <family val="2"/>
    </font>
    <font>
      <sz val="8"/>
      <color theme="0" tint="-0.249977111117893"/>
      <name val="Arial"/>
      <family val="2"/>
    </font>
    <font>
      <sz val="8"/>
      <color rgb="FFFFFF00"/>
      <name val="Arial"/>
      <family val="2"/>
    </font>
    <font>
      <b/>
      <sz val="16"/>
      <name val="Calibri"/>
      <family val="2"/>
      <scheme val="minor"/>
    </font>
    <font>
      <sz val="10"/>
      <color theme="5" tint="-0.249977111117893"/>
      <name val="Arial"/>
      <family val="2"/>
    </font>
    <font>
      <sz val="11"/>
      <color theme="5" tint="-0.249977111117893"/>
      <name val="Times New Roman"/>
      <family val="1"/>
    </font>
    <font>
      <b/>
      <u/>
      <sz val="18"/>
      <color rgb="FFFF0000"/>
      <name val="Arial"/>
      <family val="2"/>
    </font>
    <font>
      <sz val="12"/>
      <name val="Calibri"/>
      <family val="2"/>
    </font>
    <font>
      <b/>
      <i/>
      <sz val="18"/>
      <name val="Arial"/>
      <family val="2"/>
    </font>
    <font>
      <b/>
      <sz val="8"/>
      <color theme="1"/>
      <name val="Times New Roman"/>
      <family val="1"/>
    </font>
    <font>
      <b/>
      <sz val="10"/>
      <color theme="1"/>
      <name val="Arial"/>
      <family val="2"/>
    </font>
    <font>
      <b/>
      <u/>
      <sz val="10"/>
      <color rgb="FFFF0000"/>
      <name val="Arial"/>
      <family val="2"/>
    </font>
    <font>
      <sz val="11"/>
      <color theme="0"/>
      <name val="Arial"/>
      <family val="2"/>
    </font>
    <font>
      <sz val="9"/>
      <color theme="0"/>
      <name val="Arial"/>
      <family val="2"/>
    </font>
    <font>
      <sz val="18"/>
      <color indexed="81"/>
      <name val="Tahoma"/>
      <family val="2"/>
    </font>
    <font>
      <b/>
      <u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0" borderId="0"/>
    <xf numFmtId="0" fontId="3" fillId="0" borderId="0"/>
    <xf numFmtId="0" fontId="110" fillId="0" borderId="0"/>
    <xf numFmtId="0" fontId="2" fillId="0" borderId="0"/>
    <xf numFmtId="0" fontId="115" fillId="0" borderId="0"/>
    <xf numFmtId="0" fontId="4" fillId="0" borderId="0"/>
    <xf numFmtId="0" fontId="4" fillId="0" borderId="0"/>
  </cellStyleXfs>
  <cellXfs count="1712">
    <xf numFmtId="0" fontId="0" fillId="0" borderId="0" xfId="0"/>
    <xf numFmtId="0" fontId="9" fillId="0" borderId="0" xfId="2" applyFont="1" applyAlignment="1">
      <alignment horizontal="right"/>
    </xf>
    <xf numFmtId="0" fontId="9" fillId="0" borderId="0" xfId="2" applyFont="1" applyAlignment="1">
      <alignment horizontal="center"/>
    </xf>
    <xf numFmtId="0" fontId="8" fillId="0" borderId="0" xfId="2" applyFont="1"/>
    <xf numFmtId="0" fontId="7" fillId="0" borderId="0" xfId="2" applyFont="1"/>
    <xf numFmtId="0" fontId="12" fillId="0" borderId="0" xfId="2" applyFont="1"/>
    <xf numFmtId="0" fontId="8" fillId="0" borderId="0" xfId="0" applyFont="1"/>
    <xf numFmtId="0" fontId="6" fillId="0" borderId="0" xfId="2" applyFont="1"/>
    <xf numFmtId="0" fontId="14" fillId="0" borderId="0" xfId="0" applyFont="1"/>
    <xf numFmtId="165" fontId="8" fillId="0" borderId="0" xfId="2" applyNumberFormat="1" applyFont="1" applyAlignment="1">
      <alignment horizontal="center"/>
    </xf>
    <xf numFmtId="0" fontId="17" fillId="0" borderId="6" xfId="1" applyFont="1" applyBorder="1"/>
    <xf numFmtId="0" fontId="14" fillId="0" borderId="0" xfId="1" applyFont="1"/>
    <xf numFmtId="2" fontId="14" fillId="0" borderId="0" xfId="1" applyNumberFormat="1" applyFont="1"/>
    <xf numFmtId="0" fontId="7" fillId="0" borderId="0" xfId="2" applyFont="1" applyProtection="1">
      <protection locked="0"/>
    </xf>
    <xf numFmtId="0" fontId="8" fillId="0" borderId="0" xfId="0" applyFont="1" applyProtection="1">
      <protection locked="0"/>
    </xf>
    <xf numFmtId="0" fontId="4" fillId="0" borderId="0" xfId="0" applyFont="1"/>
    <xf numFmtId="0" fontId="2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2" fontId="10" fillId="0" borderId="51" xfId="0" applyNumberFormat="1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164" fontId="8" fillId="0" borderId="0" xfId="0" applyNumberFormat="1" applyFont="1"/>
    <xf numFmtId="0" fontId="7" fillId="0" borderId="0" xfId="2" applyFont="1" applyAlignment="1">
      <alignment horizontal="left"/>
    </xf>
    <xf numFmtId="0" fontId="17" fillId="0" borderId="22" xfId="1" applyFont="1" applyBorder="1"/>
    <xf numFmtId="0" fontId="14" fillId="0" borderId="21" xfId="1" applyFont="1" applyBorder="1"/>
    <xf numFmtId="2" fontId="14" fillId="0" borderId="21" xfId="1" applyNumberFormat="1" applyFont="1" applyBorder="1"/>
    <xf numFmtId="0" fontId="8" fillId="0" borderId="21" xfId="1" applyFont="1" applyBorder="1"/>
    <xf numFmtId="2" fontId="14" fillId="0" borderId="21" xfId="1" applyNumberFormat="1" applyFont="1" applyBorder="1" applyAlignment="1">
      <alignment horizontal="center"/>
    </xf>
    <xf numFmtId="0" fontId="12" fillId="0" borderId="0" xfId="2" applyFont="1" applyAlignment="1">
      <alignment horizontal="center"/>
    </xf>
    <xf numFmtId="0" fontId="13" fillId="0" borderId="0" xfId="2" applyFont="1" applyAlignment="1">
      <alignment horizontal="center"/>
    </xf>
    <xf numFmtId="0" fontId="24" fillId="0" borderId="0" xfId="2" applyFont="1"/>
    <xf numFmtId="0" fontId="25" fillId="0" borderId="0" xfId="2" applyFont="1"/>
    <xf numFmtId="0" fontId="25" fillId="0" borderId="0" xfId="0" applyFont="1"/>
    <xf numFmtId="0" fontId="24" fillId="0" borderId="0" xfId="2" applyFont="1" applyAlignment="1">
      <alignment horizontal="left"/>
    </xf>
    <xf numFmtId="2" fontId="25" fillId="0" borderId="0" xfId="0" applyNumberFormat="1" applyFont="1" applyAlignment="1">
      <alignment horizontal="center"/>
    </xf>
    <xf numFmtId="165" fontId="25" fillId="0" borderId="0" xfId="0" applyNumberFormat="1" applyFont="1" applyAlignment="1">
      <alignment horizontal="center"/>
    </xf>
    <xf numFmtId="0" fontId="25" fillId="0" borderId="0" xfId="0" applyFont="1" applyProtection="1">
      <protection locked="0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5" fillId="0" borderId="0" xfId="2" applyFont="1" applyProtection="1">
      <protection locked="0"/>
    </xf>
    <xf numFmtId="165" fontId="25" fillId="0" borderId="0" xfId="0" applyNumberFormat="1" applyFont="1" applyAlignment="1" applyProtection="1">
      <alignment horizontal="center" vertical="center"/>
      <protection locked="0"/>
    </xf>
    <xf numFmtId="165" fontId="25" fillId="0" borderId="0" xfId="2" applyNumberFormat="1" applyFont="1" applyAlignment="1" applyProtection="1">
      <alignment horizontal="center"/>
      <protection locked="0"/>
    </xf>
    <xf numFmtId="0" fontId="29" fillId="0" borderId="0" xfId="0" applyFont="1" applyAlignment="1">
      <alignment wrapText="1"/>
    </xf>
    <xf numFmtId="0" fontId="7" fillId="0" borderId="0" xfId="2" quotePrefix="1" applyFont="1"/>
    <xf numFmtId="0" fontId="30" fillId="0" borderId="0" xfId="2" applyFont="1" applyAlignment="1">
      <alignment horizontal="center"/>
    </xf>
    <xf numFmtId="0" fontId="31" fillId="0" borderId="0" xfId="2" applyFont="1" applyAlignment="1">
      <alignment horizontal="center"/>
    </xf>
    <xf numFmtId="0" fontId="25" fillId="0" borderId="0" xfId="0" applyFont="1" applyAlignment="1" applyProtection="1">
      <alignment horizontal="left"/>
      <protection locked="0"/>
    </xf>
    <xf numFmtId="0" fontId="17" fillId="0" borderId="0" xfId="1" applyFont="1"/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/>
    <xf numFmtId="0" fontId="26" fillId="5" borderId="0" xfId="0" applyFont="1" applyFill="1"/>
    <xf numFmtId="0" fontId="17" fillId="0" borderId="0" xfId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165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7" fillId="0" borderId="0" xfId="2" applyFont="1" applyAlignment="1">
      <alignment wrapText="1"/>
    </xf>
    <xf numFmtId="0" fontId="24" fillId="0" borderId="0" xfId="2" applyFont="1" applyAlignment="1">
      <alignment horizontal="center"/>
    </xf>
    <xf numFmtId="0" fontId="27" fillId="0" borderId="0" xfId="2" applyFont="1"/>
    <xf numFmtId="2" fontId="7" fillId="0" borderId="0" xfId="2" applyNumberFormat="1" applyFont="1"/>
    <xf numFmtId="164" fontId="7" fillId="0" borderId="0" xfId="2" applyNumberFormat="1" applyFont="1"/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2" fontId="7" fillId="0" borderId="0" xfId="2" applyNumberFormat="1" applyFont="1" applyAlignment="1">
      <alignment vertical="center"/>
    </xf>
    <xf numFmtId="164" fontId="7" fillId="0" borderId="0" xfId="2" applyNumberFormat="1" applyFont="1" applyAlignment="1">
      <alignment vertical="center"/>
    </xf>
    <xf numFmtId="0" fontId="4" fillId="0" borderId="0" xfId="2"/>
    <xf numFmtId="0" fontId="32" fillId="0" borderId="0" xfId="2" applyFont="1"/>
    <xf numFmtId="0" fontId="37" fillId="0" borderId="0" xfId="2" applyFont="1"/>
    <xf numFmtId="0" fontId="37" fillId="0" borderId="0" xfId="0" applyFont="1"/>
    <xf numFmtId="0" fontId="32" fillId="0" borderId="0" xfId="0" applyFont="1"/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right"/>
    </xf>
    <xf numFmtId="164" fontId="32" fillId="0" borderId="0" xfId="0" applyNumberFormat="1" applyFont="1" applyAlignment="1">
      <alignment horizontal="center" vertical="center"/>
    </xf>
    <xf numFmtId="0" fontId="37" fillId="0" borderId="0" xfId="2" applyFont="1" applyAlignment="1">
      <alignment horizontal="center"/>
    </xf>
    <xf numFmtId="0" fontId="37" fillId="0" borderId="0" xfId="2" applyFont="1" applyAlignment="1" applyProtection="1">
      <alignment horizontal="left"/>
      <protection locked="0"/>
    </xf>
    <xf numFmtId="0" fontId="32" fillId="0" borderId="0" xfId="2" applyFont="1" applyAlignment="1" applyProtection="1">
      <alignment horizontal="left"/>
      <protection locked="0"/>
    </xf>
    <xf numFmtId="0" fontId="37" fillId="0" borderId="0" xfId="2" applyFont="1" applyAlignment="1" applyProtection="1">
      <alignment horizontal="center"/>
      <protection locked="0"/>
    </xf>
    <xf numFmtId="0" fontId="32" fillId="0" borderId="0" xfId="2" applyFont="1" applyAlignment="1" applyProtection="1">
      <alignment horizontal="center"/>
      <protection locked="0"/>
    </xf>
    <xf numFmtId="2" fontId="32" fillId="0" borderId="0" xfId="2" applyNumberFormat="1" applyFont="1" applyAlignment="1" applyProtection="1">
      <alignment horizontal="center"/>
      <protection locked="0"/>
    </xf>
    <xf numFmtId="0" fontId="37" fillId="0" borderId="0" xfId="2" applyFont="1" applyProtection="1">
      <protection locked="0"/>
    </xf>
    <xf numFmtId="0" fontId="32" fillId="0" borderId="0" xfId="2" applyFont="1" applyProtection="1">
      <protection locked="0"/>
    </xf>
    <xf numFmtId="0" fontId="4" fillId="0" borderId="0" xfId="2" applyAlignment="1">
      <alignment horizontal="right"/>
    </xf>
    <xf numFmtId="0" fontId="37" fillId="0" borderId="2" xfId="2" applyFont="1" applyBorder="1" applyAlignment="1">
      <alignment horizontal="center"/>
    </xf>
    <xf numFmtId="0" fontId="16" fillId="0" borderId="0" xfId="2" applyFont="1"/>
    <xf numFmtId="0" fontId="32" fillId="0" borderId="2" xfId="2" quotePrefix="1" applyFont="1" applyBorder="1" applyAlignment="1">
      <alignment horizontal="center" vertical="center"/>
    </xf>
    <xf numFmtId="0" fontId="32" fillId="0" borderId="7" xfId="2" applyFont="1" applyBorder="1" applyAlignment="1">
      <alignment vertical="center"/>
    </xf>
    <xf numFmtId="0" fontId="32" fillId="0" borderId="5" xfId="2" applyFont="1" applyBorder="1" applyAlignment="1">
      <alignment vertical="center"/>
    </xf>
    <xf numFmtId="0" fontId="32" fillId="0" borderId="12" xfId="0" applyFont="1" applyBorder="1" applyAlignment="1">
      <alignment horizontal="left"/>
    </xf>
    <xf numFmtId="164" fontId="4" fillId="0" borderId="0" xfId="2" applyNumberFormat="1" applyAlignment="1">
      <alignment horizontal="center"/>
    </xf>
    <xf numFmtId="0" fontId="40" fillId="0" borderId="0" xfId="2" applyFont="1" applyAlignment="1">
      <alignment horizontal="center"/>
    </xf>
    <xf numFmtId="0" fontId="44" fillId="0" borderId="0" xfId="0" applyFont="1" applyAlignment="1">
      <alignment horizontal="center" vertical="center"/>
    </xf>
    <xf numFmtId="165" fontId="32" fillId="0" borderId="0" xfId="0" applyNumberFormat="1" applyFont="1" applyAlignment="1">
      <alignment horizontal="center" vertical="center"/>
    </xf>
    <xf numFmtId="0" fontId="37" fillId="0" borderId="0" xfId="2" applyFont="1" applyAlignment="1">
      <alignment horizontal="left"/>
    </xf>
    <xf numFmtId="0" fontId="32" fillId="0" borderId="0" xfId="2" applyFont="1" applyAlignment="1">
      <alignment horizontal="center"/>
    </xf>
    <xf numFmtId="2" fontId="32" fillId="0" borderId="0" xfId="2" applyNumberFormat="1" applyFont="1" applyAlignment="1">
      <alignment horizontal="center"/>
    </xf>
    <xf numFmtId="0" fontId="32" fillId="0" borderId="0" xfId="0" applyFont="1" applyProtection="1">
      <protection locked="0"/>
    </xf>
    <xf numFmtId="0" fontId="32" fillId="2" borderId="0" xfId="0" applyFont="1" applyFill="1" applyAlignment="1">
      <alignment horizontal="left"/>
    </xf>
    <xf numFmtId="0" fontId="32" fillId="0" borderId="0" xfId="0" applyFont="1" applyAlignment="1" applyProtection="1">
      <alignment horizontal="left"/>
      <protection locked="0"/>
    </xf>
    <xf numFmtId="0" fontId="32" fillId="0" borderId="0" xfId="0" quotePrefix="1" applyFont="1" applyAlignment="1" applyProtection="1">
      <alignment horizontal="left"/>
      <protection locked="0"/>
    </xf>
    <xf numFmtId="0" fontId="32" fillId="0" borderId="0" xfId="0" applyFont="1" applyAlignment="1">
      <alignment horizontal="left"/>
    </xf>
    <xf numFmtId="0" fontId="32" fillId="0" borderId="0" xfId="2" applyFont="1" applyAlignment="1">
      <alignment horizontal="right"/>
    </xf>
    <xf numFmtId="0" fontId="32" fillId="0" borderId="7" xfId="2" applyFont="1" applyBorder="1"/>
    <xf numFmtId="0" fontId="32" fillId="0" borderId="5" xfId="2" applyFont="1" applyBorder="1"/>
    <xf numFmtId="0" fontId="32" fillId="0" borderId="12" xfId="2" applyFont="1" applyBorder="1"/>
    <xf numFmtId="0" fontId="32" fillId="0" borderId="2" xfId="2" quotePrefix="1" applyFont="1" applyBorder="1" applyAlignment="1">
      <alignment horizontal="center"/>
    </xf>
    <xf numFmtId="0" fontId="32" fillId="0" borderId="12" xfId="0" applyFont="1" applyBorder="1" applyAlignment="1">
      <alignment horizontal="left" vertical="center"/>
    </xf>
    <xf numFmtId="0" fontId="32" fillId="0" borderId="0" xfId="2" quotePrefix="1" applyFont="1" applyAlignment="1">
      <alignment horizontal="center"/>
    </xf>
    <xf numFmtId="0" fontId="32" fillId="0" borderId="0" xfId="2" applyFont="1" applyAlignment="1">
      <alignment horizontal="right" vertical="center"/>
    </xf>
    <xf numFmtId="164" fontId="32" fillId="0" borderId="0" xfId="2" applyNumberFormat="1" applyFont="1" applyAlignment="1">
      <alignment horizontal="left" vertical="center"/>
    </xf>
    <xf numFmtId="0" fontId="32" fillId="0" borderId="0" xfId="0" applyFont="1" applyAlignment="1">
      <alignment horizontal="center" vertical="top" wrapText="1"/>
    </xf>
    <xf numFmtId="2" fontId="32" fillId="0" borderId="0" xfId="0" applyNumberFormat="1" applyFont="1" applyAlignment="1">
      <alignment horizontal="center"/>
    </xf>
    <xf numFmtId="165" fontId="32" fillId="0" borderId="0" xfId="2" applyNumberFormat="1" applyFont="1" applyAlignment="1">
      <alignment horizontal="center"/>
    </xf>
    <xf numFmtId="0" fontId="46" fillId="0" borderId="0" xfId="0" applyFont="1"/>
    <xf numFmtId="0" fontId="16" fillId="0" borderId="0" xfId="2" applyFont="1" applyAlignment="1">
      <alignment vertical="center" wrapText="1"/>
    </xf>
    <xf numFmtId="0" fontId="16" fillId="0" borderId="0" xfId="1" applyFont="1" applyAlignment="1">
      <alignment horizontal="center"/>
    </xf>
    <xf numFmtId="0" fontId="8" fillId="0" borderId="0" xfId="1" applyFont="1"/>
    <xf numFmtId="2" fontId="14" fillId="0" borderId="0" xfId="1" applyNumberFormat="1" applyFont="1" applyAlignment="1">
      <alignment horizontal="center"/>
    </xf>
    <xf numFmtId="0" fontId="16" fillId="0" borderId="4" xfId="1" applyFont="1" applyBorder="1"/>
    <xf numFmtId="0" fontId="15" fillId="0" borderId="5" xfId="1" applyBorder="1"/>
    <xf numFmtId="1" fontId="15" fillId="0" borderId="5" xfId="1" applyNumberFormat="1" applyBorder="1"/>
    <xf numFmtId="0" fontId="16" fillId="0" borderId="12" xfId="1" applyFont="1" applyBorder="1" applyAlignment="1">
      <alignment horizontal="center"/>
    </xf>
    <xf numFmtId="0" fontId="17" fillId="0" borderId="4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2" fontId="17" fillId="0" borderId="5" xfId="1" applyNumberFormat="1" applyFont="1" applyBorder="1" applyAlignment="1">
      <alignment horizontal="center"/>
    </xf>
    <xf numFmtId="0" fontId="17" fillId="0" borderId="24" xfId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11" fontId="7" fillId="0" borderId="3" xfId="1" applyNumberFormat="1" applyFont="1" applyBorder="1" applyAlignment="1">
      <alignment horizontal="center"/>
    </xf>
    <xf numFmtId="11" fontId="7" fillId="0" borderId="19" xfId="1" applyNumberFormat="1" applyFont="1" applyBorder="1" applyAlignment="1">
      <alignment horizontal="center"/>
    </xf>
    <xf numFmtId="0" fontId="7" fillId="0" borderId="4" xfId="1" applyFont="1" applyBorder="1" applyAlignment="1">
      <alignment horizontal="left"/>
    </xf>
    <xf numFmtId="0" fontId="7" fillId="0" borderId="5" xfId="1" applyFont="1" applyBorder="1" applyAlignment="1">
      <alignment horizontal="center"/>
    </xf>
    <xf numFmtId="2" fontId="7" fillId="0" borderId="32" xfId="1" applyNumberFormat="1" applyFont="1" applyBorder="1" applyAlignment="1">
      <alignment horizontal="center"/>
    </xf>
    <xf numFmtId="166" fontId="7" fillId="0" borderId="5" xfId="1" applyNumberFormat="1" applyFont="1" applyBorder="1" applyAlignment="1">
      <alignment horizontal="center"/>
    </xf>
    <xf numFmtId="11" fontId="7" fillId="0" borderId="2" xfId="1" applyNumberFormat="1" applyFont="1" applyBorder="1" applyAlignment="1">
      <alignment horizontal="center"/>
    </xf>
    <xf numFmtId="11" fontId="7" fillId="0" borderId="24" xfId="1" applyNumberFormat="1" applyFont="1" applyBorder="1" applyAlignment="1">
      <alignment horizontal="center"/>
    </xf>
    <xf numFmtId="2" fontId="7" fillId="0" borderId="2" xfId="1" applyNumberFormat="1" applyFont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11" fontId="7" fillId="0" borderId="14" xfId="1" applyNumberFormat="1" applyFont="1" applyBorder="1" applyAlignment="1">
      <alignment horizontal="center"/>
    </xf>
    <xf numFmtId="0" fontId="7" fillId="0" borderId="1" xfId="1" applyFont="1" applyBorder="1"/>
    <xf numFmtId="2" fontId="7" fillId="0" borderId="10" xfId="1" applyNumberFormat="1" applyFont="1" applyBorder="1" applyAlignment="1">
      <alignment horizontal="center"/>
    </xf>
    <xf numFmtId="11" fontId="7" fillId="0" borderId="8" xfId="1" applyNumberFormat="1" applyFont="1" applyBorder="1" applyAlignment="1">
      <alignment horizontal="center"/>
    </xf>
    <xf numFmtId="11" fontId="7" fillId="0" borderId="25" xfId="1" applyNumberFormat="1" applyFont="1" applyBorder="1" applyAlignment="1">
      <alignment horizontal="center"/>
    </xf>
    <xf numFmtId="0" fontId="17" fillId="0" borderId="4" xfId="1" applyFont="1" applyBorder="1"/>
    <xf numFmtId="0" fontId="14" fillId="0" borderId="5" xfId="1" applyFont="1" applyBorder="1"/>
    <xf numFmtId="2" fontId="14" fillId="0" borderId="5" xfId="1" applyNumberFormat="1" applyFont="1" applyBorder="1"/>
    <xf numFmtId="0" fontId="18" fillId="0" borderId="5" xfId="1" applyFont="1" applyBorder="1"/>
    <xf numFmtId="167" fontId="8" fillId="0" borderId="7" xfId="1" applyNumberFormat="1" applyFont="1" applyBorder="1" applyAlignment="1">
      <alignment horizontal="center"/>
    </xf>
    <xf numFmtId="0" fontId="8" fillId="0" borderId="24" xfId="1" applyFont="1" applyBorder="1"/>
    <xf numFmtId="11" fontId="8" fillId="0" borderId="8" xfId="1" applyNumberFormat="1" applyFont="1" applyBorder="1" applyAlignment="1">
      <alignment horizontal="center"/>
    </xf>
    <xf numFmtId="0" fontId="8" fillId="0" borderId="19" xfId="1" applyFont="1" applyBorder="1"/>
    <xf numFmtId="0" fontId="8" fillId="0" borderId="5" xfId="1" applyFont="1" applyBorder="1"/>
    <xf numFmtId="165" fontId="20" fillId="0" borderId="7" xfId="1" applyNumberFormat="1" applyFont="1" applyBorder="1" applyAlignment="1">
      <alignment horizontal="center"/>
    </xf>
    <xf numFmtId="0" fontId="17" fillId="0" borderId="9" xfId="1" applyFont="1" applyBorder="1"/>
    <xf numFmtId="0" fontId="14" fillId="0" borderId="10" xfId="1" applyFont="1" applyBorder="1"/>
    <xf numFmtId="2" fontId="14" fillId="0" borderId="10" xfId="1" applyNumberFormat="1" applyFont="1" applyBorder="1"/>
    <xf numFmtId="0" fontId="8" fillId="0" borderId="10" xfId="1" applyFont="1" applyBorder="1"/>
    <xf numFmtId="165" fontId="14" fillId="0" borderId="59" xfId="1" applyNumberFormat="1" applyFont="1" applyBorder="1" applyAlignment="1">
      <alignment horizontal="center"/>
    </xf>
    <xf numFmtId="164" fontId="32" fillId="0" borderId="2" xfId="0" applyNumberFormat="1" applyFont="1" applyBorder="1" applyAlignment="1">
      <alignment horizontal="center"/>
    </xf>
    <xf numFmtId="0" fontId="46" fillId="0" borderId="0" xfId="2" applyFont="1" applyAlignment="1">
      <alignment horizontal="center" vertical="center"/>
    </xf>
    <xf numFmtId="0" fontId="34" fillId="0" borderId="0" xfId="2" applyFont="1" applyAlignment="1">
      <alignment vertical="center"/>
    </xf>
    <xf numFmtId="0" fontId="48" fillId="0" borderId="0" xfId="0" applyFont="1" applyAlignment="1">
      <alignment horizontal="right"/>
    </xf>
    <xf numFmtId="0" fontId="4" fillId="0" borderId="2" xfId="4" applyBorder="1" applyAlignment="1">
      <alignment horizontal="center" vertical="center"/>
    </xf>
    <xf numFmtId="0" fontId="32" fillId="0" borderId="5" xfId="0" applyFont="1" applyBorder="1" applyAlignment="1">
      <alignment horizontal="right" vertical="center"/>
    </xf>
    <xf numFmtId="0" fontId="17" fillId="0" borderId="4" xfId="4" applyFont="1" applyBorder="1" applyAlignment="1">
      <alignment horizontal="center" vertical="center"/>
    </xf>
    <xf numFmtId="0" fontId="4" fillId="0" borderId="0" xfId="4"/>
    <xf numFmtId="2" fontId="32" fillId="0" borderId="2" xfId="0" applyNumberFormat="1" applyFont="1" applyBorder="1" applyAlignment="1">
      <alignment horizontal="center" vertical="center"/>
    </xf>
    <xf numFmtId="164" fontId="32" fillId="0" borderId="2" xfId="2" applyNumberFormat="1" applyFont="1" applyBorder="1" applyAlignment="1">
      <alignment horizontal="center" vertical="center"/>
    </xf>
    <xf numFmtId="166" fontId="14" fillId="0" borderId="0" xfId="1" applyNumberFormat="1" applyFont="1" applyAlignment="1">
      <alignment horizontal="center"/>
    </xf>
    <xf numFmtId="165" fontId="14" fillId="0" borderId="0" xfId="1" applyNumberFormat="1" applyFont="1" applyAlignment="1">
      <alignment horizontal="center"/>
    </xf>
    <xf numFmtId="164" fontId="32" fillId="0" borderId="2" xfId="0" applyNumberFormat="1" applyFont="1" applyBorder="1" applyAlignment="1">
      <alignment horizontal="center" vertical="center"/>
    </xf>
    <xf numFmtId="2" fontId="32" fillId="0" borderId="2" xfId="0" applyNumberFormat="1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164" fontId="32" fillId="0" borderId="0" xfId="2" applyNumberFormat="1" applyFont="1" applyAlignment="1">
      <alignment horizontal="center" vertical="center"/>
    </xf>
    <xf numFmtId="2" fontId="32" fillId="0" borderId="0" xfId="2" applyNumberFormat="1" applyFont="1" applyAlignment="1">
      <alignment horizontal="center" vertical="center"/>
    </xf>
    <xf numFmtId="0" fontId="32" fillId="0" borderId="0" xfId="0" applyFont="1" applyAlignment="1">
      <alignment horizontal="right" vertical="center"/>
    </xf>
    <xf numFmtId="2" fontId="4" fillId="0" borderId="0" xfId="2" applyNumberFormat="1" applyAlignment="1">
      <alignment horizontal="center" vertical="center"/>
    </xf>
    <xf numFmtId="2" fontId="32" fillId="0" borderId="2" xfId="2" applyNumberFormat="1" applyFont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32" fillId="0" borderId="0" xfId="0" applyFont="1" applyAlignment="1">
      <alignment horizontal="center" vertical="top"/>
    </xf>
    <xf numFmtId="0" fontId="32" fillId="3" borderId="2" xfId="0" applyFont="1" applyFill="1" applyBorder="1" applyAlignment="1">
      <alignment horizontal="left"/>
    </xf>
    <xf numFmtId="0" fontId="37" fillId="3" borderId="2" xfId="0" applyFont="1" applyFill="1" applyBorder="1" applyAlignment="1">
      <alignment horizontal="center"/>
    </xf>
    <xf numFmtId="0" fontId="32" fillId="3" borderId="0" xfId="0" applyFont="1" applyFill="1" applyAlignment="1">
      <alignment horizontal="left"/>
    </xf>
    <xf numFmtId="0" fontId="32" fillId="3" borderId="0" xfId="0" applyFont="1" applyFill="1" applyAlignment="1">
      <alignment horizontal="center"/>
    </xf>
    <xf numFmtId="9" fontId="41" fillId="3" borderId="0" xfId="0" quotePrefix="1" applyNumberFormat="1" applyFont="1" applyFill="1" applyAlignment="1">
      <alignment horizontal="center" vertical="center"/>
    </xf>
    <xf numFmtId="0" fontId="16" fillId="0" borderId="0" xfId="0" applyFont="1"/>
    <xf numFmtId="0" fontId="4" fillId="0" borderId="0" xfId="0" applyFont="1" applyAlignment="1">
      <alignment horizontal="left"/>
    </xf>
    <xf numFmtId="0" fontId="7" fillId="0" borderId="2" xfId="2" applyFont="1" applyBorder="1"/>
    <xf numFmtId="0" fontId="32" fillId="0" borderId="0" xfId="0" applyFont="1" applyAlignment="1">
      <alignment horizontal="center" vertical="center"/>
    </xf>
    <xf numFmtId="9" fontId="41" fillId="0" borderId="0" xfId="0" quotePrefix="1" applyNumberFormat="1" applyFont="1" applyAlignment="1">
      <alignment vertical="center"/>
    </xf>
    <xf numFmtId="0" fontId="37" fillId="0" borderId="0" xfId="0" applyFont="1" applyAlignment="1">
      <alignment horizontal="left"/>
    </xf>
    <xf numFmtId="164" fontId="32" fillId="0" borderId="32" xfId="0" applyNumberFormat="1" applyFont="1" applyBorder="1" applyProtection="1">
      <protection locked="0"/>
    </xf>
    <xf numFmtId="164" fontId="32" fillId="0" borderId="10" xfId="0" applyNumberFormat="1" applyFont="1" applyBorder="1" applyProtection="1">
      <protection locked="0"/>
    </xf>
    <xf numFmtId="164" fontId="32" fillId="0" borderId="0" xfId="0" applyNumberFormat="1" applyFont="1" applyProtection="1">
      <protection locked="0"/>
    </xf>
    <xf numFmtId="1" fontId="32" fillId="3" borderId="0" xfId="0" applyNumberFormat="1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4" applyFont="1" applyBorder="1" applyAlignment="1">
      <alignment horizontal="center"/>
    </xf>
    <xf numFmtId="0" fontId="16" fillId="0" borderId="4" xfId="4" applyFont="1" applyBorder="1"/>
    <xf numFmtId="0" fontId="4" fillId="0" borderId="5" xfId="4" applyBorder="1"/>
    <xf numFmtId="164" fontId="4" fillId="0" borderId="5" xfId="4" applyNumberFormat="1" applyBorder="1"/>
    <xf numFmtId="0" fontId="16" fillId="0" borderId="12" xfId="4" applyFont="1" applyBorder="1" applyAlignment="1">
      <alignment horizontal="center"/>
    </xf>
    <xf numFmtId="2" fontId="15" fillId="0" borderId="5" xfId="1" applyNumberFormat="1" applyBorder="1"/>
    <xf numFmtId="0" fontId="16" fillId="0" borderId="0" xfId="1" applyFont="1"/>
    <xf numFmtId="2" fontId="4" fillId="0" borderId="2" xfId="0" applyNumberFormat="1" applyFont="1" applyBorder="1" applyAlignment="1">
      <alignment horizontal="center"/>
    </xf>
    <xf numFmtId="0" fontId="15" fillId="0" borderId="0" xfId="1"/>
    <xf numFmtId="0" fontId="15" fillId="0" borderId="19" xfId="1" applyBorder="1"/>
    <xf numFmtId="0" fontId="7" fillId="0" borderId="0" xfId="1" applyFont="1" applyAlignment="1">
      <alignment horizontal="center"/>
    </xf>
    <xf numFmtId="2" fontId="7" fillId="0" borderId="0" xfId="1" applyNumberFormat="1" applyFont="1" applyAlignment="1">
      <alignment horizontal="center"/>
    </xf>
    <xf numFmtId="166" fontId="7" fillId="0" borderId="0" xfId="1" applyNumberFormat="1" applyFont="1" applyAlignment="1">
      <alignment horizontal="center"/>
    </xf>
    <xf numFmtId="0" fontId="6" fillId="0" borderId="0" xfId="1" applyFont="1"/>
    <xf numFmtId="2" fontId="6" fillId="0" borderId="0" xfId="1" applyNumberFormat="1" applyFont="1"/>
    <xf numFmtId="0" fontId="19" fillId="0" borderId="0" xfId="1" applyFont="1"/>
    <xf numFmtId="0" fontId="16" fillId="0" borderId="19" xfId="1" applyFont="1" applyBorder="1"/>
    <xf numFmtId="0" fontId="16" fillId="0" borderId="21" xfId="1" applyFont="1" applyBorder="1"/>
    <xf numFmtId="0" fontId="16" fillId="0" borderId="23" xfId="1" applyFont="1" applyBorder="1"/>
    <xf numFmtId="0" fontId="0" fillId="0" borderId="1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4" xfId="4" applyFont="1" applyBorder="1" applyAlignment="1">
      <alignment horizontal="center" vertical="center"/>
    </xf>
    <xf numFmtId="0" fontId="16" fillId="0" borderId="0" xfId="4" applyFont="1"/>
    <xf numFmtId="1" fontId="4" fillId="0" borderId="5" xfId="4" applyNumberFormat="1" applyBorder="1"/>
    <xf numFmtId="0" fontId="16" fillId="0" borderId="22" xfId="1" applyFont="1" applyBorder="1"/>
    <xf numFmtId="2" fontId="7" fillId="0" borderId="0" xfId="2" applyNumberFormat="1" applyFont="1" applyAlignment="1">
      <alignment horizontal="center" vertical="center"/>
    </xf>
    <xf numFmtId="164" fontId="7" fillId="0" borderId="0" xfId="2" applyNumberFormat="1" applyFont="1" applyAlignment="1">
      <alignment horizontal="center" vertical="center"/>
    </xf>
    <xf numFmtId="1" fontId="7" fillId="0" borderId="0" xfId="2" applyNumberFormat="1" applyFont="1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164" fontId="32" fillId="0" borderId="0" xfId="0" applyNumberFormat="1" applyFont="1" applyAlignment="1">
      <alignment horizontal="left"/>
    </xf>
    <xf numFmtId="0" fontId="50" fillId="0" borderId="0" xfId="0" applyFont="1" applyAlignment="1" applyProtection="1">
      <alignment horizontal="right"/>
      <protection locked="0"/>
    </xf>
    <xf numFmtId="0" fontId="32" fillId="3" borderId="0" xfId="0" applyFont="1" applyFill="1" applyAlignment="1" applyProtection="1">
      <alignment vertical="center"/>
      <protection locked="0"/>
    </xf>
    <xf numFmtId="0" fontId="32" fillId="3" borderId="0" xfId="0" applyFont="1" applyFill="1" applyAlignment="1" applyProtection="1">
      <alignment horizontal="center" vertical="center"/>
      <protection locked="0"/>
    </xf>
    <xf numFmtId="0" fontId="37" fillId="3" borderId="0" xfId="2" applyFont="1" applyFill="1" applyAlignment="1" applyProtection="1">
      <alignment vertical="center"/>
      <protection locked="0"/>
    </xf>
    <xf numFmtId="0" fontId="32" fillId="3" borderId="0" xfId="2" applyFont="1" applyFill="1" applyAlignment="1" applyProtection="1">
      <alignment vertical="center"/>
      <protection locked="0"/>
    </xf>
    <xf numFmtId="164" fontId="7" fillId="7" borderId="2" xfId="2" applyNumberFormat="1" applyFont="1" applyFill="1" applyBorder="1" applyAlignment="1" applyProtection="1">
      <alignment horizontal="center"/>
      <protection locked="0"/>
    </xf>
    <xf numFmtId="0" fontId="16" fillId="0" borderId="0" xfId="2" applyFont="1" applyAlignment="1">
      <alignment vertical="center"/>
    </xf>
    <xf numFmtId="0" fontId="50" fillId="3" borderId="0" xfId="0" applyFont="1" applyFill="1" applyAlignment="1">
      <alignment horizontal="left"/>
    </xf>
    <xf numFmtId="0" fontId="14" fillId="3" borderId="0" xfId="4" applyFont="1" applyFill="1"/>
    <xf numFmtId="0" fontId="10" fillId="3" borderId="0" xfId="4" applyFont="1" applyFill="1" applyAlignment="1">
      <alignment vertical="center"/>
    </xf>
    <xf numFmtId="0" fontId="14" fillId="3" borderId="1" xfId="4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 vertical="center"/>
    </xf>
    <xf numFmtId="0" fontId="10" fillId="3" borderId="41" xfId="4" applyFont="1" applyFill="1" applyBorder="1" applyAlignment="1">
      <alignment horizontal="center" vertical="center"/>
    </xf>
    <xf numFmtId="0" fontId="10" fillId="3" borderId="29" xfId="4" applyFont="1" applyFill="1" applyBorder="1" applyAlignment="1">
      <alignment horizontal="left" vertical="center" wrapText="1"/>
    </xf>
    <xf numFmtId="0" fontId="10" fillId="3" borderId="29" xfId="4" applyFont="1" applyFill="1" applyBorder="1" applyAlignment="1">
      <alignment horizontal="center" vertical="center"/>
    </xf>
    <xf numFmtId="0" fontId="10" fillId="3" borderId="29" xfId="4" applyFont="1" applyFill="1" applyBorder="1" applyAlignment="1">
      <alignment vertical="center"/>
    </xf>
    <xf numFmtId="0" fontId="8" fillId="12" borderId="0" xfId="4" applyFont="1" applyFill="1" applyProtection="1">
      <protection locked="0"/>
    </xf>
    <xf numFmtId="0" fontId="32" fillId="3" borderId="0" xfId="0" applyFont="1" applyFill="1" applyAlignment="1">
      <alignment horizontal="right"/>
    </xf>
    <xf numFmtId="9" fontId="41" fillId="0" borderId="0" xfId="0" quotePrefix="1" applyNumberFormat="1" applyFont="1" applyAlignment="1">
      <alignment horizontal="center" vertical="center"/>
    </xf>
    <xf numFmtId="0" fontId="37" fillId="3" borderId="0" xfId="0" applyFont="1" applyFill="1" applyAlignment="1">
      <alignment horizontal="left"/>
    </xf>
    <xf numFmtId="0" fontId="7" fillId="0" borderId="2" xfId="2" applyFont="1" applyBorder="1" applyAlignment="1">
      <alignment horizontal="center"/>
    </xf>
    <xf numFmtId="0" fontId="7" fillId="0" borderId="0" xfId="2" applyFont="1" applyAlignment="1">
      <alignment horizontal="center"/>
    </xf>
    <xf numFmtId="0" fontId="7" fillId="0" borderId="0" xfId="2" applyFont="1" applyAlignment="1">
      <alignment horizontal="right"/>
    </xf>
    <xf numFmtId="2" fontId="7" fillId="3" borderId="0" xfId="2" applyNumberFormat="1" applyFont="1" applyFill="1"/>
    <xf numFmtId="164" fontId="7" fillId="3" borderId="0" xfId="2" applyNumberFormat="1" applyFont="1" applyFill="1"/>
    <xf numFmtId="2" fontId="7" fillId="0" borderId="0" xfId="2" applyNumberFormat="1" applyFont="1" applyAlignment="1">
      <alignment horizontal="center"/>
    </xf>
    <xf numFmtId="0" fontId="37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 wrapText="1"/>
    </xf>
    <xf numFmtId="0" fontId="43" fillId="0" borderId="0" xfId="2" applyFont="1" applyProtection="1">
      <protection locked="0"/>
    </xf>
    <xf numFmtId="0" fontId="43" fillId="0" borderId="0" xfId="2" applyFont="1" applyAlignment="1" applyProtection="1">
      <alignment horizontal="right"/>
      <protection locked="0"/>
    </xf>
    <xf numFmtId="2" fontId="32" fillId="0" borderId="2" xfId="0" applyNumberFormat="1" applyFont="1" applyBorder="1"/>
    <xf numFmtId="0" fontId="37" fillId="0" borderId="2" xfId="2" applyFont="1" applyBorder="1" applyAlignment="1">
      <alignment horizontal="center" vertical="center" wrapText="1"/>
    </xf>
    <xf numFmtId="1" fontId="6" fillId="0" borderId="0" xfId="2" applyNumberFormat="1" applyFont="1"/>
    <xf numFmtId="1" fontId="7" fillId="0" borderId="0" xfId="2" applyNumberFormat="1" applyFont="1" applyAlignment="1">
      <alignment horizontal="center"/>
    </xf>
    <xf numFmtId="0" fontId="4" fillId="0" borderId="0" xfId="2" applyAlignme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32" fillId="0" borderId="0" xfId="2" applyFont="1" applyAlignment="1" applyProtection="1">
      <alignment horizontal="left" vertical="center"/>
      <protection locked="0"/>
    </xf>
    <xf numFmtId="0" fontId="37" fillId="0" borderId="0" xfId="2" applyFont="1" applyAlignment="1" applyProtection="1">
      <alignment horizontal="center" vertical="center"/>
      <protection locked="0"/>
    </xf>
    <xf numFmtId="0" fontId="32" fillId="0" borderId="0" xfId="2" applyFont="1" applyAlignment="1" applyProtection="1">
      <alignment horizontal="center" vertical="center"/>
      <protection locked="0"/>
    </xf>
    <xf numFmtId="2" fontId="32" fillId="0" borderId="0" xfId="2" applyNumberFormat="1" applyFont="1" applyAlignment="1" applyProtection="1">
      <alignment horizontal="center" vertical="center"/>
      <protection locked="0"/>
    </xf>
    <xf numFmtId="0" fontId="32" fillId="0" borderId="0" xfId="2" applyFont="1" applyAlignment="1" applyProtection="1">
      <alignment vertical="center"/>
      <protection locked="0"/>
    </xf>
    <xf numFmtId="0" fontId="37" fillId="0" borderId="0" xfId="2" applyFont="1" applyAlignment="1" applyProtection="1">
      <alignment vertical="center"/>
      <protection locked="0"/>
    </xf>
    <xf numFmtId="1" fontId="7" fillId="0" borderId="0" xfId="2" applyNumberFormat="1" applyFont="1"/>
    <xf numFmtId="164" fontId="32" fillId="3" borderId="0" xfId="0" applyNumberFormat="1" applyFont="1" applyFill="1" applyAlignment="1">
      <alignment horizontal="center" vertical="center"/>
    </xf>
    <xf numFmtId="0" fontId="62" fillId="3" borderId="0" xfId="2" applyFont="1" applyFill="1" applyProtection="1">
      <protection locked="0"/>
    </xf>
    <xf numFmtId="0" fontId="63" fillId="3" borderId="0" xfId="0" applyFont="1" applyFill="1" applyAlignment="1" applyProtection="1">
      <alignment horizontal="left"/>
      <protection locked="0"/>
    </xf>
    <xf numFmtId="0" fontId="63" fillId="3" borderId="0" xfId="0" quotePrefix="1" applyFont="1" applyFill="1" applyAlignment="1" applyProtection="1">
      <alignment horizontal="left"/>
      <protection locked="0"/>
    </xf>
    <xf numFmtId="164" fontId="63" fillId="3" borderId="2" xfId="2" applyNumberFormat="1" applyFont="1" applyFill="1" applyBorder="1" applyAlignment="1" applyProtection="1">
      <alignment horizontal="center" vertical="center"/>
      <protection locked="0"/>
    </xf>
    <xf numFmtId="164" fontId="63" fillId="3" borderId="31" xfId="2" applyNumberFormat="1" applyFont="1" applyFill="1" applyBorder="1" applyAlignment="1" applyProtection="1">
      <alignment horizontal="center" vertical="center"/>
      <protection locked="0"/>
    </xf>
    <xf numFmtId="0" fontId="32" fillId="0" borderId="0" xfId="2" quotePrefix="1" applyFont="1" applyProtection="1">
      <protection locked="0"/>
    </xf>
    <xf numFmtId="0" fontId="63" fillId="3" borderId="0" xfId="0" applyFont="1" applyFill="1" applyAlignment="1" applyProtection="1">
      <alignment horizontal="left" vertical="center"/>
      <protection locked="0"/>
    </xf>
    <xf numFmtId="0" fontId="7" fillId="0" borderId="0" xfId="2" applyFont="1" applyAlignment="1">
      <alignment vertical="top"/>
    </xf>
    <xf numFmtId="2" fontId="7" fillId="0" borderId="0" xfId="2" applyNumberFormat="1" applyFont="1" applyAlignment="1">
      <alignment vertical="top"/>
    </xf>
    <xf numFmtId="164" fontId="7" fillId="0" borderId="0" xfId="2" applyNumberFormat="1" applyFont="1" applyAlignment="1">
      <alignment vertical="top"/>
    </xf>
    <xf numFmtId="0" fontId="7" fillId="0" borderId="0" xfId="2" applyFont="1" applyAlignment="1">
      <alignment horizontal="center" vertical="top"/>
    </xf>
    <xf numFmtId="0" fontId="46" fillId="0" borderId="0" xfId="0" applyFont="1" applyAlignment="1">
      <alignment vertical="top"/>
    </xf>
    <xf numFmtId="1" fontId="32" fillId="0" borderId="0" xfId="2" applyNumberFormat="1" applyFont="1" applyAlignment="1">
      <alignment vertical="top"/>
    </xf>
    <xf numFmtId="0" fontId="28" fillId="0" borderId="0" xfId="2" applyFont="1" applyAlignment="1">
      <alignment horizontal="center" vertical="top" wrapText="1"/>
    </xf>
    <xf numFmtId="2" fontId="51" fillId="0" borderId="0" xfId="2" applyNumberFormat="1" applyFont="1" applyAlignment="1">
      <alignment vertical="top"/>
    </xf>
    <xf numFmtId="0" fontId="51" fillId="0" borderId="0" xfId="2" applyFont="1" applyAlignment="1">
      <alignment horizontal="left" vertical="top"/>
    </xf>
    <xf numFmtId="0" fontId="25" fillId="0" borderId="0" xfId="2" applyFont="1" applyAlignment="1">
      <alignment vertical="top"/>
    </xf>
    <xf numFmtId="0" fontId="6" fillId="0" borderId="0" xfId="2" applyFont="1" applyAlignment="1">
      <alignment vertical="top"/>
    </xf>
    <xf numFmtId="2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horizontal="left" vertical="top"/>
    </xf>
    <xf numFmtId="0" fontId="34" fillId="0" borderId="0" xfId="2" applyFont="1" applyAlignment="1">
      <alignment vertical="top"/>
    </xf>
    <xf numFmtId="0" fontId="63" fillId="3" borderId="2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vertical="center"/>
    </xf>
    <xf numFmtId="0" fontId="27" fillId="3" borderId="0" xfId="0" applyFont="1" applyFill="1" applyAlignment="1">
      <alignment vertical="center" wrapText="1"/>
    </xf>
    <xf numFmtId="164" fontId="63" fillId="0" borderId="7" xfId="2" applyNumberFormat="1" applyFont="1" applyBorder="1" applyAlignment="1" applyProtection="1">
      <alignment horizontal="right" vertical="center"/>
      <protection locked="0"/>
    </xf>
    <xf numFmtId="165" fontId="63" fillId="0" borderId="7" xfId="2" applyNumberFormat="1" applyFont="1" applyBorder="1" applyAlignment="1" applyProtection="1">
      <alignment horizontal="right" vertical="center"/>
      <protection locked="0"/>
    </xf>
    <xf numFmtId="164" fontId="63" fillId="3" borderId="7" xfId="0" quotePrefix="1" applyNumberFormat="1" applyFont="1" applyFill="1" applyBorder="1" applyAlignment="1" applyProtection="1">
      <alignment horizontal="right" vertical="center"/>
      <protection locked="0"/>
    </xf>
    <xf numFmtId="0" fontId="21" fillId="0" borderId="7" xfId="0" applyFont="1" applyBorder="1" applyAlignment="1">
      <alignment horizontal="center" vertical="center"/>
    </xf>
    <xf numFmtId="0" fontId="70" fillId="0" borderId="0" xfId="6"/>
    <xf numFmtId="0" fontId="72" fillId="0" borderId="0" xfId="6" applyFont="1"/>
    <xf numFmtId="0" fontId="16" fillId="0" borderId="0" xfId="6" applyFont="1"/>
    <xf numFmtId="165" fontId="4" fillId="0" borderId="2" xfId="6" applyNumberFormat="1" applyFont="1" applyBorder="1" applyAlignment="1">
      <alignment horizontal="center" vertical="center"/>
    </xf>
    <xf numFmtId="0" fontId="4" fillId="0" borderId="0" xfId="6" applyFont="1"/>
    <xf numFmtId="0" fontId="70" fillId="0" borderId="71" xfId="6" applyBorder="1" applyAlignment="1">
      <alignment horizontal="center"/>
    </xf>
    <xf numFmtId="165" fontId="70" fillId="0" borderId="71" xfId="6" applyNumberFormat="1" applyBorder="1"/>
    <xf numFmtId="2" fontId="4" fillId="0" borderId="2" xfId="6" applyNumberFormat="1" applyFont="1" applyBorder="1" applyAlignment="1">
      <alignment horizontal="center" vertical="center"/>
    </xf>
    <xf numFmtId="166" fontId="4" fillId="0" borderId="2" xfId="6" applyNumberFormat="1" applyFont="1" applyBorder="1" applyAlignment="1">
      <alignment horizontal="center" vertical="center"/>
    </xf>
    <xf numFmtId="0" fontId="70" fillId="0" borderId="71" xfId="6" applyBorder="1"/>
    <xf numFmtId="0" fontId="74" fillId="0" borderId="0" xfId="6" applyFont="1" applyAlignment="1">
      <alignment vertical="center"/>
    </xf>
    <xf numFmtId="0" fontId="49" fillId="0" borderId="0" xfId="6" applyFont="1"/>
    <xf numFmtId="0" fontId="75" fillId="0" borderId="0" xfId="6" applyFont="1"/>
    <xf numFmtId="0" fontId="76" fillId="0" borderId="0" xfId="6" applyFont="1"/>
    <xf numFmtId="0" fontId="16" fillId="0" borderId="2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77" fillId="0" borderId="4" xfId="6" applyFont="1" applyBorder="1" applyAlignment="1" applyProtection="1">
      <alignment vertical="center"/>
      <protection locked="0"/>
    </xf>
    <xf numFmtId="0" fontId="50" fillId="3" borderId="9" xfId="6" applyFont="1" applyFill="1" applyBorder="1"/>
    <xf numFmtId="0" fontId="50" fillId="0" borderId="10" xfId="6" applyFont="1" applyBorder="1"/>
    <xf numFmtId="0" fontId="50" fillId="0" borderId="5" xfId="6" applyFont="1" applyBorder="1"/>
    <xf numFmtId="0" fontId="50" fillId="0" borderId="24" xfId="6" applyFont="1" applyBorder="1"/>
    <xf numFmtId="0" fontId="50" fillId="0" borderId="74" xfId="6" applyFont="1" applyBorder="1"/>
    <xf numFmtId="0" fontId="50" fillId="0" borderId="62" xfId="6" applyFont="1" applyBorder="1"/>
    <xf numFmtId="0" fontId="50" fillId="0" borderId="75" xfId="6" applyFont="1" applyBorder="1"/>
    <xf numFmtId="0" fontId="50" fillId="0" borderId="17" xfId="6" applyFont="1" applyBorder="1"/>
    <xf numFmtId="0" fontId="21" fillId="0" borderId="2" xfId="6" applyFont="1" applyBorder="1" applyAlignment="1">
      <alignment vertical="center"/>
    </xf>
    <xf numFmtId="2" fontId="4" fillId="0" borderId="2" xfId="6" applyNumberFormat="1" applyFont="1" applyBorder="1" applyAlignment="1">
      <alignment horizontal="center"/>
    </xf>
    <xf numFmtId="0" fontId="70" fillId="0" borderId="2" xfId="6" applyBorder="1" applyAlignment="1">
      <alignment horizontal="center" vertical="center"/>
    </xf>
    <xf numFmtId="165" fontId="70" fillId="0" borderId="2" xfId="6" applyNumberFormat="1" applyBorder="1" applyAlignment="1">
      <alignment horizontal="center" vertical="center"/>
    </xf>
    <xf numFmtId="0" fontId="21" fillId="0" borderId="2" xfId="6" applyFont="1" applyBorder="1" applyAlignment="1">
      <alignment vertical="center" wrapText="1"/>
    </xf>
    <xf numFmtId="0" fontId="16" fillId="0" borderId="2" xfId="6" applyFont="1" applyBorder="1" applyAlignment="1">
      <alignment horizontal="center"/>
    </xf>
    <xf numFmtId="166" fontId="4" fillId="0" borderId="2" xfId="6" applyNumberFormat="1" applyFont="1" applyBorder="1" applyAlignment="1">
      <alignment horizontal="center"/>
    </xf>
    <xf numFmtId="0" fontId="4" fillId="0" borderId="2" xfId="6" applyFont="1" applyBorder="1" applyAlignment="1">
      <alignment horizontal="center" vertical="center" wrapText="1"/>
    </xf>
    <xf numFmtId="0" fontId="70" fillId="0" borderId="2" xfId="6" applyBorder="1" applyAlignment="1">
      <alignment horizontal="center"/>
    </xf>
    <xf numFmtId="0" fontId="70" fillId="0" borderId="2" xfId="6" applyBorder="1"/>
    <xf numFmtId="2" fontId="70" fillId="0" borderId="2" xfId="6" applyNumberFormat="1" applyBorder="1" applyAlignment="1">
      <alignment horizontal="center" vertical="center"/>
    </xf>
    <xf numFmtId="0" fontId="4" fillId="8" borderId="2" xfId="6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7" fillId="0" borderId="0" xfId="4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9" fillId="0" borderId="0" xfId="4" applyFont="1" applyAlignment="1" applyProtection="1">
      <alignment horizontal="center" vertical="center"/>
      <protection hidden="1"/>
    </xf>
    <xf numFmtId="169" fontId="80" fillId="3" borderId="24" xfId="1" applyNumberFormat="1" applyFont="1" applyFill="1" applyBorder="1"/>
    <xf numFmtId="2" fontId="81" fillId="8" borderId="3" xfId="1" applyNumberFormat="1" applyFont="1" applyFill="1" applyBorder="1" applyAlignment="1">
      <alignment horizontal="center"/>
    </xf>
    <xf numFmtId="2" fontId="81" fillId="8" borderId="31" xfId="1" applyNumberFormat="1" applyFont="1" applyFill="1" applyBorder="1" applyAlignment="1">
      <alignment horizontal="center"/>
    </xf>
    <xf numFmtId="2" fontId="81" fillId="8" borderId="2" xfId="1" applyNumberFormat="1" applyFont="1" applyFill="1" applyBorder="1" applyAlignment="1">
      <alignment horizontal="center"/>
    </xf>
    <xf numFmtId="2" fontId="81" fillId="8" borderId="18" xfId="1" applyNumberFormat="1" applyFont="1" applyFill="1" applyBorder="1" applyAlignment="1">
      <alignment horizontal="center"/>
    </xf>
    <xf numFmtId="2" fontId="7" fillId="8" borderId="3" xfId="1" applyNumberFormat="1" applyFont="1" applyFill="1" applyBorder="1" applyAlignment="1">
      <alignment horizontal="center"/>
    </xf>
    <xf numFmtId="2" fontId="7" fillId="8" borderId="31" xfId="1" applyNumberFormat="1" applyFont="1" applyFill="1" applyBorder="1" applyAlignment="1">
      <alignment horizontal="center"/>
    </xf>
    <xf numFmtId="2" fontId="7" fillId="8" borderId="2" xfId="1" applyNumberFormat="1" applyFont="1" applyFill="1" applyBorder="1" applyAlignment="1">
      <alignment horizontal="center"/>
    </xf>
    <xf numFmtId="2" fontId="7" fillId="8" borderId="18" xfId="1" applyNumberFormat="1" applyFont="1" applyFill="1" applyBorder="1" applyAlignment="1">
      <alignment horizontal="center"/>
    </xf>
    <xf numFmtId="169" fontId="82" fillId="3" borderId="24" xfId="1" applyNumberFormat="1" applyFont="1" applyFill="1" applyBorder="1"/>
    <xf numFmtId="0" fontId="4" fillId="0" borderId="0" xfId="1" applyFont="1"/>
    <xf numFmtId="0" fontId="7" fillId="0" borderId="4" xfId="1" applyFont="1" applyBorder="1"/>
    <xf numFmtId="0" fontId="7" fillId="0" borderId="12" xfId="1" applyFont="1" applyBorder="1" applyAlignment="1">
      <alignment horizontal="center"/>
    </xf>
    <xf numFmtId="0" fontId="0" fillId="0" borderId="2" xfId="0" applyBorder="1"/>
    <xf numFmtId="166" fontId="14" fillId="8" borderId="11" xfId="1" applyNumberFormat="1" applyFont="1" applyFill="1" applyBorder="1" applyAlignment="1">
      <alignment horizontal="center"/>
    </xf>
    <xf numFmtId="0" fontId="48" fillId="0" borderId="37" xfId="6" applyFont="1" applyBorder="1"/>
    <xf numFmtId="0" fontId="48" fillId="0" borderId="67" xfId="6" applyFont="1" applyBorder="1" applyAlignment="1">
      <alignment horizontal="center" vertical="center"/>
    </xf>
    <xf numFmtId="0" fontId="48" fillId="0" borderId="69" xfId="6" applyFont="1" applyBorder="1" applyAlignment="1">
      <alignment horizontal="center" vertical="center"/>
    </xf>
    <xf numFmtId="0" fontId="4" fillId="13" borderId="0" xfId="6" applyFont="1" applyFill="1"/>
    <xf numFmtId="0" fontId="44" fillId="8" borderId="41" xfId="0" applyFont="1" applyFill="1" applyBorder="1" applyAlignment="1">
      <alignment horizontal="center" vertical="top" wrapText="1"/>
    </xf>
    <xf numFmtId="0" fontId="44" fillId="8" borderId="42" xfId="0" applyFont="1" applyFill="1" applyBorder="1" applyAlignment="1">
      <alignment horizontal="center" vertical="top" wrapText="1"/>
    </xf>
    <xf numFmtId="0" fontId="44" fillId="8" borderId="42" xfId="2" applyFont="1" applyFill="1" applyBorder="1" applyAlignment="1">
      <alignment horizontal="center" vertical="top" wrapText="1"/>
    </xf>
    <xf numFmtId="0" fontId="44" fillId="8" borderId="39" xfId="0" applyFont="1" applyFill="1" applyBorder="1" applyAlignment="1">
      <alignment horizontal="center" vertical="top" wrapText="1"/>
    </xf>
    <xf numFmtId="0" fontId="61" fillId="8" borderId="1" xfId="6" applyFont="1" applyFill="1" applyBorder="1" applyAlignment="1">
      <alignment horizontal="center" vertical="center"/>
    </xf>
    <xf numFmtId="0" fontId="61" fillId="8" borderId="2" xfId="6" applyFont="1" applyFill="1" applyBorder="1" applyAlignment="1">
      <alignment horizontal="center" vertical="center"/>
    </xf>
    <xf numFmtId="2" fontId="61" fillId="8" borderId="2" xfId="6" applyNumberFormat="1" applyFont="1" applyFill="1" applyBorder="1" applyAlignment="1">
      <alignment horizontal="center" vertical="center"/>
    </xf>
    <xf numFmtId="164" fontId="61" fillId="8" borderId="2" xfId="6" applyNumberFormat="1" applyFont="1" applyFill="1" applyBorder="1" applyAlignment="1">
      <alignment horizontal="center" vertical="center"/>
    </xf>
    <xf numFmtId="0" fontId="61" fillId="8" borderId="15" xfId="6" applyFont="1" applyFill="1" applyBorder="1" applyAlignment="1">
      <alignment horizontal="center" vertical="center"/>
    </xf>
    <xf numFmtId="0" fontId="61" fillId="8" borderId="16" xfId="6" applyFont="1" applyFill="1" applyBorder="1" applyAlignment="1">
      <alignment horizontal="center" vertical="center"/>
    </xf>
    <xf numFmtId="2" fontId="61" fillId="8" borderId="16" xfId="6" applyNumberFormat="1" applyFont="1" applyFill="1" applyBorder="1" applyAlignment="1">
      <alignment horizontal="center" vertical="center"/>
    </xf>
    <xf numFmtId="164" fontId="61" fillId="8" borderId="16" xfId="6" applyNumberFormat="1" applyFont="1" applyFill="1" applyBorder="1" applyAlignment="1">
      <alignment horizontal="center" vertical="center"/>
    </xf>
    <xf numFmtId="0" fontId="61" fillId="8" borderId="1" xfId="0" applyFont="1" applyFill="1" applyBorder="1" applyAlignment="1">
      <alignment horizontal="center"/>
    </xf>
    <xf numFmtId="0" fontId="61" fillId="8" borderId="2" xfId="0" applyFont="1" applyFill="1" applyBorder="1" applyAlignment="1">
      <alignment horizontal="center"/>
    </xf>
    <xf numFmtId="2" fontId="61" fillId="8" borderId="2" xfId="0" applyNumberFormat="1" applyFont="1" applyFill="1" applyBorder="1" applyAlignment="1">
      <alignment horizontal="center"/>
    </xf>
    <xf numFmtId="0" fontId="61" fillId="8" borderId="15" xfId="0" applyFont="1" applyFill="1" applyBorder="1" applyAlignment="1">
      <alignment horizontal="center"/>
    </xf>
    <xf numFmtId="0" fontId="61" fillId="8" borderId="16" xfId="0" applyFont="1" applyFill="1" applyBorder="1" applyAlignment="1">
      <alignment horizontal="center"/>
    </xf>
    <xf numFmtId="2" fontId="61" fillId="8" borderId="16" xfId="0" applyNumberFormat="1" applyFont="1" applyFill="1" applyBorder="1" applyAlignment="1">
      <alignment horizontal="center"/>
    </xf>
    <xf numFmtId="164" fontId="61" fillId="8" borderId="14" xfId="6" applyNumberFormat="1" applyFont="1" applyFill="1" applyBorder="1" applyAlignment="1">
      <alignment horizontal="center" vertical="center"/>
    </xf>
    <xf numFmtId="164" fontId="61" fillId="8" borderId="17" xfId="6" applyNumberFormat="1" applyFont="1" applyFill="1" applyBorder="1" applyAlignment="1">
      <alignment horizontal="center" vertical="center"/>
    </xf>
    <xf numFmtId="164" fontId="4" fillId="0" borderId="0" xfId="6" applyNumberFormat="1" applyFont="1"/>
    <xf numFmtId="164" fontId="44" fillId="8" borderId="42" xfId="0" applyNumberFormat="1" applyFont="1" applyFill="1" applyBorder="1" applyAlignment="1">
      <alignment horizontal="center" vertical="top" wrapText="1"/>
    </xf>
    <xf numFmtId="164" fontId="44" fillId="8" borderId="39" xfId="0" applyNumberFormat="1" applyFont="1" applyFill="1" applyBorder="1" applyAlignment="1">
      <alignment horizontal="center" vertical="top" wrapText="1"/>
    </xf>
    <xf numFmtId="164" fontId="61" fillId="8" borderId="2" xfId="0" applyNumberFormat="1" applyFont="1" applyFill="1" applyBorder="1" applyAlignment="1">
      <alignment horizontal="center"/>
    </xf>
    <xf numFmtId="164" fontId="61" fillId="8" borderId="16" xfId="0" applyNumberFormat="1" applyFont="1" applyFill="1" applyBorder="1" applyAlignment="1">
      <alignment horizontal="center"/>
    </xf>
    <xf numFmtId="0" fontId="50" fillId="3" borderId="5" xfId="4" applyFont="1" applyFill="1" applyBorder="1" applyAlignment="1" applyProtection="1">
      <alignment horizontal="center" vertical="center"/>
      <protection locked="0"/>
    </xf>
    <xf numFmtId="0" fontId="50" fillId="3" borderId="5" xfId="4" applyFont="1" applyFill="1" applyBorder="1" applyAlignment="1" applyProtection="1">
      <alignment vertical="center"/>
      <protection locked="0"/>
    </xf>
    <xf numFmtId="0" fontId="50" fillId="3" borderId="12" xfId="4" applyFont="1" applyFill="1" applyBorder="1" applyAlignment="1" applyProtection="1">
      <alignment vertical="center"/>
      <protection locked="0"/>
    </xf>
    <xf numFmtId="0" fontId="50" fillId="3" borderId="2" xfId="4" applyFont="1" applyFill="1" applyBorder="1" applyAlignment="1" applyProtection="1">
      <alignment horizontal="center" vertical="center"/>
      <protection locked="0"/>
    </xf>
    <xf numFmtId="0" fontId="50" fillId="3" borderId="14" xfId="4" applyFont="1" applyFill="1" applyBorder="1" applyAlignment="1" applyProtection="1">
      <alignment horizontal="center" vertical="center"/>
      <protection locked="0"/>
    </xf>
    <xf numFmtId="0" fontId="50" fillId="3" borderId="72" xfId="4" applyFont="1" applyFill="1" applyBorder="1" applyAlignment="1" applyProtection="1">
      <alignment horizontal="center" vertical="center"/>
      <protection locked="0"/>
    </xf>
    <xf numFmtId="0" fontId="50" fillId="0" borderId="59" xfId="6" applyFont="1" applyBorder="1"/>
    <xf numFmtId="0" fontId="50" fillId="3" borderId="73" xfId="4" applyFont="1" applyFill="1" applyBorder="1" applyAlignment="1" applyProtection="1">
      <alignment horizontal="center" vertical="center"/>
      <protection locked="0"/>
    </xf>
    <xf numFmtId="0" fontId="50" fillId="3" borderId="57" xfId="4" applyFont="1" applyFill="1" applyBorder="1" applyAlignment="1" applyProtection="1">
      <alignment horizontal="center" vertical="center"/>
      <protection locked="0"/>
    </xf>
    <xf numFmtId="0" fontId="50" fillId="3" borderId="37" xfId="4" applyFont="1" applyFill="1" applyBorder="1" applyAlignment="1" applyProtection="1">
      <alignment horizontal="center" vertical="center"/>
      <protection locked="0"/>
    </xf>
    <xf numFmtId="0" fontId="44" fillId="0" borderId="39" xfId="6" applyFont="1" applyBorder="1" applyAlignment="1">
      <alignment horizontal="center" vertical="center"/>
    </xf>
    <xf numFmtId="0" fontId="50" fillId="0" borderId="0" xfId="6" applyFont="1"/>
    <xf numFmtId="0" fontId="48" fillId="0" borderId="51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8" fillId="0" borderId="14" xfId="0" applyFont="1" applyBorder="1" applyAlignment="1">
      <alignment horizontal="center" vertical="center"/>
    </xf>
    <xf numFmtId="2" fontId="48" fillId="0" borderId="51" xfId="0" applyNumberFormat="1" applyFont="1" applyBorder="1" applyAlignment="1">
      <alignment horizontal="center" vertical="center"/>
    </xf>
    <xf numFmtId="2" fontId="48" fillId="0" borderId="14" xfId="0" applyNumberFormat="1" applyFont="1" applyBorder="1" applyAlignment="1">
      <alignment horizontal="center" vertical="center"/>
    </xf>
    <xf numFmtId="0" fontId="48" fillId="0" borderId="52" xfId="0" applyFon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2" fontId="48" fillId="10" borderId="2" xfId="0" applyNumberFormat="1" applyFont="1" applyFill="1" applyBorder="1" applyAlignment="1">
      <alignment horizontal="center" vertical="center"/>
    </xf>
    <xf numFmtId="0" fontId="48" fillId="10" borderId="37" xfId="6" applyFont="1" applyFill="1" applyBorder="1" applyAlignment="1">
      <alignment horizontal="center" vertical="center"/>
    </xf>
    <xf numFmtId="0" fontId="84" fillId="8" borderId="71" xfId="6" applyFont="1" applyFill="1" applyBorder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0" fillId="0" borderId="5" xfId="0" applyBorder="1"/>
    <xf numFmtId="0" fontId="0" fillId="0" borderId="12" xfId="0" applyBorder="1"/>
    <xf numFmtId="0" fontId="7" fillId="3" borderId="0" xfId="2" applyFont="1" applyFill="1"/>
    <xf numFmtId="0" fontId="37" fillId="3" borderId="0" xfId="2" applyFont="1" applyFill="1"/>
    <xf numFmtId="0" fontId="32" fillId="3" borderId="0" xfId="2" applyFont="1" applyFill="1"/>
    <xf numFmtId="0" fontId="0" fillId="13" borderId="0" xfId="0" applyFill="1"/>
    <xf numFmtId="2" fontId="7" fillId="13" borderId="3" xfId="1" applyNumberFormat="1" applyFont="1" applyFill="1" applyBorder="1" applyAlignment="1">
      <alignment horizontal="center"/>
    </xf>
    <xf numFmtId="2" fontId="7" fillId="13" borderId="31" xfId="1" applyNumberFormat="1" applyFont="1" applyFill="1" applyBorder="1" applyAlignment="1">
      <alignment horizontal="center"/>
    </xf>
    <xf numFmtId="2" fontId="7" fillId="13" borderId="2" xfId="1" applyNumberFormat="1" applyFont="1" applyFill="1" applyBorder="1" applyAlignment="1">
      <alignment horizontal="center"/>
    </xf>
    <xf numFmtId="2" fontId="7" fillId="13" borderId="18" xfId="1" applyNumberFormat="1" applyFont="1" applyFill="1" applyBorder="1" applyAlignment="1">
      <alignment horizontal="center"/>
    </xf>
    <xf numFmtId="166" fontId="14" fillId="13" borderId="11" xfId="1" applyNumberFormat="1" applyFont="1" applyFill="1" applyBorder="1" applyAlignment="1">
      <alignment horizontal="center"/>
    </xf>
    <xf numFmtId="0" fontId="54" fillId="1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0" fillId="6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5" fillId="0" borderId="0" xfId="0" applyFont="1" applyAlignment="1">
      <alignment horizontal="left"/>
    </xf>
    <xf numFmtId="0" fontId="86" fillId="0" borderId="0" xfId="4" applyFont="1" applyAlignment="1">
      <alignment horizontal="left"/>
    </xf>
    <xf numFmtId="166" fontId="0" fillId="0" borderId="0" xfId="0" applyNumberFormat="1" applyAlignment="1">
      <alignment horizontal="center"/>
    </xf>
    <xf numFmtId="0" fontId="83" fillId="0" borderId="0" xfId="4" applyFont="1" applyAlignment="1">
      <alignment horizontal="left"/>
    </xf>
    <xf numFmtId="2" fontId="8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61" fillId="0" borderId="7" xfId="0" applyFont="1" applyBorder="1"/>
    <xf numFmtId="0" fontId="61" fillId="0" borderId="5" xfId="0" applyFont="1" applyBorder="1"/>
    <xf numFmtId="0" fontId="61" fillId="0" borderId="12" xfId="0" applyFont="1" applyBorder="1"/>
    <xf numFmtId="0" fontId="61" fillId="0" borderId="2" xfId="0" applyFont="1" applyBorder="1" applyAlignment="1">
      <alignment horizontal="center"/>
    </xf>
    <xf numFmtId="0" fontId="50" fillId="0" borderId="7" xfId="0" applyFont="1" applyBorder="1"/>
    <xf numFmtId="0" fontId="50" fillId="0" borderId="5" xfId="0" applyFont="1" applyBorder="1"/>
    <xf numFmtId="0" fontId="50" fillId="0" borderId="12" xfId="0" applyFont="1" applyBorder="1"/>
    <xf numFmtId="0" fontId="44" fillId="3" borderId="31" xfId="4" applyFont="1" applyFill="1" applyBorder="1" applyAlignment="1">
      <alignment horizontal="center" vertical="top" wrapText="1"/>
    </xf>
    <xf numFmtId="0" fontId="44" fillId="13" borderId="31" xfId="4" applyFont="1" applyFill="1" applyBorder="1" applyAlignment="1">
      <alignment horizontal="center" vertical="top" wrapText="1"/>
    </xf>
    <xf numFmtId="0" fontId="10" fillId="13" borderId="31" xfId="4" applyFont="1" applyFill="1" applyBorder="1" applyAlignment="1">
      <alignment horizontal="center" vertical="top" wrapText="1"/>
    </xf>
    <xf numFmtId="0" fontId="50" fillId="0" borderId="2" xfId="0" applyFont="1" applyBorder="1" applyAlignment="1">
      <alignment horizontal="center" vertical="center"/>
    </xf>
    <xf numFmtId="164" fontId="50" fillId="0" borderId="2" xfId="0" applyNumberFormat="1" applyFont="1" applyBorder="1" applyAlignment="1">
      <alignment horizontal="center" vertical="center"/>
    </xf>
    <xf numFmtId="164" fontId="50" fillId="13" borderId="2" xfId="0" applyNumberFormat="1" applyFont="1" applyFill="1" applyBorder="1" applyAlignment="1">
      <alignment horizontal="center" vertical="center"/>
    </xf>
    <xf numFmtId="165" fontId="50" fillId="13" borderId="2" xfId="0" applyNumberFormat="1" applyFont="1" applyFill="1" applyBorder="1" applyAlignment="1">
      <alignment horizontal="center" vertical="center"/>
    </xf>
    <xf numFmtId="2" fontId="50" fillId="13" borderId="2" xfId="0" applyNumberFormat="1" applyFont="1" applyFill="1" applyBorder="1" applyAlignment="1">
      <alignment horizontal="center" vertical="center"/>
    </xf>
    <xf numFmtId="2" fontId="50" fillId="0" borderId="2" xfId="0" applyNumberFormat="1" applyFont="1" applyBorder="1" applyAlignment="1">
      <alignment horizontal="center" vertical="center"/>
    </xf>
    <xf numFmtId="164" fontId="50" fillId="0" borderId="2" xfId="0" applyNumberFormat="1" applyFont="1" applyBorder="1" applyAlignment="1">
      <alignment horizontal="center"/>
    </xf>
    <xf numFmtId="0" fontId="33" fillId="0" borderId="0" xfId="0" applyFont="1"/>
    <xf numFmtId="165" fontId="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50" fillId="0" borderId="0" xfId="0" applyFont="1"/>
    <xf numFmtId="0" fontId="50" fillId="0" borderId="7" xfId="0" applyFont="1" applyBorder="1" applyAlignment="1">
      <alignment vertical="center" wrapText="1"/>
    </xf>
    <xf numFmtId="0" fontId="50" fillId="0" borderId="5" xfId="0" applyFont="1" applyBorder="1" applyAlignment="1">
      <alignment vertical="center" wrapText="1"/>
    </xf>
    <xf numFmtId="0" fontId="50" fillId="0" borderId="12" xfId="0" applyFont="1" applyBorder="1" applyAlignment="1">
      <alignment vertical="center" wrapText="1"/>
    </xf>
    <xf numFmtId="0" fontId="50" fillId="0" borderId="2" xfId="0" applyFont="1" applyBorder="1"/>
    <xf numFmtId="0" fontId="0" fillId="13" borderId="0" xfId="0" applyFill="1" applyAlignment="1">
      <alignment vertical="top" wrapText="1"/>
    </xf>
    <xf numFmtId="0" fontId="44" fillId="3" borderId="2" xfId="4" applyFont="1" applyFill="1" applyBorder="1" applyAlignment="1">
      <alignment horizontal="center" vertical="top" wrapText="1"/>
    </xf>
    <xf numFmtId="0" fontId="7" fillId="9" borderId="0" xfId="5" applyFont="1" applyFill="1" applyAlignment="1" applyProtection="1">
      <alignment vertical="center"/>
      <protection locked="0"/>
    </xf>
    <xf numFmtId="0" fontId="7" fillId="9" borderId="0" xfId="5" applyFont="1" applyFill="1" applyAlignment="1" applyProtection="1">
      <alignment horizontal="left" vertical="center"/>
      <protection locked="0"/>
    </xf>
    <xf numFmtId="0" fontId="57" fillId="3" borderId="8" xfId="0" applyFont="1" applyFill="1" applyBorder="1" applyAlignment="1" applyProtection="1">
      <alignment horizontal="left" vertical="top"/>
      <protection hidden="1"/>
    </xf>
    <xf numFmtId="0" fontId="57" fillId="3" borderId="9" xfId="0" quotePrefix="1" applyFont="1" applyFill="1" applyBorder="1" applyAlignment="1" applyProtection="1">
      <alignment vertical="center"/>
      <protection locked="0"/>
    </xf>
    <xf numFmtId="0" fontId="57" fillId="3" borderId="7" xfId="0" applyFont="1" applyFill="1" applyBorder="1" applyAlignment="1" applyProtection="1">
      <alignment horizontal="left" vertical="top"/>
      <protection hidden="1"/>
    </xf>
    <xf numFmtId="0" fontId="57" fillId="3" borderId="60" xfId="0" quotePrefix="1" applyFont="1" applyFill="1" applyBorder="1" applyAlignment="1" applyProtection="1">
      <alignment vertical="center"/>
      <protection locked="0"/>
    </xf>
    <xf numFmtId="0" fontId="57" fillId="0" borderId="0" xfId="2" applyFont="1"/>
    <xf numFmtId="0" fontId="48" fillId="0" borderId="7" xfId="2" applyFont="1" applyBorder="1" applyAlignment="1">
      <alignment vertical="center"/>
    </xf>
    <xf numFmtId="0" fontId="48" fillId="0" borderId="0" xfId="2" applyFont="1" applyProtection="1">
      <protection locked="0"/>
    </xf>
    <xf numFmtId="0" fontId="57" fillId="0" borderId="0" xfId="0" applyFont="1"/>
    <xf numFmtId="0" fontId="84" fillId="0" borderId="31" xfId="2" applyFont="1" applyBorder="1" applyAlignment="1">
      <alignment horizontal="center" vertical="center" wrapText="1"/>
    </xf>
    <xf numFmtId="0" fontId="84" fillId="0" borderId="31" xfId="2" applyFont="1" applyBorder="1" applyAlignment="1">
      <alignment horizontal="center" vertical="center"/>
    </xf>
    <xf numFmtId="0" fontId="84" fillId="3" borderId="2" xfId="0" applyFont="1" applyFill="1" applyBorder="1" applyAlignment="1">
      <alignment horizontal="center"/>
    </xf>
    <xf numFmtId="0" fontId="84" fillId="0" borderId="2" xfId="2" applyFont="1" applyBorder="1" applyAlignment="1">
      <alignment horizontal="center"/>
    </xf>
    <xf numFmtId="0" fontId="84" fillId="0" borderId="2" xfId="2" applyFont="1" applyBorder="1" applyAlignment="1">
      <alignment horizontal="center" vertical="center" wrapText="1"/>
    </xf>
    <xf numFmtId="0" fontId="57" fillId="0" borderId="0" xfId="0" applyFont="1" applyAlignment="1" applyProtection="1">
      <alignment horizontal="left"/>
      <protection locked="0"/>
    </xf>
    <xf numFmtId="0" fontId="48" fillId="0" borderId="2" xfId="2" applyFont="1" applyBorder="1" applyAlignment="1">
      <alignment horizontal="center"/>
    </xf>
    <xf numFmtId="0" fontId="10" fillId="0" borderId="2" xfId="2" applyFont="1" applyBorder="1" applyAlignment="1">
      <alignment horizontal="center"/>
    </xf>
    <xf numFmtId="0" fontId="44" fillId="0" borderId="2" xfId="2" applyFont="1" applyBorder="1" applyAlignment="1">
      <alignment horizontal="center" vertical="center" wrapText="1"/>
    </xf>
    <xf numFmtId="0" fontId="88" fillId="0" borderId="0" xfId="0" applyFont="1" applyAlignment="1">
      <alignment vertical="center"/>
    </xf>
    <xf numFmtId="0" fontId="88" fillId="0" borderId="0" xfId="2" applyFont="1" applyAlignment="1">
      <alignment vertical="center"/>
    </xf>
    <xf numFmtId="0" fontId="89" fillId="0" borderId="0" xfId="2" applyFont="1" applyAlignment="1">
      <alignment horizontal="center" vertical="center"/>
    </xf>
    <xf numFmtId="0" fontId="88" fillId="0" borderId="0" xfId="2" applyFont="1"/>
    <xf numFmtId="0" fontId="90" fillId="0" borderId="0" xfId="2" applyFont="1"/>
    <xf numFmtId="0" fontId="87" fillId="0" borderId="0" xfId="2" applyFont="1"/>
    <xf numFmtId="0" fontId="32" fillId="0" borderId="7" xfId="2" applyFont="1" applyBorder="1" applyAlignment="1">
      <alignment horizontal="left" vertical="center"/>
    </xf>
    <xf numFmtId="0" fontId="32" fillId="0" borderId="5" xfId="2" applyFont="1" applyBorder="1" applyAlignment="1">
      <alignment horizontal="left" vertical="center"/>
    </xf>
    <xf numFmtId="0" fontId="37" fillId="0" borderId="8" xfId="0" applyFont="1" applyBorder="1" applyAlignment="1">
      <alignment vertical="center"/>
    </xf>
    <xf numFmtId="0" fontId="37" fillId="0" borderId="8" xfId="2" applyFont="1" applyBorder="1" applyAlignment="1">
      <alignment horizontal="center" vertical="center"/>
    </xf>
    <xf numFmtId="2" fontId="32" fillId="0" borderId="8" xfId="0" applyNumberFormat="1" applyFont="1" applyBorder="1" applyAlignment="1">
      <alignment horizontal="center"/>
    </xf>
    <xf numFmtId="0" fontId="37" fillId="0" borderId="33" xfId="2" applyFont="1" applyBorder="1" applyAlignment="1">
      <alignment vertical="center"/>
    </xf>
    <xf numFmtId="0" fontId="37" fillId="0" borderId="32" xfId="2" applyFont="1" applyBorder="1" applyAlignment="1">
      <alignment vertical="center"/>
    </xf>
    <xf numFmtId="0" fontId="37" fillId="0" borderId="11" xfId="2" applyFont="1" applyBorder="1" applyAlignment="1">
      <alignment vertical="center"/>
    </xf>
    <xf numFmtId="0" fontId="37" fillId="0" borderId="10" xfId="2" applyFont="1" applyBorder="1" applyAlignment="1">
      <alignment vertical="center"/>
    </xf>
    <xf numFmtId="0" fontId="45" fillId="0" borderId="0" xfId="0" applyFont="1" applyAlignment="1">
      <alignment vertical="center" wrapText="1"/>
    </xf>
    <xf numFmtId="164" fontId="92" fillId="0" borderId="0" xfId="2" applyNumberFormat="1" applyFont="1" applyAlignment="1">
      <alignment horizontal="left" vertical="center"/>
    </xf>
    <xf numFmtId="9" fontId="41" fillId="0" borderId="8" xfId="0" quotePrefix="1" applyNumberFormat="1" applyFont="1" applyBorder="1" applyAlignment="1">
      <alignment vertical="center"/>
    </xf>
    <xf numFmtId="0" fontId="36" fillId="0" borderId="0" xfId="2" applyFont="1"/>
    <xf numFmtId="0" fontId="43" fillId="0" borderId="0" xfId="2" applyFont="1"/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89" fillId="0" borderId="0" xfId="0" applyFont="1" applyAlignment="1">
      <alignment horizontal="center" vertical="center"/>
    </xf>
    <xf numFmtId="0" fontId="37" fillId="0" borderId="0" xfId="0" applyFont="1" applyAlignment="1">
      <alignment vertical="top"/>
    </xf>
    <xf numFmtId="0" fontId="59" fillId="0" borderId="0" xfId="1" applyFont="1"/>
    <xf numFmtId="0" fontId="95" fillId="0" borderId="0" xfId="1" applyFont="1"/>
    <xf numFmtId="0" fontId="93" fillId="0" borderId="0" xfId="4" applyFont="1"/>
    <xf numFmtId="0" fontId="59" fillId="0" borderId="0" xfId="4" applyFont="1"/>
    <xf numFmtId="1" fontId="59" fillId="0" borderId="0" xfId="4" applyNumberFormat="1" applyFont="1"/>
    <xf numFmtId="0" fontId="93" fillId="0" borderId="0" xfId="4" applyFont="1" applyAlignment="1">
      <alignment horizontal="center"/>
    </xf>
    <xf numFmtId="0" fontId="94" fillId="0" borderId="0" xfId="1" applyFont="1"/>
    <xf numFmtId="166" fontId="14" fillId="13" borderId="7" xfId="1" applyNumberFormat="1" applyFont="1" applyFill="1" applyBorder="1" applyAlignment="1">
      <alignment horizontal="center"/>
    </xf>
    <xf numFmtId="0" fontId="95" fillId="3" borderId="0" xfId="1" applyFont="1" applyFill="1"/>
    <xf numFmtId="2" fontId="95" fillId="3" borderId="0" xfId="1" applyNumberFormat="1" applyFont="1" applyFill="1"/>
    <xf numFmtId="0" fontId="97" fillId="3" borderId="0" xfId="1" applyFont="1" applyFill="1"/>
    <xf numFmtId="11" fontId="80" fillId="3" borderId="0" xfId="1" applyNumberFormat="1" applyFont="1" applyFill="1" applyAlignment="1">
      <alignment horizontal="center"/>
    </xf>
    <xf numFmtId="0" fontId="80" fillId="3" borderId="0" xfId="1" applyFont="1" applyFill="1"/>
    <xf numFmtId="165" fontId="99" fillId="3" borderId="0" xfId="1" applyNumberFormat="1" applyFont="1" applyFill="1" applyAlignment="1">
      <alignment horizontal="center"/>
    </xf>
    <xf numFmtId="166" fontId="95" fillId="3" borderId="0" xfId="1" applyNumberFormat="1" applyFont="1" applyFill="1" applyAlignment="1">
      <alignment horizontal="center"/>
    </xf>
    <xf numFmtId="0" fontId="93" fillId="3" borderId="0" xfId="4" applyFont="1" applyFill="1" applyAlignment="1">
      <alignment horizontal="center"/>
    </xf>
    <xf numFmtId="0" fontId="59" fillId="3" borderId="0" xfId="1" applyFont="1" applyFill="1"/>
    <xf numFmtId="0" fontId="44" fillId="0" borderId="2" xfId="0" applyFont="1" applyBorder="1" applyAlignment="1">
      <alignment horizontal="center" vertical="top"/>
    </xf>
    <xf numFmtId="0" fontId="44" fillId="0" borderId="2" xfId="2" applyFont="1" applyBorder="1" applyAlignment="1">
      <alignment horizontal="center" vertical="top"/>
    </xf>
    <xf numFmtId="0" fontId="100" fillId="3" borderId="2" xfId="0" applyFont="1" applyFill="1" applyBorder="1" applyAlignment="1" applyProtection="1">
      <alignment horizontal="center"/>
      <protection locked="0"/>
    </xf>
    <xf numFmtId="0" fontId="50" fillId="3" borderId="2" xfId="0" applyFont="1" applyFill="1" applyBorder="1" applyAlignment="1">
      <alignment horizontal="left"/>
    </xf>
    <xf numFmtId="0" fontId="44" fillId="3" borderId="2" xfId="0" applyFont="1" applyFill="1" applyBorder="1" applyAlignment="1">
      <alignment horizontal="center"/>
    </xf>
    <xf numFmtId="164" fontId="50" fillId="0" borderId="2" xfId="2" applyNumberFormat="1" applyFont="1" applyBorder="1" applyAlignment="1">
      <alignment horizontal="center" vertical="center"/>
    </xf>
    <xf numFmtId="2" fontId="50" fillId="0" borderId="2" xfId="2" applyNumberFormat="1" applyFont="1" applyBorder="1" applyAlignment="1">
      <alignment horizontal="center" vertical="center"/>
    </xf>
    <xf numFmtId="0" fontId="101" fillId="3" borderId="2" xfId="0" applyFont="1" applyFill="1" applyBorder="1" applyAlignment="1">
      <alignment horizontal="center"/>
    </xf>
    <xf numFmtId="0" fontId="24" fillId="0" borderId="0" xfId="0" applyFont="1" applyAlignment="1">
      <alignment vertical="center"/>
    </xf>
    <xf numFmtId="0" fontId="24" fillId="0" borderId="0" xfId="2" applyFont="1" applyAlignment="1" applyProtection="1">
      <alignment vertical="center"/>
      <protection locked="0"/>
    </xf>
    <xf numFmtId="0" fontId="24" fillId="6" borderId="2" xfId="0" applyFont="1" applyFill="1" applyBorder="1" applyAlignment="1">
      <alignment vertical="center"/>
    </xf>
    <xf numFmtId="0" fontId="50" fillId="3" borderId="2" xfId="0" applyFont="1" applyFill="1" applyBorder="1" applyAlignment="1">
      <alignment horizontal="left" vertical="center"/>
    </xf>
    <xf numFmtId="0" fontId="44" fillId="3" borderId="2" xfId="0" applyFont="1" applyFill="1" applyBorder="1" applyAlignment="1">
      <alignment horizontal="center" vertical="center"/>
    </xf>
    <xf numFmtId="164" fontId="50" fillId="0" borderId="2" xfId="0" applyNumberFormat="1" applyFont="1" applyBorder="1" applyAlignment="1">
      <alignment horizontal="center" vertical="center" wrapText="1"/>
    </xf>
    <xf numFmtId="164" fontId="50" fillId="0" borderId="3" xfId="0" applyNumberFormat="1" applyFont="1" applyBorder="1" applyAlignment="1">
      <alignment vertical="center" wrapText="1"/>
    </xf>
    <xf numFmtId="0" fontId="50" fillId="0" borderId="5" xfId="0" applyFont="1" applyBorder="1" applyAlignment="1">
      <alignment horizontal="right" vertical="center"/>
    </xf>
    <xf numFmtId="164" fontId="50" fillId="0" borderId="12" xfId="0" applyNumberFormat="1" applyFont="1" applyBorder="1" applyAlignment="1">
      <alignment horizontal="left" vertical="center"/>
    </xf>
    <xf numFmtId="0" fontId="102" fillId="0" borderId="0" xfId="2" applyFont="1" applyAlignment="1">
      <alignment horizontal="center" vertical="center"/>
    </xf>
    <xf numFmtId="0" fontId="50" fillId="0" borderId="0" xfId="2" applyFont="1" applyAlignment="1">
      <alignment vertical="center"/>
    </xf>
    <xf numFmtId="0" fontId="57" fillId="0" borderId="0" xfId="2" applyFont="1" applyAlignment="1">
      <alignment horizontal="center" vertical="center"/>
    </xf>
    <xf numFmtId="0" fontId="57" fillId="0" borderId="2" xfId="2" applyFont="1" applyBorder="1"/>
    <xf numFmtId="1" fontId="57" fillId="5" borderId="2" xfId="2" applyNumberFormat="1" applyFont="1" applyFill="1" applyBorder="1" applyAlignment="1">
      <alignment horizontal="center"/>
    </xf>
    <xf numFmtId="0" fontId="57" fillId="0" borderId="2" xfId="2" applyFont="1" applyBorder="1" applyAlignment="1">
      <alignment horizontal="center"/>
    </xf>
    <xf numFmtId="164" fontId="57" fillId="0" borderId="0" xfId="2" applyNumberFormat="1" applyFont="1"/>
    <xf numFmtId="2" fontId="57" fillId="0" borderId="0" xfId="2" applyNumberFormat="1" applyFont="1"/>
    <xf numFmtId="0" fontId="57" fillId="0" borderId="0" xfId="2" applyFont="1" applyAlignment="1">
      <alignment vertical="center"/>
    </xf>
    <xf numFmtId="164" fontId="57" fillId="0" borderId="0" xfId="2" applyNumberFormat="1" applyFont="1" applyAlignment="1">
      <alignment horizontal="center" vertical="center"/>
    </xf>
    <xf numFmtId="164" fontId="50" fillId="0" borderId="18" xfId="0" applyNumberFormat="1" applyFont="1" applyBorder="1" applyAlignment="1">
      <alignment vertical="center" wrapText="1"/>
    </xf>
    <xf numFmtId="2" fontId="57" fillId="0" borderId="0" xfId="2" applyNumberFormat="1" applyFont="1" applyAlignment="1">
      <alignment vertical="center"/>
    </xf>
    <xf numFmtId="164" fontId="57" fillId="0" borderId="0" xfId="2" applyNumberFormat="1" applyFont="1" applyAlignment="1">
      <alignment vertical="center"/>
    </xf>
    <xf numFmtId="2" fontId="32" fillId="0" borderId="0" xfId="0" applyNumberFormat="1" applyFont="1"/>
    <xf numFmtId="0" fontId="37" fillId="3" borderId="0" xfId="0" applyFont="1" applyFill="1" applyAlignment="1">
      <alignment horizontal="center" vertical="center"/>
    </xf>
    <xf numFmtId="165" fontId="32" fillId="0" borderId="0" xfId="0" applyNumberFormat="1" applyFont="1" applyAlignment="1">
      <alignment horizontal="center" vertical="center" wrapText="1"/>
    </xf>
    <xf numFmtId="0" fontId="61" fillId="2" borderId="3" xfId="0" applyFont="1" applyFill="1" applyBorder="1" applyAlignment="1">
      <alignment vertical="center"/>
    </xf>
    <xf numFmtId="0" fontId="103" fillId="3" borderId="2" xfId="0" applyFont="1" applyFill="1" applyBorder="1" applyAlignment="1" applyProtection="1">
      <alignment horizontal="center"/>
      <protection locked="0"/>
    </xf>
    <xf numFmtId="164" fontId="104" fillId="3" borderId="2" xfId="0" applyNumberFormat="1" applyFont="1" applyFill="1" applyBorder="1" applyAlignment="1" applyProtection="1">
      <alignment horizontal="center" vertical="center"/>
      <protection locked="0"/>
    </xf>
    <xf numFmtId="164" fontId="61" fillId="0" borderId="2" xfId="0" applyNumberFormat="1" applyFont="1" applyBorder="1" applyAlignment="1">
      <alignment horizontal="center"/>
    </xf>
    <xf numFmtId="164" fontId="61" fillId="0" borderId="2" xfId="0" applyNumberFormat="1" applyFont="1" applyBorder="1" applyAlignment="1">
      <alignment horizontal="center" vertical="center"/>
    </xf>
    <xf numFmtId="2" fontId="61" fillId="0" borderId="2" xfId="0" applyNumberFormat="1" applyFont="1" applyBorder="1" applyAlignment="1">
      <alignment horizontal="center" vertical="center"/>
    </xf>
    <xf numFmtId="0" fontId="61" fillId="2" borderId="18" xfId="0" applyFont="1" applyFill="1" applyBorder="1" applyAlignment="1">
      <alignment vertical="center"/>
    </xf>
    <xf numFmtId="0" fontId="50" fillId="2" borderId="3" xfId="0" applyFont="1" applyFill="1" applyBorder="1" applyAlignment="1">
      <alignment vertical="center"/>
    </xf>
    <xf numFmtId="0" fontId="50" fillId="0" borderId="3" xfId="0" applyFont="1" applyBorder="1" applyAlignment="1">
      <alignment vertical="center" wrapText="1"/>
    </xf>
    <xf numFmtId="164" fontId="50" fillId="0" borderId="7" xfId="0" applyNumberFormat="1" applyFont="1" applyBorder="1" applyAlignment="1">
      <alignment horizontal="center" vertical="center"/>
    </xf>
    <xf numFmtId="165" fontId="50" fillId="0" borderId="2" xfId="0" applyNumberFormat="1" applyFont="1" applyBorder="1" applyAlignment="1">
      <alignment vertical="center" wrapText="1"/>
    </xf>
    <xf numFmtId="1" fontId="10" fillId="3" borderId="3" xfId="2" applyNumberFormat="1" applyFont="1" applyFill="1" applyBorder="1" applyAlignment="1">
      <alignment vertical="center"/>
    </xf>
    <xf numFmtId="0" fontId="50" fillId="2" borderId="18" xfId="0" applyFont="1" applyFill="1" applyBorder="1" applyAlignment="1">
      <alignment vertical="center"/>
    </xf>
    <xf numFmtId="0" fontId="50" fillId="0" borderId="18" xfId="0" applyFont="1" applyBorder="1" applyAlignment="1">
      <alignment vertical="center" wrapText="1"/>
    </xf>
    <xf numFmtId="1" fontId="10" fillId="3" borderId="18" xfId="2" applyNumberFormat="1" applyFont="1" applyFill="1" applyBorder="1" applyAlignment="1">
      <alignment vertical="center"/>
    </xf>
    <xf numFmtId="1" fontId="7" fillId="5" borderId="0" xfId="2" applyNumberFormat="1" applyFont="1" applyFill="1" applyAlignment="1">
      <alignment horizontal="center"/>
    </xf>
    <xf numFmtId="0" fontId="7" fillId="6" borderId="0" xfId="2" applyFont="1" applyFill="1" applyAlignment="1">
      <alignment vertical="center"/>
    </xf>
    <xf numFmtId="0" fontId="80" fillId="3" borderId="19" xfId="1" applyFont="1" applyFill="1" applyBorder="1"/>
    <xf numFmtId="1" fontId="7" fillId="6" borderId="0" xfId="2" applyNumberFormat="1" applyFont="1" applyFill="1" applyAlignment="1">
      <alignment horizontal="center"/>
    </xf>
    <xf numFmtId="164" fontId="7" fillId="5" borderId="0" xfId="2" applyNumberFormat="1" applyFont="1" applyFill="1" applyAlignment="1">
      <alignment horizontal="center"/>
    </xf>
    <xf numFmtId="165" fontId="7" fillId="5" borderId="0" xfId="2" applyNumberFormat="1" applyFont="1" applyFill="1" applyAlignment="1">
      <alignment horizontal="center"/>
    </xf>
    <xf numFmtId="0" fontId="23" fillId="0" borderId="0" xfId="0" applyFont="1" applyAlignment="1">
      <alignment vertical="center"/>
    </xf>
    <xf numFmtId="0" fontId="16" fillId="0" borderId="26" xfId="4" applyFont="1" applyBorder="1"/>
    <xf numFmtId="0" fontId="4" fillId="0" borderId="27" xfId="4" applyBorder="1"/>
    <xf numFmtId="164" fontId="4" fillId="0" borderId="27" xfId="4" applyNumberFormat="1" applyBorder="1"/>
    <xf numFmtId="0" fontId="16" fillId="0" borderId="28" xfId="4" applyFont="1" applyBorder="1" applyAlignment="1">
      <alignment horizontal="center"/>
    </xf>
    <xf numFmtId="0" fontId="15" fillId="0" borderId="29" xfId="1" applyBorder="1"/>
    <xf numFmtId="0" fontId="15" fillId="0" borderId="30" xfId="1" applyBorder="1"/>
    <xf numFmtId="0" fontId="16" fillId="0" borderId="23" xfId="1" applyFont="1" applyBorder="1" applyAlignment="1">
      <alignment horizontal="center"/>
    </xf>
    <xf numFmtId="0" fontId="16" fillId="0" borderId="26" xfId="1" applyFont="1" applyBorder="1"/>
    <xf numFmtId="0" fontId="4" fillId="0" borderId="29" xfId="1" applyFont="1" applyBorder="1"/>
    <xf numFmtId="0" fontId="16" fillId="0" borderId="6" xfId="1" applyFont="1" applyBorder="1"/>
    <xf numFmtId="166" fontId="14" fillId="8" borderId="61" xfId="1" applyNumberFormat="1" applyFont="1" applyFill="1" applyBorder="1" applyAlignment="1">
      <alignment horizontal="center"/>
    </xf>
    <xf numFmtId="165" fontId="14" fillId="0" borderId="23" xfId="1" applyNumberFormat="1" applyFont="1" applyBorder="1" applyAlignment="1">
      <alignment horizontal="center"/>
    </xf>
    <xf numFmtId="0" fontId="94" fillId="3" borderId="6" xfId="1" applyFont="1" applyFill="1" applyBorder="1"/>
    <xf numFmtId="169" fontId="80" fillId="3" borderId="19" xfId="1" applyNumberFormat="1" applyFont="1" applyFill="1" applyBorder="1"/>
    <xf numFmtId="166" fontId="14" fillId="13" borderId="61" xfId="1" applyNumberFormat="1" applyFont="1" applyFill="1" applyBorder="1" applyAlignment="1">
      <alignment horizontal="center"/>
    </xf>
    <xf numFmtId="0" fontId="0" fillId="0" borderId="19" xfId="0" applyBorder="1"/>
    <xf numFmtId="0" fontId="16" fillId="0" borderId="24" xfId="4" applyFont="1" applyBorder="1" applyAlignment="1">
      <alignment horizontal="center"/>
    </xf>
    <xf numFmtId="0" fontId="59" fillId="0" borderId="19" xfId="1" applyFont="1" applyBorder="1"/>
    <xf numFmtId="0" fontId="93" fillId="0" borderId="19" xfId="4" applyFont="1" applyBorder="1" applyAlignment="1">
      <alignment horizontal="center"/>
    </xf>
    <xf numFmtId="0" fontId="94" fillId="0" borderId="6" xfId="1" applyFont="1" applyBorder="1"/>
    <xf numFmtId="0" fontId="93" fillId="0" borderId="6" xfId="4" applyFont="1" applyBorder="1"/>
    <xf numFmtId="0" fontId="55" fillId="0" borderId="2" xfId="4" applyFont="1" applyBorder="1" applyAlignment="1">
      <alignment horizontal="center" vertical="center"/>
    </xf>
    <xf numFmtId="172" fontId="4" fillId="0" borderId="2" xfId="4" applyNumberFormat="1" applyBorder="1" applyAlignment="1">
      <alignment horizontal="center" vertical="center"/>
    </xf>
    <xf numFmtId="0" fontId="68" fillId="0" borderId="2" xfId="4" applyFont="1" applyBorder="1" applyAlignment="1">
      <alignment horizontal="center" vertical="center"/>
    </xf>
    <xf numFmtId="0" fontId="4" fillId="0" borderId="2" xfId="4" applyBorder="1"/>
    <xf numFmtId="172" fontId="55" fillId="0" borderId="2" xfId="4" applyNumberFormat="1" applyFont="1" applyBorder="1" applyAlignment="1">
      <alignment horizontal="center" vertical="center"/>
    </xf>
    <xf numFmtId="0" fontId="4" fillId="3" borderId="0" xfId="4" quotePrefix="1" applyFill="1" applyAlignment="1">
      <alignment horizontal="center" vertical="center" wrapText="1"/>
    </xf>
    <xf numFmtId="0" fontId="4" fillId="3" borderId="2" xfId="4" applyFill="1" applyBorder="1" applyAlignment="1">
      <alignment horizontal="center" vertical="center"/>
    </xf>
    <xf numFmtId="0" fontId="55" fillId="0" borderId="2" xfId="4" applyFont="1" applyBorder="1" applyAlignment="1">
      <alignment horizontal="center" vertical="center" wrapText="1"/>
    </xf>
    <xf numFmtId="0" fontId="107" fillId="0" borderId="0" xfId="4" applyFont="1"/>
    <xf numFmtId="2" fontId="108" fillId="0" borderId="8" xfId="0" applyNumberFormat="1" applyFont="1" applyBorder="1" applyAlignment="1">
      <alignment horizontal="left"/>
    </xf>
    <xf numFmtId="1" fontId="63" fillId="3" borderId="2" xfId="0" applyNumberFormat="1" applyFont="1" applyFill="1" applyBorder="1" applyAlignment="1" applyProtection="1">
      <alignment horizontal="center" vertical="center"/>
      <protection locked="0"/>
    </xf>
    <xf numFmtId="1" fontId="32" fillId="0" borderId="2" xfId="2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 wrapText="1"/>
    </xf>
    <xf numFmtId="1" fontId="32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 vertical="top" wrapText="1"/>
    </xf>
    <xf numFmtId="0" fontId="21" fillId="0" borderId="4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61" fillId="0" borderId="11" xfId="0" applyFont="1" applyBorder="1" applyAlignment="1">
      <alignment horizontal="center"/>
    </xf>
    <xf numFmtId="0" fontId="61" fillId="0" borderId="10" xfId="0" applyFont="1" applyBorder="1" applyAlignment="1">
      <alignment horizontal="center"/>
    </xf>
    <xf numFmtId="0" fontId="61" fillId="0" borderId="35" xfId="0" applyFont="1" applyBorder="1" applyAlignment="1">
      <alignment horizontal="center"/>
    </xf>
    <xf numFmtId="0" fontId="58" fillId="0" borderId="7" xfId="0" applyFont="1" applyBorder="1" applyAlignment="1">
      <alignment horizontal="left"/>
    </xf>
    <xf numFmtId="0" fontId="58" fillId="0" borderId="5" xfId="0" applyFont="1" applyBorder="1" applyAlignment="1">
      <alignment horizontal="left"/>
    </xf>
    <xf numFmtId="0" fontId="58" fillId="0" borderId="12" xfId="0" applyFont="1" applyBorder="1" applyAlignment="1">
      <alignment horizontal="left"/>
    </xf>
    <xf numFmtId="0" fontId="49" fillId="0" borderId="0" xfId="0" applyFont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17" fillId="0" borderId="2" xfId="4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2" xfId="6" applyFont="1" applyBorder="1" applyAlignment="1">
      <alignment horizontal="center" vertical="center"/>
    </xf>
    <xf numFmtId="0" fontId="21" fillId="0" borderId="2" xfId="6" applyFont="1" applyBorder="1" applyAlignment="1">
      <alignment horizontal="center" vertical="center" wrapText="1"/>
    </xf>
    <xf numFmtId="0" fontId="21" fillId="0" borderId="7" xfId="6" applyFont="1" applyBorder="1" applyAlignment="1">
      <alignment horizontal="center" vertical="center"/>
    </xf>
    <xf numFmtId="0" fontId="21" fillId="0" borderId="12" xfId="6" applyFont="1" applyBorder="1" applyAlignment="1">
      <alignment horizontal="center" vertical="center"/>
    </xf>
    <xf numFmtId="0" fontId="71" fillId="0" borderId="0" xfId="6" applyFont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2" fontId="4" fillId="0" borderId="56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21" fillId="0" borderId="18" xfId="6" applyFont="1" applyBorder="1" applyAlignment="1">
      <alignment horizontal="center" vertical="center"/>
    </xf>
    <xf numFmtId="1" fontId="32" fillId="0" borderId="8" xfId="0" applyNumberFormat="1" applyFont="1" applyBorder="1" applyAlignment="1">
      <alignment horizontal="center"/>
    </xf>
    <xf numFmtId="0" fontId="8" fillId="3" borderId="1" xfId="4" applyFont="1" applyFill="1" applyBorder="1" applyAlignment="1">
      <alignment horizontal="center" vertical="center"/>
    </xf>
    <xf numFmtId="2" fontId="113" fillId="3" borderId="0" xfId="4" applyNumberFormat="1" applyFont="1" applyFill="1" applyAlignment="1">
      <alignment horizontal="center" vertical="center"/>
    </xf>
    <xf numFmtId="0" fontId="8" fillId="3" borderId="2" xfId="4" applyFont="1" applyFill="1" applyBorder="1" applyAlignment="1">
      <alignment horizontal="center" vertical="center"/>
    </xf>
    <xf numFmtId="0" fontId="59" fillId="3" borderId="0" xfId="4" applyFont="1" applyFill="1"/>
    <xf numFmtId="0" fontId="116" fillId="3" borderId="0" xfId="4" applyFont="1" applyFill="1" applyAlignment="1">
      <alignment horizontal="center" vertical="center"/>
    </xf>
    <xf numFmtId="2" fontId="116" fillId="3" borderId="0" xfId="4" applyNumberFormat="1" applyFont="1" applyFill="1" applyAlignment="1">
      <alignment horizontal="center" vertical="center"/>
    </xf>
    <xf numFmtId="0" fontId="4" fillId="3" borderId="0" xfId="4" applyFill="1"/>
    <xf numFmtId="0" fontId="4" fillId="3" borderId="0" xfId="4" applyFill="1" applyProtection="1">
      <protection locked="0"/>
    </xf>
    <xf numFmtId="0" fontId="0" fillId="0" borderId="29" xfId="0" applyBorder="1"/>
    <xf numFmtId="0" fontId="16" fillId="10" borderId="1" xfId="0" applyFont="1" applyFill="1" applyBorder="1" applyAlignment="1">
      <alignment horizontal="center" vertical="center"/>
    </xf>
    <xf numFmtId="164" fontId="16" fillId="11" borderId="14" xfId="0" applyNumberFormat="1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0" fillId="11" borderId="2" xfId="0" applyNumberFormat="1" applyFill="1" applyBorder="1" applyAlignment="1">
      <alignment horizontal="center" vertical="center"/>
    </xf>
    <xf numFmtId="164" fontId="4" fillId="11" borderId="2" xfId="0" applyNumberFormat="1" applyFont="1" applyFill="1" applyBorder="1" applyAlignment="1">
      <alignment horizontal="center" vertical="center"/>
    </xf>
    <xf numFmtId="2" fontId="4" fillId="10" borderId="14" xfId="0" applyNumberFormat="1" applyFont="1" applyFill="1" applyBorder="1" applyAlignment="1">
      <alignment horizontal="center"/>
    </xf>
    <xf numFmtId="164" fontId="0" fillId="11" borderId="40" xfId="0" applyNumberFormat="1" applyFill="1" applyBorder="1" applyAlignment="1">
      <alignment horizontal="center" vertical="center"/>
    </xf>
    <xf numFmtId="164" fontId="4" fillId="11" borderId="18" xfId="0" quotePrefix="1" applyNumberFormat="1" applyFont="1" applyFill="1" applyBorder="1" applyAlignment="1">
      <alignment horizontal="center" vertical="center"/>
    </xf>
    <xf numFmtId="0" fontId="16" fillId="10" borderId="15" xfId="0" applyFont="1" applyFill="1" applyBorder="1" applyAlignment="1">
      <alignment horizontal="center" vertical="center"/>
    </xf>
    <xf numFmtId="164" fontId="16" fillId="11" borderId="17" xfId="0" applyNumberFormat="1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4" fillId="11" borderId="2" xfId="0" quotePrefix="1" applyNumberFormat="1" applyFont="1" applyFill="1" applyBorder="1" applyAlignment="1">
      <alignment horizontal="center" vertical="center"/>
    </xf>
    <xf numFmtId="164" fontId="0" fillId="11" borderId="2" xfId="0" applyNumberFormat="1" applyFill="1" applyBorder="1" applyAlignment="1">
      <alignment horizontal="center"/>
    </xf>
    <xf numFmtId="164" fontId="4" fillId="11" borderId="2" xfId="0" quotePrefix="1" applyNumberFormat="1" applyFont="1" applyFill="1" applyBorder="1" applyAlignment="1">
      <alignment horizontal="center"/>
    </xf>
    <xf numFmtId="0" fontId="4" fillId="11" borderId="2" xfId="0" quotePrefix="1" applyFont="1" applyFill="1" applyBorder="1" applyAlignment="1">
      <alignment horizontal="center"/>
    </xf>
    <xf numFmtId="164" fontId="0" fillId="11" borderId="4" xfId="0" applyNumberFormat="1" applyFill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164" fontId="0" fillId="11" borderId="16" xfId="0" applyNumberFormat="1" applyFill="1" applyBorder="1" applyAlignment="1">
      <alignment horizontal="center"/>
    </xf>
    <xf numFmtId="0" fontId="4" fillId="11" borderId="16" xfId="0" quotePrefix="1" applyFont="1" applyFill="1" applyBorder="1" applyAlignment="1">
      <alignment horizontal="center"/>
    </xf>
    <xf numFmtId="2" fontId="4" fillId="10" borderId="17" xfId="0" applyNumberFormat="1" applyFont="1" applyFill="1" applyBorder="1" applyAlignment="1">
      <alignment horizontal="center"/>
    </xf>
    <xf numFmtId="0" fontId="0" fillId="0" borderId="21" xfId="0" applyBorder="1"/>
    <xf numFmtId="164" fontId="0" fillId="11" borderId="46" xfId="0" applyNumberFormat="1" applyFill="1" applyBorder="1" applyAlignment="1">
      <alignment horizontal="center"/>
    </xf>
    <xf numFmtId="164" fontId="4" fillId="11" borderId="16" xfId="0" quotePrefix="1" applyNumberFormat="1" applyFont="1" applyFill="1" applyBorder="1" applyAlignment="1">
      <alignment horizontal="center"/>
    </xf>
    <xf numFmtId="0" fontId="0" fillId="0" borderId="6" xfId="0" applyBorder="1"/>
    <xf numFmtId="0" fontId="0" fillId="0" borderId="48" xfId="0" applyBorder="1"/>
    <xf numFmtId="0" fontId="7" fillId="0" borderId="0" xfId="0" applyFont="1"/>
    <xf numFmtId="0" fontId="16" fillId="11" borderId="14" xfId="0" applyFont="1" applyFill="1" applyBorder="1" applyAlignment="1">
      <alignment horizontal="center" vertical="center"/>
    </xf>
    <xf numFmtId="0" fontId="21" fillId="11" borderId="61" xfId="0" applyFont="1" applyFill="1" applyBorder="1" applyAlignment="1">
      <alignment horizontal="center" vertical="center"/>
    </xf>
    <xf numFmtId="0" fontId="21" fillId="10" borderId="61" xfId="0" applyFont="1" applyFill="1" applyBorder="1" applyAlignment="1">
      <alignment horizontal="center" vertical="center"/>
    </xf>
    <xf numFmtId="164" fontId="4" fillId="11" borderId="18" xfId="0" applyNumberFormat="1" applyFont="1" applyFill="1" applyBorder="1" applyAlignment="1">
      <alignment horizontal="center" vertical="center"/>
    </xf>
    <xf numFmtId="2" fontId="4" fillId="10" borderId="20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0" fontId="4" fillId="3" borderId="0" xfId="0" quotePrefix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0" fillId="3" borderId="0" xfId="0" applyFill="1"/>
    <xf numFmtId="164" fontId="0" fillId="11" borderId="18" xfId="0" applyNumberFormat="1" applyFill="1" applyBorder="1" applyAlignment="1">
      <alignment horizontal="center" vertical="center"/>
    </xf>
    <xf numFmtId="0" fontId="16" fillId="11" borderId="17" xfId="0" applyFont="1" applyFill="1" applyBorder="1" applyAlignment="1">
      <alignment horizontal="center" vertical="center"/>
    </xf>
    <xf numFmtId="1" fontId="0" fillId="11" borderId="40" xfId="0" applyNumberFormat="1" applyFill="1" applyBorder="1" applyAlignment="1">
      <alignment horizontal="center" vertical="center"/>
    </xf>
    <xf numFmtId="1" fontId="0" fillId="11" borderId="1" xfId="0" applyNumberFormat="1" applyFill="1" applyBorder="1" applyAlignment="1">
      <alignment horizontal="center" vertical="center"/>
    </xf>
    <xf numFmtId="1" fontId="0" fillId="11" borderId="4" xfId="0" applyNumberFormat="1" applyFill="1" applyBorder="1" applyAlignment="1">
      <alignment horizontal="center"/>
    </xf>
    <xf numFmtId="1" fontId="0" fillId="11" borderId="46" xfId="0" applyNumberFormat="1" applyFill="1" applyBorder="1" applyAlignment="1">
      <alignment horizontal="center"/>
    </xf>
    <xf numFmtId="164" fontId="4" fillId="11" borderId="46" xfId="0" quotePrefix="1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21" fillId="11" borderId="61" xfId="0" quotePrefix="1" applyFont="1" applyFill="1" applyBorder="1" applyAlignment="1">
      <alignment horizontal="center" vertical="center"/>
    </xf>
    <xf numFmtId="165" fontId="4" fillId="11" borderId="18" xfId="0" applyNumberFormat="1" applyFont="1" applyFill="1" applyBorder="1" applyAlignment="1">
      <alignment horizontal="center" vertical="center"/>
    </xf>
    <xf numFmtId="165" fontId="4" fillId="11" borderId="2" xfId="0" applyNumberFormat="1" applyFont="1" applyFill="1" applyBorder="1" applyAlignment="1">
      <alignment horizontal="center" vertical="center"/>
    </xf>
    <xf numFmtId="164" fontId="4" fillId="11" borderId="64" xfId="0" applyNumberFormat="1" applyFont="1" applyFill="1" applyBorder="1" applyAlignment="1">
      <alignment horizontal="center" vertical="center"/>
    </xf>
    <xf numFmtId="1" fontId="4" fillId="11" borderId="40" xfId="0" applyNumberFormat="1" applyFont="1" applyFill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4" fillId="11" borderId="4" xfId="0" applyNumberFormat="1" applyFont="1" applyFill="1" applyBorder="1" applyAlignment="1">
      <alignment horizontal="center"/>
    </xf>
    <xf numFmtId="1" fontId="4" fillId="11" borderId="46" xfId="0" applyNumberFormat="1" applyFont="1" applyFill="1" applyBorder="1" applyAlignment="1">
      <alignment horizontal="center"/>
    </xf>
    <xf numFmtId="164" fontId="4" fillId="11" borderId="46" xfId="0" applyNumberFormat="1" applyFont="1" applyFill="1" applyBorder="1" applyAlignment="1">
      <alignment horizontal="center" vertical="center"/>
    </xf>
    <xf numFmtId="164" fontId="4" fillId="11" borderId="46" xfId="0" applyNumberFormat="1" applyFont="1" applyFill="1" applyBorder="1" applyAlignment="1">
      <alignment horizontal="center"/>
    </xf>
    <xf numFmtId="164" fontId="4" fillId="11" borderId="16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quotePrefix="1" applyFont="1" applyAlignment="1">
      <alignment horizontal="center"/>
    </xf>
    <xf numFmtId="164" fontId="4" fillId="0" borderId="0" xfId="0" quotePrefix="1" applyNumberFormat="1" applyFont="1" applyAlignment="1">
      <alignment horizontal="center"/>
    </xf>
    <xf numFmtId="0" fontId="7" fillId="4" borderId="22" xfId="0" applyFont="1" applyFill="1" applyBorder="1"/>
    <xf numFmtId="0" fontId="56" fillId="10" borderId="2" xfId="0" applyFont="1" applyFill="1" applyBorder="1" applyAlignment="1">
      <alignment horizontal="center" vertical="center"/>
    </xf>
    <xf numFmtId="0" fontId="17" fillId="10" borderId="2" xfId="4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64" fontId="6" fillId="6" borderId="14" xfId="0" applyNumberFormat="1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2" fontId="7" fillId="10" borderId="2" xfId="0" applyNumberFormat="1" applyFont="1" applyFill="1" applyBorder="1" applyAlignment="1">
      <alignment horizontal="center" vertical="center"/>
    </xf>
    <xf numFmtId="2" fontId="7" fillId="10" borderId="14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/>
    </xf>
    <xf numFmtId="2" fontId="7" fillId="10" borderId="2" xfId="0" applyNumberFormat="1" applyFont="1" applyFill="1" applyBorder="1" applyAlignment="1">
      <alignment horizontal="center"/>
    </xf>
    <xf numFmtId="2" fontId="7" fillId="10" borderId="14" xfId="0" applyNumberFormat="1" applyFont="1" applyFill="1" applyBorder="1" applyAlignment="1">
      <alignment horizontal="center"/>
    </xf>
    <xf numFmtId="164" fontId="16" fillId="6" borderId="14" xfId="0" applyNumberFormat="1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 vertical="center"/>
    </xf>
    <xf numFmtId="164" fontId="16" fillId="6" borderId="17" xfId="0" applyNumberFormat="1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 vertical="center"/>
    </xf>
    <xf numFmtId="2" fontId="7" fillId="10" borderId="16" xfId="0" applyNumberFormat="1" applyFont="1" applyFill="1" applyBorder="1" applyAlignment="1">
      <alignment horizontal="center"/>
    </xf>
    <xf numFmtId="0" fontId="7" fillId="0" borderId="21" xfId="0" applyFont="1" applyBorder="1"/>
    <xf numFmtId="2" fontId="7" fillId="10" borderId="17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3" borderId="5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2" fontId="7" fillId="3" borderId="13" xfId="0" applyNumberFormat="1" applyFont="1" applyFill="1" applyBorder="1" applyAlignment="1">
      <alignment horizontal="center"/>
    </xf>
    <xf numFmtId="2" fontId="7" fillId="3" borderId="19" xfId="0" applyNumberFormat="1" applyFont="1" applyFill="1" applyBorder="1" applyAlignment="1">
      <alignment horizontal="center"/>
    </xf>
    <xf numFmtId="0" fontId="7" fillId="3" borderId="0" xfId="0" applyFont="1" applyFill="1"/>
    <xf numFmtId="2" fontId="7" fillId="3" borderId="3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0" fontId="7" fillId="10" borderId="42" xfId="0" applyFont="1" applyFill="1" applyBorder="1" applyAlignment="1">
      <alignment horizontal="center" vertical="center"/>
    </xf>
    <xf numFmtId="2" fontId="7" fillId="10" borderId="42" xfId="0" applyNumberFormat="1" applyFont="1" applyFill="1" applyBorder="1" applyAlignment="1">
      <alignment horizontal="center"/>
    </xf>
    <xf numFmtId="0" fontId="7" fillId="0" borderId="29" xfId="0" applyFont="1" applyBorder="1"/>
    <xf numFmtId="2" fontId="7" fillId="10" borderId="39" xfId="0" applyNumberFormat="1" applyFont="1" applyFill="1" applyBorder="1" applyAlignment="1">
      <alignment horizontal="center"/>
    </xf>
    <xf numFmtId="164" fontId="58" fillId="6" borderId="14" xfId="0" applyNumberFormat="1" applyFont="1" applyFill="1" applyBorder="1" applyAlignment="1">
      <alignment horizontal="center" vertical="center"/>
    </xf>
    <xf numFmtId="2" fontId="7" fillId="10" borderId="16" xfId="0" applyNumberFormat="1" applyFont="1" applyFill="1" applyBorder="1" applyAlignment="1">
      <alignment horizontal="center" vertical="center"/>
    </xf>
    <xf numFmtId="2" fontId="7" fillId="10" borderId="17" xfId="0" applyNumberFormat="1" applyFont="1" applyFill="1" applyBorder="1" applyAlignment="1">
      <alignment horizontal="center" vertical="center"/>
    </xf>
    <xf numFmtId="2" fontId="7" fillId="3" borderId="8" xfId="0" applyNumberFormat="1" applyFont="1" applyFill="1" applyBorder="1" applyAlignment="1">
      <alignment horizontal="center" vertical="center"/>
    </xf>
    <xf numFmtId="2" fontId="7" fillId="3" borderId="25" xfId="0" applyNumberFormat="1" applyFont="1" applyFill="1" applyBorder="1" applyAlignment="1">
      <alignment horizontal="center" vertical="center"/>
    </xf>
    <xf numFmtId="2" fontId="7" fillId="10" borderId="42" xfId="0" applyNumberFormat="1" applyFont="1" applyFill="1" applyBorder="1" applyAlignment="1">
      <alignment horizontal="center" vertical="center"/>
    </xf>
    <xf numFmtId="2" fontId="7" fillId="10" borderId="39" xfId="0" applyNumberFormat="1" applyFont="1" applyFill="1" applyBorder="1" applyAlignment="1">
      <alignment horizontal="center" vertical="center"/>
    </xf>
    <xf numFmtId="164" fontId="6" fillId="6" borderId="14" xfId="0" applyNumberFormat="1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164" fontId="7" fillId="3" borderId="14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/>
    </xf>
    <xf numFmtId="164" fontId="7" fillId="11" borderId="2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64" fontId="7" fillId="3" borderId="14" xfId="4" applyNumberFormat="1" applyFont="1" applyFill="1" applyBorder="1" applyAlignment="1">
      <alignment horizontal="center"/>
    </xf>
    <xf numFmtId="166" fontId="7" fillId="3" borderId="6" xfId="4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164" fontId="0" fillId="11" borderId="16" xfId="0" applyNumberFormat="1" applyFill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6" fillId="3" borderId="0" xfId="4" applyFont="1" applyFill="1"/>
    <xf numFmtId="0" fontId="0" fillId="11" borderId="42" xfId="0" applyFill="1" applyBorder="1"/>
    <xf numFmtId="0" fontId="0" fillId="11" borderId="39" xfId="0" applyFill="1" applyBorder="1"/>
    <xf numFmtId="164" fontId="7" fillId="3" borderId="15" xfId="0" applyNumberFormat="1" applyFont="1" applyFill="1" applyBorder="1" applyAlignment="1">
      <alignment horizontal="center" vertical="center"/>
    </xf>
    <xf numFmtId="164" fontId="7" fillId="3" borderId="16" xfId="0" applyNumberFormat="1" applyFont="1" applyFill="1" applyBorder="1" applyAlignment="1">
      <alignment horizontal="center" vertical="center"/>
    </xf>
    <xf numFmtId="164" fontId="7" fillId="3" borderId="17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0" fontId="0" fillId="11" borderId="14" xfId="0" applyFill="1" applyBorder="1"/>
    <xf numFmtId="0" fontId="7" fillId="3" borderId="6" xfId="0" applyFont="1" applyFill="1" applyBorder="1"/>
    <xf numFmtId="0" fontId="0" fillId="11" borderId="16" xfId="0" applyFill="1" applyBorder="1"/>
    <xf numFmtId="0" fontId="0" fillId="11" borderId="17" xfId="0" applyFill="1" applyBorder="1"/>
    <xf numFmtId="166" fontId="14" fillId="3" borderId="0" xfId="4" applyNumberFormat="1" applyFont="1" applyFill="1" applyAlignment="1">
      <alignment horizontal="center"/>
    </xf>
    <xf numFmtId="0" fontId="10" fillId="3" borderId="41" xfId="0" applyFont="1" applyFill="1" applyBorder="1" applyAlignment="1">
      <alignment horizontal="center" vertical="center"/>
    </xf>
    <xf numFmtId="164" fontId="10" fillId="3" borderId="42" xfId="0" applyNumberFormat="1" applyFont="1" applyFill="1" applyBorder="1" applyAlignment="1">
      <alignment horizontal="center"/>
    </xf>
    <xf numFmtId="164" fontId="10" fillId="3" borderId="39" xfId="0" applyNumberFormat="1" applyFont="1" applyFill="1" applyBorder="1" applyAlignment="1">
      <alignment horizontal="center"/>
    </xf>
    <xf numFmtId="0" fontId="56" fillId="3" borderId="0" xfId="0" applyFont="1" applyFill="1" applyAlignment="1">
      <alignment vertical="center"/>
    </xf>
    <xf numFmtId="0" fontId="10" fillId="3" borderId="40" xfId="0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/>
    </xf>
    <xf numFmtId="164" fontId="10" fillId="3" borderId="14" xfId="0" applyNumberFormat="1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 vertical="center"/>
    </xf>
    <xf numFmtId="164" fontId="10" fillId="3" borderId="64" xfId="0" applyNumberFormat="1" applyFont="1" applyFill="1" applyBorder="1" applyAlignment="1">
      <alignment horizontal="center"/>
    </xf>
    <xf numFmtId="164" fontId="10" fillId="3" borderId="16" xfId="0" applyNumberFormat="1" applyFont="1" applyFill="1" applyBorder="1" applyAlignment="1">
      <alignment horizontal="center"/>
    </xf>
    <xf numFmtId="164" fontId="10" fillId="3" borderId="65" xfId="0" applyNumberFormat="1" applyFont="1" applyFill="1" applyBorder="1" applyAlignment="1">
      <alignment horizontal="center"/>
    </xf>
    <xf numFmtId="165" fontId="7" fillId="3" borderId="21" xfId="0" applyNumberFormat="1" applyFont="1" applyFill="1" applyBorder="1" applyAlignment="1">
      <alignment horizontal="center"/>
    </xf>
    <xf numFmtId="0" fontId="7" fillId="3" borderId="21" xfId="0" applyFont="1" applyFill="1" applyBorder="1"/>
    <xf numFmtId="2" fontId="7" fillId="3" borderId="21" xfId="4" applyNumberFormat="1" applyFont="1" applyFill="1" applyBorder="1" applyAlignment="1">
      <alignment horizontal="center"/>
    </xf>
    <xf numFmtId="0" fontId="0" fillId="0" borderId="23" xfId="0" applyBorder="1"/>
    <xf numFmtId="0" fontId="7" fillId="10" borderId="4" xfId="0" applyFont="1" applyFill="1" applyBorder="1" applyAlignment="1">
      <alignment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vertical="center"/>
    </xf>
    <xf numFmtId="0" fontId="7" fillId="10" borderId="12" xfId="0" applyFont="1" applyFill="1" applyBorder="1" applyAlignment="1">
      <alignment vertical="center"/>
    </xf>
    <xf numFmtId="0" fontId="7" fillId="10" borderId="7" xfId="0" applyFont="1" applyFill="1" applyBorder="1" applyAlignment="1">
      <alignment vertical="center"/>
    </xf>
    <xf numFmtId="0" fontId="7" fillId="10" borderId="41" xfId="0" applyFont="1" applyFill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28" fillId="0" borderId="14" xfId="0" applyFont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43" fillId="0" borderId="14" xfId="0" applyFont="1" applyBorder="1" applyAlignment="1">
      <alignment horizontal="left" vertical="center"/>
    </xf>
    <xf numFmtId="0" fontId="7" fillId="3" borderId="15" xfId="0" applyFont="1" applyFill="1" applyBorder="1"/>
    <xf numFmtId="2" fontId="28" fillId="0" borderId="16" xfId="0" applyNumberFormat="1" applyFont="1" applyBorder="1" applyAlignment="1">
      <alignment horizontal="center" vertical="center"/>
    </xf>
    <xf numFmtId="2" fontId="28" fillId="0" borderId="17" xfId="0" applyNumberFormat="1" applyFont="1" applyBorder="1" applyAlignment="1">
      <alignment horizontal="center" vertical="center"/>
    </xf>
    <xf numFmtId="0" fontId="7" fillId="10" borderId="32" xfId="0" applyFont="1" applyFill="1" applyBorder="1" applyAlignment="1">
      <alignment horizontal="center" vertical="center"/>
    </xf>
    <xf numFmtId="0" fontId="7" fillId="10" borderId="32" xfId="0" applyFont="1" applyFill="1" applyBorder="1" applyAlignment="1">
      <alignment vertical="center"/>
    </xf>
    <xf numFmtId="0" fontId="7" fillId="10" borderId="34" xfId="0" applyFont="1" applyFill="1" applyBorder="1" applyAlignment="1">
      <alignment vertical="center"/>
    </xf>
    <xf numFmtId="0" fontId="7" fillId="10" borderId="33" xfId="0" applyFont="1" applyFill="1" applyBorder="1" applyAlignment="1">
      <alignment vertical="center"/>
    </xf>
    <xf numFmtId="0" fontId="7" fillId="10" borderId="60" xfId="0" applyFont="1" applyFill="1" applyBorder="1" applyAlignment="1">
      <alignment horizontal="left" vertical="center"/>
    </xf>
    <xf numFmtId="0" fontId="7" fillId="10" borderId="15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164" fontId="32" fillId="0" borderId="0" xfId="2" applyNumberFormat="1" applyFont="1" applyAlignment="1">
      <alignment horizontal="left"/>
    </xf>
    <xf numFmtId="1" fontId="4" fillId="0" borderId="0" xfId="2" applyNumberFormat="1"/>
    <xf numFmtId="0" fontId="38" fillId="0" borderId="5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8" fillId="0" borderId="12" xfId="0" applyFont="1" applyBorder="1" applyAlignment="1">
      <alignment horizontal="left"/>
    </xf>
    <xf numFmtId="0" fontId="39" fillId="0" borderId="12" xfId="0" applyFont="1" applyBorder="1" applyAlignment="1">
      <alignment horizontal="left"/>
    </xf>
    <xf numFmtId="0" fontId="47" fillId="0" borderId="0" xfId="2" applyFont="1" applyAlignment="1">
      <alignment vertical="top"/>
    </xf>
    <xf numFmtId="0" fontId="32" fillId="2" borderId="2" xfId="0" applyFont="1" applyFill="1" applyBorder="1" applyAlignment="1">
      <alignment horizontal="center" vertical="center" wrapText="1"/>
    </xf>
    <xf numFmtId="164" fontId="32" fillId="0" borderId="12" xfId="0" applyNumberFormat="1" applyFont="1" applyBorder="1" applyAlignment="1">
      <alignment horizontal="left" vertical="center"/>
    </xf>
    <xf numFmtId="0" fontId="32" fillId="0" borderId="2" xfId="0" applyFont="1" applyBorder="1" applyAlignment="1">
      <alignment horizontal="center" vertical="center" wrapText="1"/>
    </xf>
    <xf numFmtId="164" fontId="32" fillId="0" borderId="0" xfId="0" applyNumberFormat="1" applyFont="1" applyAlignment="1">
      <alignment vertical="center" wrapText="1"/>
    </xf>
    <xf numFmtId="0" fontId="37" fillId="3" borderId="2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right"/>
    </xf>
    <xf numFmtId="0" fontId="4" fillId="0" borderId="0" xfId="2" applyAlignment="1">
      <alignment vertical="top"/>
    </xf>
    <xf numFmtId="0" fontId="37" fillId="3" borderId="0" xfId="0" applyFont="1" applyFill="1" applyAlignment="1">
      <alignment horizontal="center"/>
    </xf>
    <xf numFmtId="164" fontId="32" fillId="3" borderId="0" xfId="0" applyNumberFormat="1" applyFont="1" applyFill="1" applyAlignment="1">
      <alignment horizontal="center"/>
    </xf>
    <xf numFmtId="164" fontId="32" fillId="0" borderId="0" xfId="0" applyNumberFormat="1" applyFont="1" applyAlignment="1">
      <alignment horizontal="center" vertical="center" wrapText="1"/>
    </xf>
    <xf numFmtId="0" fontId="32" fillId="0" borderId="0" xfId="0" applyFont="1" applyAlignment="1" applyProtection="1">
      <alignment horizontal="center" vertical="center" wrapText="1"/>
      <protection locked="0"/>
    </xf>
    <xf numFmtId="0" fontId="37" fillId="0" borderId="0" xfId="0" applyFont="1" applyAlignment="1" applyProtection="1">
      <alignment horizontal="center"/>
      <protection locked="0"/>
    </xf>
    <xf numFmtId="164" fontId="32" fillId="0" borderId="0" xfId="0" applyNumberFormat="1" applyFont="1" applyAlignment="1" applyProtection="1">
      <alignment horizontal="center" vertical="center"/>
      <protection locked="0"/>
    </xf>
    <xf numFmtId="164" fontId="32" fillId="0" borderId="0" xfId="2" applyNumberFormat="1" applyFont="1" applyAlignment="1" applyProtection="1">
      <alignment horizontal="center" vertical="center"/>
      <protection locked="0"/>
    </xf>
    <xf numFmtId="0" fontId="32" fillId="0" borderId="0" xfId="0" applyFont="1" applyAlignment="1" applyProtection="1">
      <alignment horizontal="right" vertical="center"/>
      <protection locked="0"/>
    </xf>
    <xf numFmtId="164" fontId="32" fillId="0" borderId="0" xfId="2" applyNumberFormat="1" applyFont="1" applyAlignment="1" applyProtection="1">
      <alignment horizontal="left" vertical="center"/>
      <protection locked="0"/>
    </xf>
    <xf numFmtId="0" fontId="46" fillId="0" borderId="0" xfId="2" applyFont="1" applyAlignment="1" applyProtection="1">
      <alignment horizontal="center" vertical="center"/>
      <protection locked="0"/>
    </xf>
    <xf numFmtId="0" fontId="4" fillId="0" borderId="0" xfId="2" applyProtection="1">
      <protection locked="0"/>
    </xf>
    <xf numFmtId="2" fontId="4" fillId="0" borderId="0" xfId="2" applyNumberFormat="1" applyAlignment="1" applyProtection="1">
      <alignment horizontal="center" vertical="center"/>
      <protection locked="0"/>
    </xf>
    <xf numFmtId="0" fontId="37" fillId="0" borderId="0" xfId="0" applyFont="1" applyProtection="1">
      <protection locked="0"/>
    </xf>
    <xf numFmtId="0" fontId="8" fillId="0" borderId="0" xfId="2" applyFont="1" applyProtection="1">
      <protection locked="0"/>
    </xf>
    <xf numFmtId="0" fontId="32" fillId="0" borderId="0" xfId="0" applyFont="1" applyAlignment="1">
      <alignment horizontal="left" vertical="center"/>
    </xf>
    <xf numFmtId="0" fontId="32" fillId="0" borderId="0" xfId="2" applyFont="1" applyAlignment="1">
      <alignment vertical="center"/>
    </xf>
    <xf numFmtId="0" fontId="37" fillId="0" borderId="0" xfId="2" applyFont="1" applyAlignment="1">
      <alignment vertical="center"/>
    </xf>
    <xf numFmtId="164" fontId="32" fillId="0" borderId="0" xfId="2" applyNumberFormat="1" applyFont="1" applyAlignment="1">
      <alignment vertical="center"/>
    </xf>
    <xf numFmtId="1" fontId="32" fillId="0" borderId="0" xfId="2" applyNumberFormat="1" applyFont="1"/>
    <xf numFmtId="0" fontId="24" fillId="0" borderId="0" xfId="2" applyFont="1" applyAlignment="1">
      <alignment vertical="top"/>
    </xf>
    <xf numFmtId="164" fontId="32" fillId="0" borderId="7" xfId="2" applyNumberFormat="1" applyFont="1" applyBorder="1" applyAlignment="1">
      <alignment horizontal="right" vertical="center"/>
    </xf>
    <xf numFmtId="164" fontId="119" fillId="2" borderId="12" xfId="0" applyNumberFormat="1" applyFont="1" applyFill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165" fontId="32" fillId="0" borderId="7" xfId="2" applyNumberFormat="1" applyFont="1" applyBorder="1" applyAlignment="1">
      <alignment horizontal="right" vertical="center"/>
    </xf>
    <xf numFmtId="164" fontId="4" fillId="0" borderId="0" xfId="2" applyNumberFormat="1" applyAlignment="1">
      <alignment horizontal="center" vertical="center"/>
    </xf>
    <xf numFmtId="0" fontId="40" fillId="0" borderId="0" xfId="2" applyFont="1" applyAlignment="1">
      <alignment horizontal="center" vertical="center"/>
    </xf>
    <xf numFmtId="0" fontId="32" fillId="0" borderId="0" xfId="0" applyFont="1" applyAlignment="1">
      <alignment vertical="center"/>
    </xf>
    <xf numFmtId="164" fontId="32" fillId="0" borderId="7" xfId="0" applyNumberFormat="1" applyFont="1" applyBorder="1" applyAlignment="1">
      <alignment horizontal="center" vertical="center"/>
    </xf>
    <xf numFmtId="0" fontId="46" fillId="0" borderId="0" xfId="2" applyFont="1" applyAlignment="1">
      <alignment horizontal="center" vertical="top"/>
    </xf>
    <xf numFmtId="164" fontId="32" fillId="0" borderId="2" xfId="0" applyNumberFormat="1" applyFont="1" applyBorder="1" applyAlignment="1">
      <alignment horizontal="center" vertical="center" wrapText="1"/>
    </xf>
    <xf numFmtId="0" fontId="8" fillId="0" borderId="0" xfId="2" applyFont="1" applyAlignment="1">
      <alignment vertical="center"/>
    </xf>
    <xf numFmtId="0" fontId="32" fillId="3" borderId="2" xfId="0" applyFont="1" applyFill="1" applyBorder="1" applyAlignment="1">
      <alignment horizontal="left" vertical="center"/>
    </xf>
    <xf numFmtId="1" fontId="60" fillId="3" borderId="0" xfId="2" applyNumberFormat="1" applyFont="1" applyFill="1" applyAlignment="1">
      <alignment vertical="center"/>
    </xf>
    <xf numFmtId="0" fontId="32" fillId="3" borderId="0" xfId="0" applyFont="1" applyFill="1" applyAlignment="1">
      <alignment vertical="center"/>
    </xf>
    <xf numFmtId="0" fontId="32" fillId="3" borderId="0" xfId="0" applyFont="1" applyFill="1" applyAlignment="1">
      <alignment horizontal="left" vertical="center"/>
    </xf>
    <xf numFmtId="0" fontId="37" fillId="0" borderId="0" xfId="2" applyFont="1" applyAlignment="1" applyProtection="1">
      <alignment horizontal="left" vertical="center"/>
      <protection locked="0"/>
    </xf>
    <xf numFmtId="0" fontId="7" fillId="0" borderId="0" xfId="2" applyFont="1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24" fillId="0" borderId="0" xfId="2" applyFont="1" applyProtection="1">
      <protection locked="0"/>
    </xf>
    <xf numFmtId="0" fontId="32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32" fillId="0" borderId="0" xfId="0" applyFont="1" applyAlignment="1" applyProtection="1">
      <alignment vertical="center"/>
      <protection locked="0"/>
    </xf>
    <xf numFmtId="0" fontId="37" fillId="0" borderId="0" xfId="0" applyFont="1" applyAlignment="1" applyProtection="1">
      <alignment vertical="center"/>
      <protection locked="0"/>
    </xf>
    <xf numFmtId="0" fontId="4" fillId="0" borderId="12" xfId="6" applyFont="1" applyBorder="1"/>
    <xf numFmtId="164" fontId="6" fillId="3" borderId="80" xfId="3" applyNumberFormat="1" applyFont="1" applyFill="1" applyBorder="1" applyAlignment="1">
      <alignment horizontal="center" vertical="center"/>
    </xf>
    <xf numFmtId="2" fontId="7" fillId="3" borderId="80" xfId="3" applyNumberFormat="1" applyFont="1" applyFill="1" applyBorder="1" applyAlignment="1">
      <alignment horizontal="center"/>
    </xf>
    <xf numFmtId="0" fontId="120" fillId="0" borderId="0" xfId="2" applyFont="1" applyAlignment="1">
      <alignment horizontal="center" vertical="center"/>
    </xf>
    <xf numFmtId="2" fontId="48" fillId="3" borderId="2" xfId="0" applyNumberFormat="1" applyFont="1" applyFill="1" applyBorder="1" applyAlignment="1">
      <alignment horizontal="center" vertical="center"/>
    </xf>
    <xf numFmtId="2" fontId="48" fillId="8" borderId="2" xfId="0" applyNumberFormat="1" applyFont="1" applyFill="1" applyBorder="1" applyAlignment="1">
      <alignment horizontal="center" vertical="center"/>
    </xf>
    <xf numFmtId="0" fontId="4" fillId="0" borderId="81" xfId="0" applyFont="1" applyBorder="1" applyAlignment="1">
      <alignment horizontal="center"/>
    </xf>
    <xf numFmtId="0" fontId="77" fillId="0" borderId="80" xfId="6" applyFont="1" applyBorder="1" applyAlignment="1" applyProtection="1">
      <alignment vertical="center"/>
      <protection locked="0"/>
    </xf>
    <xf numFmtId="0" fontId="50" fillId="0" borderId="80" xfId="0" applyFont="1" applyBorder="1"/>
    <xf numFmtId="0" fontId="50" fillId="0" borderId="80" xfId="0" applyFont="1" applyBorder="1" applyAlignment="1">
      <alignment horizontal="center"/>
    </xf>
    <xf numFmtId="0" fontId="61" fillId="0" borderId="80" xfId="0" applyFont="1" applyBorder="1"/>
    <xf numFmtId="0" fontId="57" fillId="3" borderId="80" xfId="4" applyFont="1" applyFill="1" applyBorder="1" applyProtection="1">
      <protection locked="0"/>
    </xf>
    <xf numFmtId="0" fontId="50" fillId="3" borderId="80" xfId="0" applyFont="1" applyFill="1" applyBorder="1"/>
    <xf numFmtId="0" fontId="50" fillId="3" borderId="80" xfId="0" applyFont="1" applyFill="1" applyBorder="1" applyAlignment="1">
      <alignment horizontal="center"/>
    </xf>
    <xf numFmtId="0" fontId="50" fillId="3" borderId="80" xfId="3" applyFont="1" applyFill="1" applyBorder="1" applyAlignment="1" applyProtection="1">
      <alignment vertical="center"/>
      <protection locked="0"/>
    </xf>
    <xf numFmtId="0" fontId="50" fillId="0" borderId="82" xfId="0" applyFont="1" applyBorder="1"/>
    <xf numFmtId="0" fontId="7" fillId="6" borderId="0" xfId="2" applyFont="1" applyFill="1" applyAlignment="1">
      <alignment horizontal="center"/>
    </xf>
    <xf numFmtId="168" fontId="7" fillId="0" borderId="0" xfId="2" applyNumberFormat="1" applyFont="1" applyAlignment="1">
      <alignment horizontal="right"/>
    </xf>
    <xf numFmtId="0" fontId="7" fillId="6" borderId="0" xfId="2" applyFont="1" applyFill="1"/>
    <xf numFmtId="0" fontId="37" fillId="0" borderId="0" xfId="0" applyFont="1" applyAlignment="1" applyProtection="1">
      <alignment horizontal="center" vertical="center"/>
      <protection locked="0"/>
    </xf>
    <xf numFmtId="0" fontId="43" fillId="0" borderId="0" xfId="0" quotePrefix="1" applyFont="1" applyAlignment="1" applyProtection="1">
      <alignment horizontal="center" vertical="center"/>
      <protection locked="0"/>
    </xf>
    <xf numFmtId="0" fontId="25" fillId="0" borderId="0" xfId="2" applyFont="1" applyAlignment="1">
      <alignment vertical="center"/>
    </xf>
    <xf numFmtId="0" fontId="24" fillId="0" borderId="2" xfId="2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173" fontId="32" fillId="0" borderId="2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174" fontId="32" fillId="0" borderId="5" xfId="0" applyNumberFormat="1" applyFont="1" applyBorder="1" applyAlignment="1">
      <alignment horizontal="right"/>
    </xf>
    <xf numFmtId="174" fontId="78" fillId="0" borderId="5" xfId="0" applyNumberFormat="1" applyFont="1" applyBorder="1" applyAlignment="1">
      <alignment horizontal="right"/>
    </xf>
    <xf numFmtId="175" fontId="78" fillId="0" borderId="5" xfId="0" applyNumberFormat="1" applyFont="1" applyBorder="1" applyAlignment="1">
      <alignment horizontal="right"/>
    </xf>
    <xf numFmtId="0" fontId="7" fillId="0" borderId="3" xfId="2" applyFont="1" applyBorder="1"/>
    <xf numFmtId="0" fontId="7" fillId="0" borderId="3" xfId="2" applyFont="1" applyBorder="1" applyAlignment="1">
      <alignment vertical="top"/>
    </xf>
    <xf numFmtId="0" fontId="8" fillId="0" borderId="3" xfId="2" applyFont="1" applyBorder="1"/>
    <xf numFmtId="0" fontId="7" fillId="0" borderId="18" xfId="2" applyFont="1" applyBorder="1"/>
    <xf numFmtId="0" fontId="6" fillId="0" borderId="31" xfId="2" applyFont="1" applyBorder="1" applyAlignment="1">
      <alignment horizontal="center"/>
    </xf>
    <xf numFmtId="1" fontId="4" fillId="0" borderId="0" xfId="2" applyNumberFormat="1" applyAlignment="1">
      <alignment horizontal="center"/>
    </xf>
    <xf numFmtId="2" fontId="4" fillId="0" borderId="0" xfId="2" applyNumberFormat="1" applyAlignment="1">
      <alignment horizontal="center"/>
    </xf>
    <xf numFmtId="175" fontId="32" fillId="0" borderId="7" xfId="0" applyNumberFormat="1" applyFont="1" applyBorder="1" applyAlignment="1">
      <alignment horizontal="right"/>
    </xf>
    <xf numFmtId="174" fontId="32" fillId="0" borderId="7" xfId="0" applyNumberFormat="1" applyFont="1" applyBorder="1" applyAlignment="1">
      <alignment horizontal="right"/>
    </xf>
    <xf numFmtId="1" fontId="50" fillId="6" borderId="2" xfId="0" applyNumberFormat="1" applyFont="1" applyFill="1" applyBorder="1" applyAlignment="1" applyProtection="1">
      <alignment horizontal="center" vertical="center"/>
      <protection hidden="1"/>
    </xf>
    <xf numFmtId="0" fontId="84" fillId="0" borderId="2" xfId="0" applyFont="1" applyBorder="1" applyAlignment="1">
      <alignment horizontal="center" vertical="center"/>
    </xf>
    <xf numFmtId="174" fontId="32" fillId="0" borderId="7" xfId="0" applyNumberFormat="1" applyFont="1" applyBorder="1" applyAlignment="1">
      <alignment horizontal="right" vertical="center"/>
    </xf>
    <xf numFmtId="175" fontId="32" fillId="0" borderId="7" xfId="0" applyNumberFormat="1" applyFont="1" applyBorder="1" applyAlignment="1">
      <alignment horizontal="right" vertical="center"/>
    </xf>
    <xf numFmtId="175" fontId="32" fillId="0" borderId="5" xfId="0" applyNumberFormat="1" applyFont="1" applyBorder="1" applyAlignment="1">
      <alignment horizontal="right"/>
    </xf>
    <xf numFmtId="0" fontId="7" fillId="0" borderId="10" xfId="2" applyFont="1" applyBorder="1" applyAlignment="1">
      <alignment horizontal="center"/>
    </xf>
    <xf numFmtId="0" fontId="50" fillId="0" borderId="0" xfId="0" applyFont="1" applyAlignment="1">
      <alignment vertical="center"/>
    </xf>
    <xf numFmtId="0" fontId="50" fillId="0" borderId="7" xfId="2" applyFont="1" applyBorder="1" applyAlignment="1">
      <alignment vertical="center"/>
    </xf>
    <xf numFmtId="0" fontId="129" fillId="0" borderId="0" xfId="0" applyFont="1" applyAlignment="1">
      <alignment vertical="center"/>
    </xf>
    <xf numFmtId="0" fontId="50" fillId="0" borderId="11" xfId="2" applyFont="1" applyBorder="1" applyAlignment="1">
      <alignment vertical="center"/>
    </xf>
    <xf numFmtId="0" fontId="50" fillId="0" borderId="10" xfId="0" applyFont="1" applyBorder="1"/>
    <xf numFmtId="0" fontId="50" fillId="0" borderId="35" xfId="0" applyFont="1" applyBorder="1"/>
    <xf numFmtId="0" fontId="50" fillId="3" borderId="18" xfId="0" applyFont="1" applyFill="1" applyBorder="1" applyAlignment="1">
      <alignment vertical="center"/>
    </xf>
    <xf numFmtId="0" fontId="50" fillId="0" borderId="18" xfId="0" applyFont="1" applyBorder="1"/>
    <xf numFmtId="0" fontId="50" fillId="0" borderId="2" xfId="0" applyFont="1" applyBorder="1" applyAlignment="1">
      <alignment horizontal="center" vertical="center" wrapText="1"/>
    </xf>
    <xf numFmtId="0" fontId="128" fillId="6" borderId="2" xfId="0" applyFont="1" applyFill="1" applyBorder="1" applyAlignment="1">
      <alignment horizontal="center" vertical="center"/>
    </xf>
    <xf numFmtId="2" fontId="130" fillId="0" borderId="2" xfId="0" applyNumberFormat="1" applyFont="1" applyBorder="1" applyAlignment="1">
      <alignment horizontal="center" vertical="center"/>
    </xf>
    <xf numFmtId="173" fontId="50" fillId="0" borderId="2" xfId="0" applyNumberFormat="1" applyFont="1" applyBorder="1" applyAlignment="1">
      <alignment horizontal="center" vertical="center"/>
    </xf>
    <xf numFmtId="0" fontId="130" fillId="0" borderId="2" xfId="0" applyFont="1" applyBorder="1" applyAlignment="1">
      <alignment horizontal="center" vertical="center"/>
    </xf>
    <xf numFmtId="1" fontId="7" fillId="3" borderId="0" xfId="2" applyNumberFormat="1" applyFont="1" applyFill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35" fillId="0" borderId="8" xfId="2" applyFont="1" applyBorder="1" applyAlignment="1">
      <alignment vertical="center"/>
    </xf>
    <xf numFmtId="171" fontId="61" fillId="0" borderId="7" xfId="0" applyNumberFormat="1" applyFont="1" applyBorder="1"/>
    <xf numFmtId="0" fontId="61" fillId="0" borderId="2" xfId="2" applyFont="1" applyBorder="1"/>
    <xf numFmtId="0" fontId="50" fillId="0" borderId="7" xfId="0" applyFont="1" applyBorder="1" applyAlignment="1">
      <alignment vertical="center"/>
    </xf>
    <xf numFmtId="0" fontId="50" fillId="0" borderId="5" xfId="0" applyFont="1" applyBorder="1" applyAlignment="1">
      <alignment vertical="center"/>
    </xf>
    <xf numFmtId="0" fontId="50" fillId="0" borderId="12" xfId="0" applyFont="1" applyBorder="1" applyAlignment="1">
      <alignment vertical="center"/>
    </xf>
    <xf numFmtId="2" fontId="7" fillId="6" borderId="0" xfId="2" applyNumberFormat="1" applyFont="1" applyFill="1" applyAlignment="1">
      <alignment horizontal="center"/>
    </xf>
    <xf numFmtId="1" fontId="7" fillId="5" borderId="8" xfId="2" applyNumberFormat="1" applyFont="1" applyFill="1" applyBorder="1" applyAlignment="1">
      <alignment horizontal="center"/>
    </xf>
    <xf numFmtId="1" fontId="7" fillId="6" borderId="8" xfId="2" applyNumberFormat="1" applyFont="1" applyFill="1" applyBorder="1" applyAlignment="1">
      <alignment horizontal="center"/>
    </xf>
    <xf numFmtId="0" fontId="4" fillId="0" borderId="0" xfId="11"/>
    <xf numFmtId="0" fontId="4" fillId="0" borderId="0" xfId="11" applyProtection="1">
      <protection locked="0"/>
    </xf>
    <xf numFmtId="0" fontId="123" fillId="0" borderId="0" xfId="11" applyFont="1" applyAlignment="1">
      <alignment horizontal="center" vertical="center" wrapText="1"/>
    </xf>
    <xf numFmtId="0" fontId="16" fillId="0" borderId="0" xfId="11" applyFont="1" applyProtection="1">
      <protection locked="0"/>
    </xf>
    <xf numFmtId="0" fontId="14" fillId="0" borderId="7" xfId="11" applyFont="1" applyBorder="1" applyAlignment="1">
      <alignment horizontal="left" vertical="top" wrapText="1"/>
    </xf>
    <xf numFmtId="0" fontId="14" fillId="0" borderId="12" xfId="11" applyFont="1" applyBorder="1" applyAlignment="1">
      <alignment horizontal="left" vertical="top" wrapText="1"/>
    </xf>
    <xf numFmtId="0" fontId="4" fillId="0" borderId="0" xfId="11" applyAlignment="1">
      <alignment horizontal="left" vertical="top"/>
    </xf>
    <xf numFmtId="0" fontId="14" fillId="0" borderId="12" xfId="11" applyFont="1" applyBorder="1" applyAlignment="1">
      <alignment horizontal="left" vertical="top"/>
    </xf>
    <xf numFmtId="0" fontId="14" fillId="0" borderId="0" xfId="11" applyFont="1" applyAlignment="1">
      <alignment vertical="center" wrapText="1"/>
    </xf>
    <xf numFmtId="0" fontId="14" fillId="0" borderId="0" xfId="11" applyFont="1" applyAlignment="1">
      <alignment horizontal="center" vertical="center" wrapText="1"/>
    </xf>
    <xf numFmtId="0" fontId="125" fillId="0" borderId="0" xfId="11" applyFont="1"/>
    <xf numFmtId="0" fontId="14" fillId="0" borderId="0" xfId="11" applyFont="1" applyAlignment="1" applyProtection="1">
      <alignment horizontal="center" vertical="center" wrapText="1"/>
      <protection locked="0"/>
    </xf>
    <xf numFmtId="1" fontId="14" fillId="0" borderId="0" xfId="11" quotePrefix="1" applyNumberFormat="1" applyFont="1" applyAlignment="1" applyProtection="1">
      <alignment horizontal="left"/>
      <protection locked="0"/>
    </xf>
    <xf numFmtId="0" fontId="14" fillId="0" borderId="0" xfId="11" applyFont="1" applyProtection="1">
      <protection locked="0"/>
    </xf>
    <xf numFmtId="1" fontId="124" fillId="0" borderId="0" xfId="11" quotePrefix="1" applyNumberFormat="1" applyFont="1" applyProtection="1">
      <protection locked="0"/>
    </xf>
    <xf numFmtId="0" fontId="125" fillId="0" borderId="0" xfId="11" applyFont="1" applyProtection="1">
      <protection locked="0"/>
    </xf>
    <xf numFmtId="177" fontId="14" fillId="0" borderId="0" xfId="11" quotePrefix="1" applyNumberFormat="1" applyFont="1" applyAlignment="1" applyProtection="1">
      <alignment horizontal="left"/>
      <protection locked="0"/>
    </xf>
    <xf numFmtId="2" fontId="124" fillId="0" borderId="0" xfId="11" quotePrefix="1" applyNumberFormat="1" applyFont="1" applyProtection="1">
      <protection locked="0"/>
    </xf>
    <xf numFmtId="0" fontId="4" fillId="0" borderId="0" xfId="11" applyAlignment="1">
      <alignment vertical="top" wrapText="1"/>
    </xf>
    <xf numFmtId="0" fontId="14" fillId="0" borderId="12" xfId="11" applyFont="1" applyBorder="1" applyAlignment="1" applyProtection="1">
      <alignment vertical="top" wrapText="1"/>
      <protection locked="0"/>
    </xf>
    <xf numFmtId="0" fontId="14" fillId="0" borderId="12" xfId="11" applyFont="1" applyBorder="1" applyAlignment="1" applyProtection="1">
      <alignment vertical="top"/>
      <protection locked="0"/>
    </xf>
    <xf numFmtId="0" fontId="26" fillId="0" borderId="0" xfId="11" applyFont="1" applyAlignment="1">
      <alignment vertical="top"/>
    </xf>
    <xf numFmtId="0" fontId="14" fillId="0" borderId="0" xfId="11" applyFont="1" applyAlignment="1" applyProtection="1">
      <alignment horizontal="center" vertical="top" wrapText="1"/>
      <protection locked="0"/>
    </xf>
    <xf numFmtId="0" fontId="123" fillId="0" borderId="0" xfId="11" applyFont="1" applyAlignment="1">
      <alignment wrapText="1"/>
    </xf>
    <xf numFmtId="0" fontId="121" fillId="0" borderId="0" xfId="11" applyFont="1" applyAlignment="1">
      <alignment horizontal="center"/>
    </xf>
    <xf numFmtId="0" fontId="54" fillId="0" borderId="0" xfId="11" applyFont="1"/>
    <xf numFmtId="0" fontId="14" fillId="0" borderId="0" xfId="11" applyFont="1" applyAlignment="1">
      <alignment horizontal="center" vertical="top" wrapText="1"/>
    </xf>
    <xf numFmtId="0" fontId="14" fillId="0" borderId="0" xfId="11" applyFont="1" applyAlignment="1">
      <alignment vertical="top" wrapText="1"/>
    </xf>
    <xf numFmtId="0" fontId="14" fillId="0" borderId="0" xfId="11" applyFont="1" applyAlignment="1">
      <alignment horizontal="justify" vertical="center" wrapText="1"/>
    </xf>
    <xf numFmtId="0" fontId="126" fillId="0" borderId="0" xfId="11" applyFont="1" applyAlignment="1">
      <alignment vertical="center"/>
    </xf>
    <xf numFmtId="0" fontId="4" fillId="0" borderId="36" xfId="11" applyBorder="1"/>
    <xf numFmtId="0" fontId="132" fillId="0" borderId="30" xfId="11" applyFont="1" applyBorder="1"/>
    <xf numFmtId="0" fontId="4" fillId="0" borderId="6" xfId="11" applyBorder="1"/>
    <xf numFmtId="0" fontId="4" fillId="0" borderId="19" xfId="11" applyBorder="1"/>
    <xf numFmtId="0" fontId="4" fillId="0" borderId="6" xfId="11" applyBorder="1" applyAlignment="1">
      <alignment wrapText="1"/>
    </xf>
    <xf numFmtId="0" fontId="4" fillId="0" borderId="19" xfId="11" applyBorder="1" applyAlignment="1">
      <alignment wrapText="1"/>
    </xf>
    <xf numFmtId="0" fontId="132" fillId="0" borderId="19" xfId="11" applyFont="1" applyBorder="1"/>
    <xf numFmtId="0" fontId="82" fillId="0" borderId="19" xfId="11" applyFont="1" applyBorder="1" applyAlignment="1">
      <alignment horizontal="left" wrapText="1"/>
    </xf>
    <xf numFmtId="0" fontId="4" fillId="0" borderId="0" xfId="11" applyAlignment="1">
      <alignment wrapText="1"/>
    </xf>
    <xf numFmtId="0" fontId="82" fillId="0" borderId="6" xfId="11" applyFont="1" applyBorder="1" applyAlignment="1">
      <alignment wrapText="1"/>
    </xf>
    <xf numFmtId="172" fontId="82" fillId="0" borderId="19" xfId="11" applyNumberFormat="1" applyFont="1" applyBorder="1" applyAlignment="1">
      <alignment horizontal="left"/>
    </xf>
    <xf numFmtId="172" fontId="4" fillId="0" borderId="19" xfId="11" applyNumberFormat="1" applyBorder="1"/>
    <xf numFmtId="0" fontId="133" fillId="0" borderId="19" xfId="11" applyFont="1" applyBorder="1" applyAlignment="1">
      <alignment horizontal="left" wrapText="1"/>
    </xf>
    <xf numFmtId="0" fontId="82" fillId="0" borderId="19" xfId="11" applyFont="1" applyBorder="1" applyAlignment="1">
      <alignment wrapText="1"/>
    </xf>
    <xf numFmtId="0" fontId="82" fillId="0" borderId="6" xfId="11" applyFont="1" applyBorder="1"/>
    <xf numFmtId="0" fontId="82" fillId="0" borderId="22" xfId="11" applyFont="1" applyBorder="1"/>
    <xf numFmtId="0" fontId="82" fillId="0" borderId="23" xfId="11" applyFont="1" applyBorder="1" applyAlignment="1">
      <alignment wrapText="1"/>
    </xf>
    <xf numFmtId="0" fontId="4" fillId="13" borderId="2" xfId="0" applyFont="1" applyFill="1" applyBorder="1" applyAlignment="1">
      <alignment horizontal="center" vertical="top" wrapText="1"/>
    </xf>
    <xf numFmtId="0" fontId="4" fillId="0" borderId="0" xfId="4" applyAlignment="1">
      <alignment horizontal="left"/>
    </xf>
    <xf numFmtId="0" fontId="54" fillId="16" borderId="0" xfId="4" applyFont="1" applyFill="1" applyAlignment="1" applyProtection="1">
      <alignment horizontal="left" vertical="center"/>
      <protection locked="0"/>
    </xf>
    <xf numFmtId="0" fontId="17" fillId="16" borderId="2" xfId="4" applyFont="1" applyFill="1" applyBorder="1" applyAlignment="1" applyProtection="1">
      <alignment horizontal="center"/>
      <protection locked="0"/>
    </xf>
    <xf numFmtId="0" fontId="17" fillId="16" borderId="0" xfId="4" applyFont="1" applyFill="1" applyAlignment="1" applyProtection="1">
      <alignment horizontal="left"/>
      <protection locked="0"/>
    </xf>
    <xf numFmtId="0" fontId="17" fillId="16" borderId="2" xfId="4" applyFont="1" applyFill="1" applyBorder="1" applyAlignment="1" applyProtection="1">
      <alignment horizontal="center" vertical="center"/>
      <protection locked="0"/>
    </xf>
    <xf numFmtId="0" fontId="21" fillId="16" borderId="2" xfId="4" applyFont="1" applyFill="1" applyBorder="1" applyAlignment="1" applyProtection="1">
      <alignment horizontal="center" vertical="center"/>
      <protection locked="0"/>
    </xf>
    <xf numFmtId="0" fontId="4" fillId="16" borderId="0" xfId="4" applyFill="1" applyAlignment="1" applyProtection="1">
      <alignment horizontal="left"/>
      <protection locked="0"/>
    </xf>
    <xf numFmtId="1" fontId="4" fillId="16" borderId="2" xfId="4" applyNumberFormat="1" applyFill="1" applyBorder="1" applyAlignment="1" applyProtection="1">
      <alignment horizontal="center" vertical="center"/>
      <protection locked="0"/>
    </xf>
    <xf numFmtId="2" fontId="112" fillId="16" borderId="2" xfId="4" quotePrefix="1" applyNumberFormat="1" applyFont="1" applyFill="1" applyBorder="1" applyAlignment="1" applyProtection="1">
      <alignment horizontal="center" vertical="center"/>
      <protection locked="0"/>
    </xf>
    <xf numFmtId="2" fontId="4" fillId="16" borderId="2" xfId="4" applyNumberFormat="1" applyFill="1" applyBorder="1" applyAlignment="1" applyProtection="1">
      <alignment horizontal="center"/>
      <protection locked="0"/>
    </xf>
    <xf numFmtId="2" fontId="112" fillId="16" borderId="2" xfId="4" applyNumberFormat="1" applyFont="1" applyFill="1" applyBorder="1" applyAlignment="1" applyProtection="1">
      <alignment horizontal="center" vertical="center"/>
      <protection locked="0"/>
    </xf>
    <xf numFmtId="2" fontId="4" fillId="16" borderId="2" xfId="4" applyNumberFormat="1" applyFill="1" applyBorder="1" applyAlignment="1" applyProtection="1">
      <alignment horizontal="center" vertical="center"/>
      <protection locked="0"/>
    </xf>
    <xf numFmtId="0" fontId="8" fillId="16" borderId="2" xfId="4" applyFont="1" applyFill="1" applyBorder="1" applyAlignment="1" applyProtection="1">
      <alignment horizontal="center" vertical="center"/>
      <protection locked="0"/>
    </xf>
    <xf numFmtId="164" fontId="112" fillId="16" borderId="2" xfId="4" applyNumberFormat="1" applyFont="1" applyFill="1" applyBorder="1" applyAlignment="1" applyProtection="1">
      <alignment horizontal="center" vertical="center"/>
      <protection locked="0"/>
    </xf>
    <xf numFmtId="2" fontId="4" fillId="16" borderId="2" xfId="4" quotePrefix="1" applyNumberFormat="1" applyFill="1" applyBorder="1" applyAlignment="1" applyProtection="1">
      <alignment horizontal="center" vertical="center"/>
      <protection locked="0"/>
    </xf>
    <xf numFmtId="0" fontId="4" fillId="16" borderId="2" xfId="4" applyFill="1" applyBorder="1" applyAlignment="1" applyProtection="1">
      <alignment horizontal="center" vertical="center"/>
      <protection locked="0"/>
    </xf>
    <xf numFmtId="165" fontId="4" fillId="16" borderId="2" xfId="4" quotePrefix="1" applyNumberFormat="1" applyFill="1" applyBorder="1" applyAlignment="1" applyProtection="1">
      <alignment horizontal="center" vertical="center"/>
      <protection locked="0"/>
    </xf>
    <xf numFmtId="1" fontId="112" fillId="16" borderId="2" xfId="4" quotePrefix="1" applyNumberFormat="1" applyFont="1" applyFill="1" applyBorder="1" applyAlignment="1" applyProtection="1">
      <alignment horizontal="center" vertical="center"/>
      <protection locked="0"/>
    </xf>
    <xf numFmtId="0" fontId="112" fillId="16" borderId="2" xfId="4" quotePrefix="1" applyFont="1" applyFill="1" applyBorder="1" applyAlignment="1" applyProtection="1">
      <alignment horizontal="center" vertical="center"/>
      <protection locked="0"/>
    </xf>
    <xf numFmtId="0" fontId="112" fillId="16" borderId="2" xfId="4" applyFont="1" applyFill="1" applyBorder="1" applyAlignment="1" applyProtection="1">
      <alignment horizontal="center" vertical="center"/>
      <protection locked="0"/>
    </xf>
    <xf numFmtId="164" fontId="4" fillId="16" borderId="2" xfId="4" applyNumberFormat="1" applyFill="1" applyBorder="1" applyAlignment="1" applyProtection="1">
      <alignment horizontal="center" vertical="center"/>
      <protection locked="0"/>
    </xf>
    <xf numFmtId="165" fontId="4" fillId="16" borderId="2" xfId="4" applyNumberFormat="1" applyFill="1" applyBorder="1" applyAlignment="1" applyProtection="1">
      <alignment horizontal="center" vertical="center"/>
      <protection locked="0"/>
    </xf>
    <xf numFmtId="0" fontId="64" fillId="16" borderId="0" xfId="4" applyFont="1" applyFill="1" applyAlignment="1" applyProtection="1">
      <alignment horizontal="left"/>
      <protection locked="0"/>
    </xf>
    <xf numFmtId="0" fontId="4" fillId="3" borderId="6" xfId="4" applyFill="1" applyBorder="1" applyProtection="1">
      <protection locked="0"/>
    </xf>
    <xf numFmtId="0" fontId="4" fillId="3" borderId="0" xfId="4" applyFill="1" applyAlignment="1" applyProtection="1">
      <alignment horizontal="left"/>
      <protection locked="0"/>
    </xf>
    <xf numFmtId="0" fontId="4" fillId="3" borderId="19" xfId="4" applyFill="1" applyBorder="1" applyProtection="1">
      <protection locked="0"/>
    </xf>
    <xf numFmtId="0" fontId="4" fillId="3" borderId="0" xfId="4" applyFill="1" applyAlignment="1">
      <alignment horizontal="left"/>
    </xf>
    <xf numFmtId="0" fontId="16" fillId="16" borderId="0" xfId="4" applyFont="1" applyFill="1" applyAlignment="1" applyProtection="1">
      <alignment horizontal="left" vertical="center"/>
      <protection locked="0"/>
    </xf>
    <xf numFmtId="0" fontId="17" fillId="16" borderId="18" xfId="4" applyFont="1" applyFill="1" applyBorder="1" applyAlignment="1" applyProtection="1">
      <alignment horizontal="center"/>
      <protection locked="0"/>
    </xf>
    <xf numFmtId="0" fontId="17" fillId="16" borderId="18" xfId="4" applyFont="1" applyFill="1" applyBorder="1" applyAlignment="1" applyProtection="1">
      <alignment horizontal="center" vertical="center"/>
      <protection locked="0"/>
    </xf>
    <xf numFmtId="0" fontId="21" fillId="16" borderId="18" xfId="4" applyFont="1" applyFill="1" applyBorder="1" applyAlignment="1" applyProtection="1">
      <alignment horizontal="center" vertical="center"/>
      <protection locked="0"/>
    </xf>
    <xf numFmtId="0" fontId="4" fillId="16" borderId="2" xfId="4" applyFill="1" applyBorder="1" applyAlignment="1" applyProtection="1">
      <alignment horizontal="right" vertical="center"/>
      <protection locked="0"/>
    </xf>
    <xf numFmtId="164" fontId="4" fillId="16" borderId="2" xfId="4" applyNumberFormat="1" applyFill="1" applyBorder="1" applyAlignment="1" applyProtection="1">
      <alignment horizontal="right" vertical="center"/>
      <protection locked="0"/>
    </xf>
    <xf numFmtId="0" fontId="64" fillId="0" borderId="0" xfId="4" applyFont="1" applyAlignment="1">
      <alignment horizontal="left"/>
    </xf>
    <xf numFmtId="0" fontId="117" fillId="3" borderId="6" xfId="4" applyFont="1" applyFill="1" applyBorder="1" applyAlignment="1" applyProtection="1">
      <alignment horizontal="center" vertical="center" wrapText="1"/>
      <protection locked="0"/>
    </xf>
    <xf numFmtId="0" fontId="4" fillId="3" borderId="0" xfId="4" applyFill="1" applyAlignment="1" applyProtection="1">
      <alignment horizontal="center" vertical="center"/>
      <protection locked="0"/>
    </xf>
    <xf numFmtId="165" fontId="4" fillId="3" borderId="0" xfId="4" applyNumberFormat="1" applyFill="1" applyAlignment="1" applyProtection="1">
      <alignment horizontal="center" vertical="center"/>
      <protection locked="0"/>
    </xf>
    <xf numFmtId="0" fontId="117" fillId="3" borderId="0" xfId="4" applyFont="1" applyFill="1" applyAlignment="1" applyProtection="1">
      <alignment horizontal="center" vertical="center" wrapText="1"/>
      <protection locked="0"/>
    </xf>
    <xf numFmtId="0" fontId="4" fillId="3" borderId="0" xfId="4" applyFill="1" applyAlignment="1" applyProtection="1">
      <alignment horizontal="right" vertical="center"/>
      <protection locked="0"/>
    </xf>
    <xf numFmtId="2" fontId="4" fillId="16" borderId="31" xfId="4" quotePrefix="1" applyNumberFormat="1" applyFill="1" applyBorder="1" applyAlignment="1" applyProtection="1">
      <alignment horizontal="center" vertical="center"/>
      <protection locked="0"/>
    </xf>
    <xf numFmtId="2" fontId="4" fillId="16" borderId="18" xfId="4" quotePrefix="1" applyNumberFormat="1" applyFill="1" applyBorder="1" applyAlignment="1" applyProtection="1">
      <alignment horizontal="center" vertical="center"/>
      <protection locked="0"/>
    </xf>
    <xf numFmtId="0" fontId="4" fillId="0" borderId="0" xfId="4" applyAlignment="1">
      <alignment horizontal="center"/>
    </xf>
    <xf numFmtId="164" fontId="112" fillId="16" borderId="2" xfId="4" quotePrefix="1" applyNumberFormat="1" applyFont="1" applyFill="1" applyBorder="1" applyAlignment="1" applyProtection="1">
      <alignment horizontal="center" vertical="center"/>
      <protection locked="0"/>
    </xf>
    <xf numFmtId="1" fontId="4" fillId="16" borderId="2" xfId="4" quotePrefix="1" applyNumberFormat="1" applyFill="1" applyBorder="1" applyAlignment="1" applyProtection="1">
      <alignment horizontal="center" vertical="center"/>
      <protection locked="0"/>
    </xf>
    <xf numFmtId="164" fontId="4" fillId="16" borderId="2" xfId="4" quotePrefix="1" applyNumberFormat="1" applyFill="1" applyBorder="1" applyAlignment="1" applyProtection="1">
      <alignment horizontal="center" vertical="center"/>
      <protection locked="0"/>
    </xf>
    <xf numFmtId="0" fontId="117" fillId="4" borderId="47" xfId="4" applyFont="1" applyFill="1" applyBorder="1" applyAlignment="1" applyProtection="1">
      <alignment horizontal="center" vertical="center" wrapText="1"/>
      <protection locked="0"/>
    </xf>
    <xf numFmtId="0" fontId="117" fillId="4" borderId="48" xfId="4" applyFont="1" applyFill="1" applyBorder="1" applyAlignment="1" applyProtection="1">
      <alignment horizontal="center" vertical="center" wrapText="1"/>
      <protection locked="0"/>
    </xf>
    <xf numFmtId="0" fontId="4" fillId="4" borderId="48" xfId="4" applyFill="1" applyBorder="1"/>
    <xf numFmtId="0" fontId="117" fillId="4" borderId="48" xfId="4" applyFont="1" applyFill="1" applyBorder="1" applyAlignment="1" applyProtection="1">
      <alignment horizontal="left" vertical="center" wrapText="1"/>
      <protection locked="0"/>
    </xf>
    <xf numFmtId="0" fontId="4" fillId="4" borderId="48" xfId="4" applyFill="1" applyBorder="1" applyProtection="1">
      <protection locked="0"/>
    </xf>
    <xf numFmtId="0" fontId="4" fillId="4" borderId="66" xfId="4" applyFill="1" applyBorder="1" applyProtection="1">
      <protection locked="0"/>
    </xf>
    <xf numFmtId="0" fontId="4" fillId="0" borderId="6" xfId="4" applyBorder="1"/>
    <xf numFmtId="0" fontId="4" fillId="0" borderId="0" xfId="4" applyAlignment="1">
      <alignment horizontal="center" vertical="center"/>
    </xf>
    <xf numFmtId="0" fontId="135" fillId="3" borderId="0" xfId="4" applyFont="1" applyFill="1" applyAlignment="1">
      <alignment vertical="center"/>
    </xf>
    <xf numFmtId="0" fontId="4" fillId="3" borderId="7" xfId="12" applyFill="1" applyBorder="1" applyAlignment="1">
      <alignment horizontal="center" vertical="center"/>
    </xf>
    <xf numFmtId="0" fontId="4" fillId="3" borderId="14" xfId="12" applyFill="1" applyBorder="1" applyAlignment="1">
      <alignment horizontal="center" vertical="center"/>
    </xf>
    <xf numFmtId="0" fontId="4" fillId="3" borderId="29" xfId="4" applyFill="1" applyBorder="1"/>
    <xf numFmtId="0" fontId="4" fillId="3" borderId="4" xfId="12" applyFill="1" applyBorder="1" applyAlignment="1">
      <alignment horizontal="center" vertical="center"/>
    </xf>
    <xf numFmtId="2" fontId="10" fillId="17" borderId="1" xfId="4" applyNumberFormat="1" applyFont="1" applyFill="1" applyBorder="1" applyAlignment="1">
      <alignment horizontal="center" vertical="center"/>
    </xf>
    <xf numFmtId="0" fontId="10" fillId="17" borderId="2" xfId="4" applyFont="1" applyFill="1" applyBorder="1" applyAlignment="1">
      <alignment horizontal="center" vertical="center"/>
    </xf>
    <xf numFmtId="165" fontId="44" fillId="17" borderId="80" xfId="4" applyNumberFormat="1" applyFont="1" applyFill="1" applyBorder="1" applyAlignment="1">
      <alignment horizontal="center"/>
    </xf>
    <xf numFmtId="2" fontId="10" fillId="17" borderId="14" xfId="4" applyNumberFormat="1" applyFont="1" applyFill="1" applyBorder="1" applyAlignment="1">
      <alignment horizontal="center" vertical="center"/>
    </xf>
    <xf numFmtId="2" fontId="4" fillId="3" borderId="7" xfId="12" applyNumberFormat="1" applyFill="1" applyBorder="1" applyAlignment="1">
      <alignment horizontal="center" vertical="center"/>
    </xf>
    <xf numFmtId="164" fontId="64" fillId="3" borderId="41" xfId="4" applyNumberFormat="1" applyFont="1" applyFill="1" applyBorder="1" applyAlignment="1">
      <alignment horizontal="center" vertical="center" wrapText="1"/>
    </xf>
    <xf numFmtId="2" fontId="81" fillId="17" borderId="50" xfId="4" applyNumberFormat="1" applyFont="1" applyFill="1" applyBorder="1" applyAlignment="1">
      <alignment horizontal="center" vertical="center"/>
    </xf>
    <xf numFmtId="164" fontId="137" fillId="17" borderId="39" xfId="4" applyNumberFormat="1" applyFont="1" applyFill="1" applyBorder="1" applyAlignment="1">
      <alignment horizontal="center" vertical="center"/>
    </xf>
    <xf numFmtId="1" fontId="64" fillId="3" borderId="1" xfId="4" applyNumberFormat="1" applyFont="1" applyFill="1" applyBorder="1" applyAlignment="1">
      <alignment horizontal="center" vertical="center" wrapText="1"/>
    </xf>
    <xf numFmtId="165" fontId="127" fillId="17" borderId="7" xfId="4" applyNumberFormat="1" applyFont="1" applyFill="1" applyBorder="1" applyAlignment="1">
      <alignment horizontal="center" vertical="center"/>
    </xf>
    <xf numFmtId="165" fontId="137" fillId="17" borderId="14" xfId="4" applyNumberFormat="1" applyFont="1" applyFill="1" applyBorder="1" applyAlignment="1">
      <alignment horizontal="center" vertical="center"/>
    </xf>
    <xf numFmtId="165" fontId="10" fillId="17" borderId="1" xfId="4" applyNumberFormat="1" applyFont="1" applyFill="1" applyBorder="1" applyAlignment="1">
      <alignment horizontal="center" vertical="center"/>
    </xf>
    <xf numFmtId="165" fontId="10" fillId="17" borderId="2" xfId="4" applyNumberFormat="1" applyFont="1" applyFill="1" applyBorder="1" applyAlignment="1">
      <alignment horizontal="center" vertical="center"/>
    </xf>
    <xf numFmtId="165" fontId="10" fillId="17" borderId="14" xfId="4" applyNumberFormat="1" applyFont="1" applyFill="1" applyBorder="1" applyAlignment="1">
      <alignment horizontal="center" vertical="center"/>
    </xf>
    <xf numFmtId="166" fontId="81" fillId="17" borderId="7" xfId="4" applyNumberFormat="1" applyFont="1" applyFill="1" applyBorder="1" applyAlignment="1">
      <alignment horizontal="center" vertical="center"/>
    </xf>
    <xf numFmtId="166" fontId="81" fillId="17" borderId="33" xfId="4" applyNumberFormat="1" applyFont="1" applyFill="1" applyBorder="1" applyAlignment="1">
      <alignment horizontal="center" vertical="center"/>
    </xf>
    <xf numFmtId="164" fontId="137" fillId="17" borderId="14" xfId="4" applyNumberFormat="1" applyFont="1" applyFill="1" applyBorder="1" applyAlignment="1">
      <alignment horizontal="center" vertical="center"/>
    </xf>
    <xf numFmtId="164" fontId="10" fillId="17" borderId="1" xfId="4" applyNumberFormat="1" applyFont="1" applyFill="1" applyBorder="1" applyAlignment="1">
      <alignment horizontal="center" vertical="center"/>
    </xf>
    <xf numFmtId="2" fontId="10" fillId="17" borderId="2" xfId="4" applyNumberFormat="1" applyFont="1" applyFill="1" applyBorder="1" applyAlignment="1">
      <alignment horizontal="center" vertical="center"/>
    </xf>
    <xf numFmtId="0" fontId="4" fillId="17" borderId="71" xfId="4" applyFill="1" applyBorder="1" applyAlignment="1">
      <alignment horizontal="center"/>
    </xf>
    <xf numFmtId="164" fontId="64" fillId="3" borderId="4" xfId="4" applyNumberFormat="1" applyFont="1" applyFill="1" applyBorder="1" applyAlignment="1">
      <alignment horizontal="center" vertical="center" wrapText="1"/>
    </xf>
    <xf numFmtId="2" fontId="81" fillId="17" borderId="2" xfId="4" applyNumberFormat="1" applyFont="1" applyFill="1" applyBorder="1" applyAlignment="1">
      <alignment horizontal="center" vertical="center"/>
    </xf>
    <xf numFmtId="164" fontId="127" fillId="17" borderId="12" xfId="4" applyNumberFormat="1" applyFont="1" applyFill="1" applyBorder="1" applyAlignment="1">
      <alignment horizontal="center" vertical="center"/>
    </xf>
    <xf numFmtId="164" fontId="127" fillId="17" borderId="7" xfId="4" applyNumberFormat="1" applyFont="1" applyFill="1" applyBorder="1" applyAlignment="1">
      <alignment horizontal="center" vertical="center"/>
    </xf>
    <xf numFmtId="0" fontId="55" fillId="17" borderId="73" xfId="4" applyFont="1" applyFill="1" applyBorder="1" applyAlignment="1">
      <alignment horizontal="right"/>
    </xf>
    <xf numFmtId="1" fontId="4" fillId="3" borderId="4" xfId="12" applyNumberFormat="1" applyFill="1" applyBorder="1" applyAlignment="1">
      <alignment horizontal="center" vertical="center"/>
    </xf>
    <xf numFmtId="164" fontId="4" fillId="3" borderId="7" xfId="12" applyNumberFormat="1" applyFill="1" applyBorder="1" applyAlignment="1">
      <alignment horizontal="center" vertical="center"/>
    </xf>
    <xf numFmtId="0" fontId="138" fillId="17" borderId="0" xfId="4" applyFont="1" applyFill="1"/>
    <xf numFmtId="2" fontId="81" fillId="17" borderId="0" xfId="4" applyNumberFormat="1" applyFont="1" applyFill="1" applyAlignment="1">
      <alignment horizontal="center" vertical="center"/>
    </xf>
    <xf numFmtId="0" fontId="1" fillId="0" borderId="73" xfId="4" applyFont="1" applyBorder="1" applyAlignment="1">
      <alignment horizontal="right"/>
    </xf>
    <xf numFmtId="2" fontId="137" fillId="17" borderId="1" xfId="4" applyNumberFormat="1" applyFont="1" applyFill="1" applyBorder="1" applyAlignment="1">
      <alignment horizontal="center" vertical="center"/>
    </xf>
    <xf numFmtId="0" fontId="137" fillId="17" borderId="2" xfId="4" applyFont="1" applyFill="1" applyBorder="1" applyAlignment="1">
      <alignment horizontal="center" vertical="center"/>
    </xf>
    <xf numFmtId="2" fontId="137" fillId="17" borderId="2" xfId="4" applyNumberFormat="1" applyFont="1" applyFill="1" applyBorder="1" applyAlignment="1">
      <alignment horizontal="center" vertical="center"/>
    </xf>
    <xf numFmtId="2" fontId="59" fillId="3" borderId="0" xfId="4" applyNumberFormat="1" applyFont="1" applyFill="1" applyAlignment="1">
      <alignment horizontal="center" vertical="center" wrapText="1"/>
    </xf>
    <xf numFmtId="0" fontId="4" fillId="0" borderId="73" xfId="4" applyBorder="1" applyAlignment="1">
      <alignment horizontal="right"/>
    </xf>
    <xf numFmtId="0" fontId="4" fillId="0" borderId="6" xfId="4" applyBorder="1" applyAlignment="1">
      <alignment horizontal="left"/>
    </xf>
    <xf numFmtId="0" fontId="4" fillId="0" borderId="83" xfId="4" applyBorder="1" applyAlignment="1">
      <alignment horizontal="right"/>
    </xf>
    <xf numFmtId="0" fontId="4" fillId="0" borderId="19" xfId="4" applyBorder="1" applyAlignment="1">
      <alignment horizontal="left"/>
    </xf>
    <xf numFmtId="0" fontId="10" fillId="3" borderId="22" xfId="4" applyFont="1" applyFill="1" applyBorder="1" applyAlignment="1">
      <alignment horizontal="left" vertical="center"/>
    </xf>
    <xf numFmtId="0" fontId="10" fillId="3" borderId="21" xfId="4" applyFont="1" applyFill="1" applyBorder="1" applyAlignment="1">
      <alignment horizontal="center" vertical="center"/>
    </xf>
    <xf numFmtId="2" fontId="10" fillId="3" borderId="21" xfId="4" applyNumberFormat="1" applyFont="1" applyFill="1" applyBorder="1" applyAlignment="1">
      <alignment horizontal="center" vertical="center"/>
    </xf>
    <xf numFmtId="0" fontId="4" fillId="3" borderId="21" xfId="4" applyFill="1" applyBorder="1"/>
    <xf numFmtId="2" fontId="59" fillId="3" borderId="21" xfId="4" applyNumberFormat="1" applyFont="1" applyFill="1" applyBorder="1" applyAlignment="1">
      <alignment horizontal="center" vertical="center"/>
    </xf>
    <xf numFmtId="2" fontId="114" fillId="3" borderId="23" xfId="4" applyNumberFormat="1" applyFont="1" applyFill="1" applyBorder="1" applyAlignment="1">
      <alignment horizontal="center" vertical="center"/>
    </xf>
    <xf numFmtId="0" fontId="4" fillId="0" borderId="29" xfId="4" applyBorder="1"/>
    <xf numFmtId="0" fontId="10" fillId="3" borderId="0" xfId="4" applyFont="1" applyFill="1" applyAlignment="1">
      <alignment horizontal="left" vertical="center"/>
    </xf>
    <xf numFmtId="0" fontId="10" fillId="3" borderId="0" xfId="4" applyFont="1" applyFill="1" applyAlignment="1">
      <alignment horizontal="center" vertical="center"/>
    </xf>
    <xf numFmtId="2" fontId="10" fillId="3" borderId="0" xfId="4" applyNumberFormat="1" applyFont="1" applyFill="1" applyAlignment="1">
      <alignment horizontal="center" vertical="center"/>
    </xf>
    <xf numFmtId="0" fontId="6" fillId="0" borderId="0" xfId="4" applyFont="1" applyAlignment="1">
      <alignment horizontal="left"/>
    </xf>
    <xf numFmtId="0" fontId="10" fillId="0" borderId="0" xfId="4" applyFont="1" applyAlignment="1">
      <alignment horizontal="left" vertical="center"/>
    </xf>
    <xf numFmtId="2" fontId="10" fillId="0" borderId="0" xfId="4" applyNumberFormat="1" applyFont="1" applyAlignment="1">
      <alignment horizontal="left" vertical="center"/>
    </xf>
    <xf numFmtId="0" fontId="137" fillId="3" borderId="0" xfId="4" applyFont="1" applyFill="1" applyAlignment="1">
      <alignment horizontal="left" vertical="center"/>
    </xf>
    <xf numFmtId="0" fontId="137" fillId="3" borderId="0" xfId="4" applyFont="1" applyFill="1" applyAlignment="1">
      <alignment horizontal="center" vertical="center"/>
    </xf>
    <xf numFmtId="2" fontId="137" fillId="3" borderId="0" xfId="4" applyNumberFormat="1" applyFont="1" applyFill="1" applyAlignment="1">
      <alignment horizontal="center" vertical="center"/>
    </xf>
    <xf numFmtId="0" fontId="16" fillId="3" borderId="0" xfId="4" applyFont="1" applyFill="1" applyAlignment="1">
      <alignment wrapText="1"/>
    </xf>
    <xf numFmtId="0" fontId="4" fillId="3" borderId="46" xfId="12" applyFill="1" applyBorder="1" applyAlignment="1">
      <alignment horizontal="center" vertical="center"/>
    </xf>
    <xf numFmtId="164" fontId="4" fillId="3" borderId="56" xfId="12" applyNumberFormat="1" applyFill="1" applyBorder="1" applyAlignment="1">
      <alignment horizontal="center" vertical="center"/>
    </xf>
    <xf numFmtId="2" fontId="4" fillId="3" borderId="56" xfId="12" applyNumberFormat="1" applyFill="1" applyBorder="1" applyAlignment="1">
      <alignment horizontal="center" vertical="center"/>
    </xf>
    <xf numFmtId="0" fontId="4" fillId="3" borderId="17" xfId="12" applyFill="1" applyBorder="1" applyAlignment="1">
      <alignment horizontal="center" vertical="center"/>
    </xf>
    <xf numFmtId="0" fontId="8" fillId="15" borderId="4" xfId="12" applyFont="1" applyFill="1" applyBorder="1"/>
    <xf numFmtId="0" fontId="8" fillId="15" borderId="5" xfId="12" applyFont="1" applyFill="1" applyBorder="1" applyAlignment="1">
      <alignment horizontal="center" vertical="center"/>
    </xf>
    <xf numFmtId="0" fontId="7" fillId="15" borderId="5" xfId="12" applyFont="1" applyFill="1" applyBorder="1" applyAlignment="1">
      <alignment horizontal="center" vertical="center"/>
    </xf>
    <xf numFmtId="0" fontId="7" fillId="15" borderId="5" xfId="12" applyFont="1" applyFill="1" applyBorder="1" applyAlignment="1">
      <alignment vertical="center"/>
    </xf>
    <xf numFmtId="0" fontId="7" fillId="15" borderId="12" xfId="12" applyFont="1" applyFill="1" applyBorder="1" applyAlignment="1">
      <alignment horizontal="left" vertical="center"/>
    </xf>
    <xf numFmtId="0" fontId="7" fillId="15" borderId="2" xfId="12" applyFont="1" applyFill="1" applyBorder="1" applyAlignment="1">
      <alignment vertical="center"/>
    </xf>
    <xf numFmtId="0" fontId="7" fillId="15" borderId="14" xfId="12" applyFont="1" applyFill="1" applyBorder="1" applyAlignment="1">
      <alignment horizontal="center" vertical="center"/>
    </xf>
    <xf numFmtId="0" fontId="118" fillId="0" borderId="1" xfId="12" applyFont="1" applyBorder="1" applyAlignment="1">
      <alignment horizontal="center" vertical="center"/>
    </xf>
    <xf numFmtId="0" fontId="118" fillId="0" borderId="7" xfId="12" applyFont="1" applyBorder="1"/>
    <xf numFmtId="0" fontId="118" fillId="0" borderId="5" xfId="12" applyFont="1" applyBorder="1" applyAlignment="1">
      <alignment horizontal="left"/>
    </xf>
    <xf numFmtId="0" fontId="118" fillId="0" borderId="5" xfId="12" applyFont="1" applyBorder="1"/>
    <xf numFmtId="0" fontId="118" fillId="0" borderId="24" xfId="12" applyFont="1" applyBorder="1"/>
    <xf numFmtId="0" fontId="4" fillId="0" borderId="0" xfId="4" applyProtection="1">
      <protection locked="0"/>
    </xf>
    <xf numFmtId="0" fontId="7" fillId="15" borderId="2" xfId="12" applyFont="1" applyFill="1" applyBorder="1" applyAlignment="1">
      <alignment horizontal="right" vertical="center"/>
    </xf>
    <xf numFmtId="0" fontId="73" fillId="3" borderId="46" xfId="12" applyFont="1" applyFill="1" applyBorder="1"/>
    <xf numFmtId="0" fontId="73" fillId="3" borderId="62" xfId="12" applyFont="1" applyFill="1" applyBorder="1"/>
    <xf numFmtId="0" fontId="73" fillId="3" borderId="84" xfId="12" applyFont="1" applyFill="1" applyBorder="1"/>
    <xf numFmtId="0" fontId="8" fillId="3" borderId="0" xfId="12" applyFont="1" applyFill="1"/>
    <xf numFmtId="0" fontId="4" fillId="3" borderId="6" xfId="4" applyFill="1" applyBorder="1"/>
    <xf numFmtId="0" fontId="4" fillId="3" borderId="22" xfId="4" applyFill="1" applyBorder="1"/>
    <xf numFmtId="0" fontId="32" fillId="8" borderId="2" xfId="0" applyFont="1" applyFill="1" applyBorder="1" applyAlignment="1">
      <alignment horizontal="center" vertical="top" wrapText="1"/>
    </xf>
    <xf numFmtId="0" fontId="140" fillId="8" borderId="2" xfId="0" applyFont="1" applyFill="1" applyBorder="1" applyAlignment="1">
      <alignment horizontal="center" vertical="top" wrapText="1"/>
    </xf>
    <xf numFmtId="0" fontId="4" fillId="13" borderId="14" xfId="0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top" wrapText="1"/>
    </xf>
    <xf numFmtId="0" fontId="59" fillId="13" borderId="15" xfId="0" applyFont="1" applyFill="1" applyBorder="1" applyAlignment="1">
      <alignment horizontal="center" vertical="top" wrapText="1"/>
    </xf>
    <xf numFmtId="0" fontId="59" fillId="13" borderId="16" xfId="0" applyFont="1" applyFill="1" applyBorder="1" applyAlignment="1">
      <alignment horizontal="center" vertical="top" wrapText="1"/>
    </xf>
    <xf numFmtId="0" fontId="59" fillId="13" borderId="17" xfId="0" applyFont="1" applyFill="1" applyBorder="1" applyAlignment="1">
      <alignment horizontal="center" vertical="top" wrapText="1"/>
    </xf>
    <xf numFmtId="0" fontId="61" fillId="13" borderId="1" xfId="0" applyFont="1" applyFill="1" applyBorder="1" applyAlignment="1">
      <alignment horizontal="center" vertical="top" wrapText="1"/>
    </xf>
    <xf numFmtId="0" fontId="61" fillId="13" borderId="2" xfId="0" applyFont="1" applyFill="1" applyBorder="1" applyAlignment="1">
      <alignment horizontal="center" vertical="top" wrapText="1"/>
    </xf>
    <xf numFmtId="0" fontId="61" fillId="13" borderId="14" xfId="0" applyFont="1" applyFill="1" applyBorder="1" applyAlignment="1">
      <alignment horizontal="center" vertical="top" wrapText="1"/>
    </xf>
    <xf numFmtId="164" fontId="61" fillId="13" borderId="2" xfId="0" applyNumberFormat="1" applyFont="1" applyFill="1" applyBorder="1" applyAlignment="1">
      <alignment horizontal="center" vertical="top" wrapText="1"/>
    </xf>
    <xf numFmtId="0" fontId="61" fillId="0" borderId="2" xfId="0" applyFont="1" applyBorder="1" applyAlignment="1">
      <alignment horizontal="center" vertical="center"/>
    </xf>
    <xf numFmtId="1" fontId="61" fillId="0" borderId="2" xfId="0" applyNumberFormat="1" applyFont="1" applyBorder="1" applyAlignment="1">
      <alignment horizontal="center" vertical="center"/>
    </xf>
    <xf numFmtId="166" fontId="61" fillId="0" borderId="2" xfId="0" applyNumberFormat="1" applyFont="1" applyBorder="1" applyAlignment="1">
      <alignment horizontal="center" vertical="center"/>
    </xf>
    <xf numFmtId="0" fontId="141" fillId="3" borderId="2" xfId="0" applyFont="1" applyFill="1" applyBorder="1" applyAlignment="1">
      <alignment horizontal="center" vertical="center"/>
    </xf>
    <xf numFmtId="1" fontId="141" fillId="3" borderId="2" xfId="0" applyNumberFormat="1" applyFont="1" applyFill="1" applyBorder="1" applyAlignment="1">
      <alignment horizontal="center" vertical="center"/>
    </xf>
    <xf numFmtId="0" fontId="59" fillId="8" borderId="2" xfId="6" applyFont="1" applyFill="1" applyBorder="1" applyAlignment="1">
      <alignment horizontal="center"/>
    </xf>
    <xf numFmtId="0" fontId="64" fillId="8" borderId="0" xfId="6" applyFont="1" applyFill="1"/>
    <xf numFmtId="178" fontId="59" fillId="8" borderId="2" xfId="6" applyNumberFormat="1" applyFont="1" applyFill="1" applyBorder="1" applyAlignment="1">
      <alignment horizontal="center"/>
    </xf>
    <xf numFmtId="179" fontId="32" fillId="0" borderId="5" xfId="0" applyNumberFormat="1" applyFont="1" applyBorder="1" applyAlignment="1">
      <alignment horizontal="right"/>
    </xf>
    <xf numFmtId="179" fontId="32" fillId="0" borderId="7" xfId="0" applyNumberFormat="1" applyFont="1" applyBorder="1" applyAlignment="1">
      <alignment horizontal="right" vertical="center"/>
    </xf>
    <xf numFmtId="179" fontId="32" fillId="0" borderId="7" xfId="0" applyNumberFormat="1" applyFont="1" applyBorder="1" applyAlignment="1">
      <alignment horizontal="right"/>
    </xf>
    <xf numFmtId="180" fontId="4" fillId="3" borderId="7" xfId="12" applyNumberForma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/>
    </xf>
    <xf numFmtId="0" fontId="10" fillId="3" borderId="2" xfId="4" applyFont="1" applyFill="1" applyBorder="1" applyAlignment="1">
      <alignment horizontal="center" vertical="center"/>
    </xf>
    <xf numFmtId="2" fontId="10" fillId="3" borderId="14" xfId="4" applyNumberFormat="1" applyFont="1" applyFill="1" applyBorder="1" applyAlignment="1">
      <alignment horizontal="center" vertical="center"/>
    </xf>
    <xf numFmtId="2" fontId="10" fillId="3" borderId="1" xfId="4" applyNumberFormat="1" applyFont="1" applyFill="1" applyBorder="1" applyAlignment="1">
      <alignment horizontal="center" vertical="center"/>
    </xf>
    <xf numFmtId="165" fontId="10" fillId="3" borderId="2" xfId="4" applyNumberFormat="1" applyFont="1" applyFill="1" applyBorder="1" applyAlignment="1">
      <alignment horizontal="center" vertical="center"/>
    </xf>
    <xf numFmtId="180" fontId="44" fillId="17" borderId="80" xfId="4" applyNumberFormat="1" applyFont="1" applyFill="1" applyBorder="1" applyAlignment="1">
      <alignment horizontal="center"/>
    </xf>
    <xf numFmtId="0" fontId="58" fillId="0" borderId="7" xfId="0" applyFont="1" applyBorder="1" applyAlignment="1">
      <alignment horizontal="left" vertical="top"/>
    </xf>
    <xf numFmtId="0" fontId="16" fillId="0" borderId="2" xfId="0" applyFont="1" applyBorder="1" applyAlignment="1">
      <alignment vertical="top" wrapText="1"/>
    </xf>
    <xf numFmtId="0" fontId="50" fillId="0" borderId="2" xfId="2" applyFont="1" applyBorder="1" applyAlignment="1">
      <alignment horizontal="center"/>
    </xf>
    <xf numFmtId="0" fontId="50" fillId="0" borderId="2" xfId="2" applyFont="1" applyBorder="1" applyAlignment="1">
      <alignment horizontal="center" vertical="center" wrapText="1"/>
    </xf>
    <xf numFmtId="0" fontId="81" fillId="3" borderId="0" xfId="2" applyFont="1" applyFill="1"/>
    <xf numFmtId="0" fontId="127" fillId="0" borderId="0" xfId="0" applyFont="1" applyAlignment="1">
      <alignment horizontal="right"/>
    </xf>
    <xf numFmtId="0" fontId="0" fillId="0" borderId="0" xfId="0" applyProtection="1">
      <protection locked="0"/>
    </xf>
    <xf numFmtId="0" fontId="145" fillId="0" borderId="0" xfId="0" applyFont="1" applyAlignment="1">
      <alignment horizontal="left" vertical="center" wrapText="1"/>
    </xf>
    <xf numFmtId="0" fontId="145" fillId="0" borderId="0" xfId="0" applyFont="1"/>
    <xf numFmtId="0" fontId="145" fillId="0" borderId="0" xfId="0" applyFont="1" applyAlignment="1">
      <alignment horizontal="left" vertical="top"/>
    </xf>
    <xf numFmtId="0" fontId="125" fillId="0" borderId="0" xfId="0" quotePrefix="1" applyFont="1" applyAlignment="1" applyProtection="1">
      <alignment vertical="center" wrapText="1"/>
      <protection locked="0"/>
    </xf>
    <xf numFmtId="0" fontId="145" fillId="0" borderId="0" xfId="0" applyFont="1" applyAlignment="1">
      <alignment vertical="top"/>
    </xf>
    <xf numFmtId="0" fontId="124" fillId="0" borderId="0" xfId="0" applyFont="1" applyAlignment="1" applyProtection="1">
      <alignment vertical="center"/>
      <protection locked="0"/>
    </xf>
    <xf numFmtId="176" fontId="124" fillId="0" borderId="0" xfId="0" applyNumberFormat="1" applyFont="1" applyAlignment="1" applyProtection="1">
      <alignment vertical="center"/>
      <protection locked="0"/>
    </xf>
    <xf numFmtId="0" fontId="145" fillId="0" borderId="0" xfId="0" applyFont="1" applyAlignment="1">
      <alignment vertical="center"/>
    </xf>
    <xf numFmtId="0" fontId="145" fillId="0" borderId="2" xfId="0" applyFont="1" applyBorder="1" applyAlignment="1">
      <alignment horizontal="center" vertical="center"/>
    </xf>
    <xf numFmtId="0" fontId="145" fillId="0" borderId="2" xfId="0" quotePrefix="1" applyFont="1" applyBorder="1" applyAlignment="1">
      <alignment horizontal="center" vertical="center"/>
    </xf>
    <xf numFmtId="0" fontId="145" fillId="0" borderId="2" xfId="0" applyFont="1" applyBorder="1" applyAlignment="1">
      <alignment horizontal="center" vertical="center" wrapText="1"/>
    </xf>
    <xf numFmtId="11" fontId="145" fillId="0" borderId="2" xfId="0" applyNumberFormat="1" applyFont="1" applyBorder="1" applyAlignment="1">
      <alignment horizontal="center" vertical="center" wrapText="1"/>
    </xf>
    <xf numFmtId="0" fontId="145" fillId="0" borderId="0" xfId="0" quotePrefix="1" applyFont="1" applyAlignment="1">
      <alignment vertical="center"/>
    </xf>
    <xf numFmtId="0" fontId="145" fillId="0" borderId="0" xfId="0" applyFont="1" applyAlignment="1">
      <alignment horizontal="left" vertical="center"/>
    </xf>
    <xf numFmtId="172" fontId="145" fillId="0" borderId="0" xfId="0" applyNumberFormat="1" applyFont="1" applyAlignment="1">
      <alignment horizontal="left" vertical="center"/>
    </xf>
    <xf numFmtId="0" fontId="30" fillId="6" borderId="0" xfId="2" applyFont="1" applyFill="1" applyAlignment="1">
      <alignment horizontal="center"/>
    </xf>
    <xf numFmtId="0" fontId="132" fillId="0" borderId="0" xfId="11" applyFont="1"/>
    <xf numFmtId="0" fontId="82" fillId="0" borderId="0" xfId="11" applyFont="1" applyAlignment="1">
      <alignment horizontal="left"/>
    </xf>
    <xf numFmtId="0" fontId="82" fillId="0" borderId="0" xfId="11" applyFont="1"/>
    <xf numFmtId="172" fontId="82" fillId="0" borderId="0" xfId="11" applyNumberFormat="1" applyFont="1" applyAlignment="1">
      <alignment horizontal="left"/>
    </xf>
    <xf numFmtId="172" fontId="4" fillId="0" borderId="0" xfId="11" applyNumberFormat="1"/>
    <xf numFmtId="0" fontId="133" fillId="0" borderId="0" xfId="11" applyFont="1" applyAlignment="1">
      <alignment horizontal="left"/>
    </xf>
    <xf numFmtId="0" fontId="63" fillId="0" borderId="0" xfId="0" applyFont="1" applyAlignment="1">
      <alignment horizontal="left"/>
    </xf>
    <xf numFmtId="181" fontId="63" fillId="0" borderId="0" xfId="0" applyNumberFormat="1" applyFont="1" applyAlignment="1">
      <alignment horizontal="left"/>
    </xf>
    <xf numFmtId="182" fontId="63" fillId="0" borderId="0" xfId="0" applyNumberFormat="1" applyFont="1" applyAlignment="1">
      <alignment horizontal="left"/>
    </xf>
    <xf numFmtId="164" fontId="63" fillId="0" borderId="0" xfId="2" applyNumberFormat="1" applyFont="1" applyAlignment="1">
      <alignment horizontal="left" vertical="center"/>
    </xf>
    <xf numFmtId="164" fontId="63" fillId="0" borderId="0" xfId="2" applyNumberFormat="1" applyFont="1" applyAlignment="1">
      <alignment horizontal="center"/>
    </xf>
    <xf numFmtId="164" fontId="63" fillId="0" borderId="7" xfId="2" applyNumberFormat="1" applyFont="1" applyBorder="1" applyAlignment="1">
      <alignment horizontal="right"/>
    </xf>
    <xf numFmtId="165" fontId="63" fillId="0" borderId="7" xfId="2" applyNumberFormat="1" applyFont="1" applyBorder="1" applyAlignment="1">
      <alignment horizontal="right"/>
    </xf>
    <xf numFmtId="1" fontId="63" fillId="0" borderId="12" xfId="0" applyNumberFormat="1" applyFont="1" applyBorder="1" applyAlignment="1">
      <alignment horizontal="center" vertical="center"/>
    </xf>
    <xf numFmtId="164" fontId="63" fillId="0" borderId="12" xfId="0" applyNumberFormat="1" applyFont="1" applyBorder="1" applyAlignment="1">
      <alignment horizontal="center" vertical="center"/>
    </xf>
    <xf numFmtId="164" fontId="63" fillId="0" borderId="12" xfId="0" applyNumberFormat="1" applyFont="1" applyBorder="1" applyAlignment="1">
      <alignment horizontal="left" vertical="center"/>
    </xf>
    <xf numFmtId="1" fontId="63" fillId="3" borderId="2" xfId="0" applyNumberFormat="1" applyFont="1" applyFill="1" applyBorder="1" applyAlignment="1">
      <alignment horizontal="center" vertical="center"/>
    </xf>
    <xf numFmtId="164" fontId="63" fillId="0" borderId="12" xfId="0" applyNumberFormat="1" applyFont="1" applyBorder="1" applyAlignment="1">
      <alignment horizontal="left"/>
    </xf>
    <xf numFmtId="1" fontId="63" fillId="3" borderId="2" xfId="0" applyNumberFormat="1" applyFont="1" applyFill="1" applyBorder="1" applyAlignment="1">
      <alignment horizontal="center"/>
    </xf>
    <xf numFmtId="164" fontId="63" fillId="3" borderId="2" xfId="0" applyNumberFormat="1" applyFont="1" applyFill="1" applyBorder="1" applyAlignment="1">
      <alignment horizontal="center"/>
    </xf>
    <xf numFmtId="164" fontId="63" fillId="3" borderId="2" xfId="0" applyNumberFormat="1" applyFont="1" applyFill="1" applyBorder="1" applyAlignment="1">
      <alignment horizontal="center" vertical="center"/>
    </xf>
    <xf numFmtId="0" fontId="63" fillId="0" borderId="0" xfId="0" applyFont="1" applyAlignment="1" applyProtection="1">
      <alignment horizontal="left"/>
      <protection locked="0"/>
    </xf>
    <xf numFmtId="0" fontId="32" fillId="3" borderId="0" xfId="0" applyFont="1" applyFill="1" applyAlignment="1" applyProtection="1">
      <alignment horizontal="center"/>
      <protection locked="0"/>
    </xf>
    <xf numFmtId="0" fontId="4" fillId="0" borderId="0" xfId="2" applyAlignment="1">
      <alignment horizontal="center"/>
    </xf>
    <xf numFmtId="0" fontId="43" fillId="3" borderId="0" xfId="2" applyFont="1" applyFill="1" applyProtection="1">
      <protection locked="0"/>
    </xf>
    <xf numFmtId="0" fontId="32" fillId="3" borderId="0" xfId="2" applyFont="1" applyFill="1" applyProtection="1">
      <protection locked="0"/>
    </xf>
    <xf numFmtId="0" fontId="4" fillId="3" borderId="0" xfId="2" applyFill="1" applyProtection="1">
      <protection locked="0"/>
    </xf>
    <xf numFmtId="1" fontId="7" fillId="6" borderId="0" xfId="2" applyNumberFormat="1" applyFont="1" applyFill="1"/>
    <xf numFmtId="1" fontId="4" fillId="0" borderId="0" xfId="4" applyNumberFormat="1"/>
    <xf numFmtId="0" fontId="4" fillId="0" borderId="5" xfId="2" applyBorder="1" applyAlignment="1">
      <alignment vertical="center"/>
    </xf>
    <xf numFmtId="0" fontId="117" fillId="0" borderId="2" xfId="0" applyFont="1" applyBorder="1" applyAlignment="1" applyProtection="1">
      <alignment horizontal="center" vertical="center"/>
      <protection locked="0"/>
    </xf>
    <xf numFmtId="0" fontId="4" fillId="0" borderId="0" xfId="2" quotePrefix="1" applyAlignment="1">
      <alignment horizontal="center"/>
    </xf>
    <xf numFmtId="0" fontId="37" fillId="3" borderId="2" xfId="0" applyFont="1" applyFill="1" applyBorder="1" applyAlignment="1" applyProtection="1">
      <alignment horizontal="center"/>
      <protection locked="0"/>
    </xf>
    <xf numFmtId="0" fontId="4" fillId="3" borderId="0" xfId="2" applyFill="1"/>
    <xf numFmtId="0" fontId="4" fillId="0" borderId="0" xfId="0" applyFont="1" applyProtection="1">
      <protection locked="0"/>
    </xf>
    <xf numFmtId="0" fontId="10" fillId="3" borderId="2" xfId="0" applyFont="1" applyFill="1" applyBorder="1" applyAlignment="1">
      <alignment horizontal="center" vertical="center"/>
    </xf>
    <xf numFmtId="2" fontId="10" fillId="3" borderId="2" xfId="0" applyNumberFormat="1" applyFont="1" applyFill="1" applyBorder="1" applyAlignment="1">
      <alignment horizontal="center" vertical="center"/>
    </xf>
    <xf numFmtId="2" fontId="10" fillId="11" borderId="2" xfId="0" applyNumberFormat="1" applyFont="1" applyFill="1" applyBorder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0" fontId="21" fillId="3" borderId="26" xfId="12" applyFont="1" applyFill="1" applyBorder="1" applyAlignment="1">
      <alignment horizontal="center" vertical="center" wrapText="1"/>
    </xf>
    <xf numFmtId="0" fontId="21" fillId="3" borderId="27" xfId="12" applyFont="1" applyFill="1" applyBorder="1" applyAlignment="1">
      <alignment horizontal="center" vertical="center" wrapText="1"/>
    </xf>
    <xf numFmtId="0" fontId="21" fillId="3" borderId="38" xfId="12" applyFont="1" applyFill="1" applyBorder="1" applyAlignment="1">
      <alignment horizontal="center" vertical="center" wrapText="1"/>
    </xf>
    <xf numFmtId="0" fontId="21" fillId="3" borderId="4" xfId="12" applyFont="1" applyFill="1" applyBorder="1" applyAlignment="1">
      <alignment horizontal="center" vertical="center"/>
    </xf>
    <xf numFmtId="0" fontId="21" fillId="3" borderId="5" xfId="12" applyFont="1" applyFill="1" applyBorder="1" applyAlignment="1">
      <alignment horizontal="center" vertical="center"/>
    </xf>
    <xf numFmtId="0" fontId="21" fillId="3" borderId="24" xfId="12" applyFont="1" applyFill="1" applyBorder="1" applyAlignment="1">
      <alignment horizontal="center" vertical="center"/>
    </xf>
    <xf numFmtId="0" fontId="16" fillId="3" borderId="4" xfId="12" applyFont="1" applyFill="1" applyBorder="1" applyAlignment="1">
      <alignment horizontal="center" vertical="center"/>
    </xf>
    <xf numFmtId="0" fontId="16" fillId="3" borderId="5" xfId="12" applyFont="1" applyFill="1" applyBorder="1" applyAlignment="1">
      <alignment horizontal="center" vertical="center"/>
    </xf>
    <xf numFmtId="0" fontId="16" fillId="3" borderId="12" xfId="12" applyFont="1" applyFill="1" applyBorder="1" applyAlignment="1">
      <alignment horizontal="center" vertical="center"/>
    </xf>
    <xf numFmtId="0" fontId="10" fillId="17" borderId="26" xfId="4" applyFont="1" applyFill="1" applyBorder="1" applyAlignment="1">
      <alignment horizontal="center" vertical="center"/>
    </xf>
    <xf numFmtId="0" fontId="10" fillId="17" borderId="27" xfId="4" applyFont="1" applyFill="1" applyBorder="1" applyAlignment="1">
      <alignment horizontal="center" vertical="center"/>
    </xf>
    <xf numFmtId="0" fontId="10" fillId="17" borderId="38" xfId="4" applyFont="1" applyFill="1" applyBorder="1" applyAlignment="1">
      <alignment horizontal="center" vertical="center"/>
    </xf>
    <xf numFmtId="0" fontId="44" fillId="17" borderId="79" xfId="4" applyFont="1" applyFill="1" applyBorder="1" applyAlignment="1">
      <alignment horizontal="center" vertical="center" wrapText="1"/>
    </xf>
    <xf numFmtId="0" fontId="44" fillId="17" borderId="58" xfId="4" applyFont="1" applyFill="1" applyBorder="1" applyAlignment="1">
      <alignment horizontal="center" vertical="center" wrapText="1"/>
    </xf>
    <xf numFmtId="0" fontId="44" fillId="17" borderId="78" xfId="4" applyFont="1" applyFill="1" applyBorder="1" applyAlignment="1">
      <alignment horizontal="center" vertical="center" wrapText="1"/>
    </xf>
    <xf numFmtId="0" fontId="44" fillId="17" borderId="44" xfId="4" applyFont="1" applyFill="1" applyBorder="1" applyAlignment="1">
      <alignment horizontal="center" vertical="center" wrapText="1"/>
    </xf>
    <xf numFmtId="0" fontId="44" fillId="17" borderId="3" xfId="4" applyFont="1" applyFill="1" applyBorder="1" applyAlignment="1">
      <alignment horizontal="center" vertical="center" wrapText="1"/>
    </xf>
    <xf numFmtId="0" fontId="44" fillId="17" borderId="64" xfId="4" applyFont="1" applyFill="1" applyBorder="1" applyAlignment="1">
      <alignment horizontal="center" vertical="center" wrapText="1"/>
    </xf>
    <xf numFmtId="0" fontId="118" fillId="0" borderId="26" xfId="12" applyFont="1" applyBorder="1" applyAlignment="1">
      <alignment horizontal="center"/>
    </xf>
    <xf numFmtId="0" fontId="118" fillId="0" borderId="27" xfId="12" applyFont="1" applyBorder="1" applyAlignment="1">
      <alignment horizontal="center"/>
    </xf>
    <xf numFmtId="0" fontId="118" fillId="0" borderId="38" xfId="12" applyFont="1" applyBorder="1" applyAlignment="1">
      <alignment horizontal="center"/>
    </xf>
    <xf numFmtId="0" fontId="16" fillId="15" borderId="46" xfId="12" applyFont="1" applyFill="1" applyBorder="1" applyAlignment="1">
      <alignment horizontal="center"/>
    </xf>
    <xf numFmtId="0" fontId="16" fillId="15" borderId="62" xfId="12" applyFont="1" applyFill="1" applyBorder="1" applyAlignment="1">
      <alignment horizontal="center"/>
    </xf>
    <xf numFmtId="0" fontId="16" fillId="15" borderId="84" xfId="12" applyFont="1" applyFill="1" applyBorder="1" applyAlignment="1">
      <alignment horizontal="center"/>
    </xf>
    <xf numFmtId="0" fontId="4" fillId="17" borderId="69" xfId="4" applyFill="1" applyBorder="1" applyAlignment="1">
      <alignment horizontal="center" wrapText="1"/>
    </xf>
    <xf numFmtId="0" fontId="4" fillId="17" borderId="67" xfId="4" applyFill="1" applyBorder="1" applyAlignment="1">
      <alignment horizontal="center" wrapText="1"/>
    </xf>
    <xf numFmtId="0" fontId="137" fillId="17" borderId="4" xfId="4" applyFont="1" applyFill="1" applyBorder="1" applyAlignment="1">
      <alignment horizontal="center" vertical="center" wrapText="1"/>
    </xf>
    <xf numFmtId="0" fontId="137" fillId="17" borderId="5" xfId="4" applyFont="1" applyFill="1" applyBorder="1" applyAlignment="1">
      <alignment horizontal="center" vertical="center" wrapText="1"/>
    </xf>
    <xf numFmtId="0" fontId="137" fillId="17" borderId="24" xfId="4" applyFont="1" applyFill="1" applyBorder="1" applyAlignment="1">
      <alignment horizontal="center" vertical="center" wrapText="1"/>
    </xf>
    <xf numFmtId="0" fontId="139" fillId="3" borderId="0" xfId="4" applyFont="1" applyFill="1" applyAlignment="1">
      <alignment horizontal="left" wrapText="1"/>
    </xf>
    <xf numFmtId="0" fontId="116" fillId="3" borderId="0" xfId="4" applyFont="1" applyFill="1" applyAlignment="1">
      <alignment horizontal="center" vertical="center" wrapText="1"/>
    </xf>
    <xf numFmtId="0" fontId="136" fillId="3" borderId="69" xfId="12" applyFont="1" applyFill="1" applyBorder="1" applyAlignment="1">
      <alignment horizontal="center" vertical="center" wrapText="1"/>
    </xf>
    <xf numFmtId="0" fontId="136" fillId="3" borderId="37" xfId="12" applyFont="1" applyFill="1" applyBorder="1" applyAlignment="1">
      <alignment horizontal="center" vertical="center" wrapText="1"/>
    </xf>
    <xf numFmtId="0" fontId="136" fillId="3" borderId="67" xfId="12" applyFont="1" applyFill="1" applyBorder="1" applyAlignment="1">
      <alignment horizontal="center" vertical="center" wrapText="1"/>
    </xf>
    <xf numFmtId="0" fontId="16" fillId="17" borderId="45" xfId="4" applyFont="1" applyFill="1" applyBorder="1" applyAlignment="1">
      <alignment horizontal="center" vertical="center" wrapText="1"/>
    </xf>
    <xf numFmtId="0" fontId="16" fillId="17" borderId="25" xfId="4" applyFont="1" applyFill="1" applyBorder="1" applyAlignment="1">
      <alignment horizontal="center" vertical="center" wrapText="1"/>
    </xf>
    <xf numFmtId="0" fontId="16" fillId="17" borderId="65" xfId="4" applyFont="1" applyFill="1" applyBorder="1" applyAlignment="1">
      <alignment horizontal="center" vertical="center" wrapText="1"/>
    </xf>
    <xf numFmtId="0" fontId="10" fillId="17" borderId="4" xfId="4" applyFont="1" applyFill="1" applyBorder="1" applyAlignment="1">
      <alignment horizontal="center" vertical="center" wrapText="1"/>
    </xf>
    <xf numFmtId="0" fontId="10" fillId="17" borderId="5" xfId="4" applyFont="1" applyFill="1" applyBorder="1" applyAlignment="1">
      <alignment horizontal="center" vertical="center" wrapText="1"/>
    </xf>
    <xf numFmtId="0" fontId="10" fillId="17" borderId="24" xfId="4" applyFont="1" applyFill="1" applyBorder="1" applyAlignment="1">
      <alignment horizontal="center" vertical="center" wrapText="1"/>
    </xf>
    <xf numFmtId="0" fontId="21" fillId="16" borderId="11" xfId="4" applyFont="1" applyFill="1" applyBorder="1" applyAlignment="1" applyProtection="1">
      <alignment horizontal="center" vertical="center"/>
      <protection locked="0"/>
    </xf>
    <xf numFmtId="0" fontId="21" fillId="16" borderId="10" xfId="4" applyFont="1" applyFill="1" applyBorder="1" applyAlignment="1" applyProtection="1">
      <alignment horizontal="center" vertical="center"/>
      <protection locked="0"/>
    </xf>
    <xf numFmtId="0" fontId="21" fillId="16" borderId="35" xfId="4" applyFont="1" applyFill="1" applyBorder="1" applyAlignment="1" applyProtection="1">
      <alignment horizontal="center" vertical="center"/>
      <protection locked="0"/>
    </xf>
    <xf numFmtId="0" fontId="21" fillId="16" borderId="7" xfId="4" applyFont="1" applyFill="1" applyBorder="1" applyAlignment="1" applyProtection="1">
      <alignment horizontal="center" vertical="center"/>
      <protection locked="0"/>
    </xf>
    <xf numFmtId="0" fontId="21" fillId="16" borderId="5" xfId="4" applyFont="1" applyFill="1" applyBorder="1" applyAlignment="1" applyProtection="1">
      <alignment horizontal="center" vertical="center"/>
      <protection locked="0"/>
    </xf>
    <xf numFmtId="0" fontId="21" fillId="16" borderId="12" xfId="4" applyFont="1" applyFill="1" applyBorder="1" applyAlignment="1" applyProtection="1">
      <alignment horizontal="center" vertical="center"/>
      <protection locked="0"/>
    </xf>
    <xf numFmtId="0" fontId="21" fillId="16" borderId="7" xfId="4" applyFont="1" applyFill="1" applyBorder="1" applyAlignment="1" applyProtection="1">
      <alignment horizontal="center" vertical="center" wrapText="1"/>
      <protection locked="0"/>
    </xf>
    <xf numFmtId="0" fontId="21" fillId="16" borderId="5" xfId="4" applyFont="1" applyFill="1" applyBorder="1" applyAlignment="1" applyProtection="1">
      <alignment horizontal="center" vertical="center" wrapText="1"/>
      <protection locked="0"/>
    </xf>
    <xf numFmtId="0" fontId="21" fillId="16" borderId="12" xfId="4" applyFont="1" applyFill="1" applyBorder="1" applyAlignment="1" applyProtection="1">
      <alignment horizontal="center" vertical="center" wrapText="1"/>
      <protection locked="0"/>
    </xf>
    <xf numFmtId="0" fontId="117" fillId="16" borderId="31" xfId="4" applyFont="1" applyFill="1" applyBorder="1" applyAlignment="1" applyProtection="1">
      <alignment horizontal="center" vertical="center" wrapText="1"/>
      <protection locked="0"/>
    </xf>
    <xf numFmtId="0" fontId="117" fillId="16" borderId="3" xfId="4" applyFont="1" applyFill="1" applyBorder="1" applyAlignment="1" applyProtection="1">
      <alignment horizontal="center" vertical="center" wrapText="1"/>
      <protection locked="0"/>
    </xf>
    <xf numFmtId="0" fontId="117" fillId="16" borderId="18" xfId="4" applyFont="1" applyFill="1" applyBorder="1" applyAlignment="1" applyProtection="1">
      <alignment horizontal="center" vertical="center" wrapText="1"/>
      <protection locked="0"/>
    </xf>
    <xf numFmtId="0" fontId="16" fillId="16" borderId="2" xfId="4" applyFont="1" applyFill="1" applyBorder="1" applyAlignment="1" applyProtection="1">
      <alignment horizontal="center" vertical="center" wrapText="1"/>
      <protection locked="0"/>
    </xf>
    <xf numFmtId="0" fontId="54" fillId="16" borderId="2" xfId="4" applyFont="1" applyFill="1" applyBorder="1" applyAlignment="1" applyProtection="1">
      <alignment horizontal="center" vertical="center"/>
      <protection locked="0"/>
    </xf>
    <xf numFmtId="0" fontId="17" fillId="16" borderId="18" xfId="4" applyFont="1" applyFill="1" applyBorder="1" applyAlignment="1" applyProtection="1">
      <alignment horizontal="center"/>
      <protection locked="0"/>
    </xf>
    <xf numFmtId="0" fontId="17" fillId="16" borderId="2" xfId="4" applyFont="1" applyFill="1" applyBorder="1" applyAlignment="1" applyProtection="1">
      <alignment horizontal="center"/>
      <protection locked="0"/>
    </xf>
    <xf numFmtId="0" fontId="54" fillId="16" borderId="2" xfId="4" applyFont="1" applyFill="1" applyBorder="1" applyAlignment="1" applyProtection="1">
      <alignment horizontal="center" vertical="center" wrapText="1"/>
      <protection locked="0"/>
    </xf>
    <xf numFmtId="0" fontId="17" fillId="16" borderId="7" xfId="4" applyFont="1" applyFill="1" applyBorder="1" applyAlignment="1" applyProtection="1">
      <alignment horizontal="center" vertical="center"/>
      <protection locked="0"/>
    </xf>
    <xf numFmtId="0" fontId="17" fillId="16" borderId="5" xfId="4" applyFont="1" applyFill="1" applyBorder="1" applyAlignment="1" applyProtection="1">
      <alignment horizontal="center" vertical="center"/>
      <protection locked="0"/>
    </xf>
    <xf numFmtId="0" fontId="17" fillId="16" borderId="12" xfId="4" applyFont="1" applyFill="1" applyBorder="1" applyAlignment="1" applyProtection="1">
      <alignment horizontal="center" vertical="center"/>
      <protection locked="0"/>
    </xf>
    <xf numFmtId="0" fontId="134" fillId="3" borderId="6" xfId="4" applyFont="1" applyFill="1" applyBorder="1" applyAlignment="1">
      <alignment horizontal="center" vertical="center"/>
    </xf>
    <xf numFmtId="0" fontId="134" fillId="3" borderId="0" xfId="4" applyFont="1" applyFill="1" applyAlignment="1">
      <alignment horizontal="center" vertical="center"/>
    </xf>
    <xf numFmtId="0" fontId="134" fillId="3" borderId="19" xfId="4" applyFont="1" applyFill="1" applyBorder="1" applyAlignment="1">
      <alignment horizontal="center" vertical="center"/>
    </xf>
    <xf numFmtId="0" fontId="55" fillId="0" borderId="2" xfId="4" applyFont="1" applyBorder="1" applyAlignment="1">
      <alignment horizontal="center" vertical="center"/>
    </xf>
    <xf numFmtId="0" fontId="4" fillId="0" borderId="2" xfId="4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/>
    </xf>
    <xf numFmtId="0" fontId="10" fillId="3" borderId="66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11" borderId="29" xfId="0" applyFont="1" applyFill="1" applyBorder="1" applyAlignment="1">
      <alignment horizontal="center" vertical="center"/>
    </xf>
    <xf numFmtId="0" fontId="6" fillId="11" borderId="38" xfId="0" applyFont="1" applyFill="1" applyBorder="1" applyAlignment="1">
      <alignment horizontal="center" vertical="center"/>
    </xf>
    <xf numFmtId="0" fontId="6" fillId="3" borderId="41" xfId="4" applyFont="1" applyFill="1" applyBorder="1" applyAlignment="1">
      <alignment horizontal="center" vertical="center"/>
    </xf>
    <xf numFmtId="0" fontId="6" fillId="3" borderId="42" xfId="4" applyFont="1" applyFill="1" applyBorder="1" applyAlignment="1">
      <alignment horizontal="center" vertical="center"/>
    </xf>
    <xf numFmtId="0" fontId="6" fillId="3" borderId="39" xfId="4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10" borderId="64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6" fillId="3" borderId="14" xfId="4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0" fillId="3" borderId="42" xfId="4" applyFont="1" applyFill="1" applyBorder="1" applyAlignment="1">
      <alignment horizontal="left" vertical="center" wrapText="1"/>
    </xf>
    <xf numFmtId="0" fontId="10" fillId="3" borderId="39" xfId="4" applyFont="1" applyFill="1" applyBorder="1" applyAlignment="1">
      <alignment horizontal="left" vertical="center" wrapText="1"/>
    </xf>
    <xf numFmtId="0" fontId="56" fillId="3" borderId="2" xfId="0" applyFont="1" applyFill="1" applyBorder="1" applyAlignment="1">
      <alignment horizontal="center" vertical="center"/>
    </xf>
    <xf numFmtId="0" fontId="56" fillId="3" borderId="14" xfId="0" applyFont="1" applyFill="1" applyBorder="1" applyAlignment="1">
      <alignment horizontal="center" vertical="center"/>
    </xf>
    <xf numFmtId="0" fontId="7" fillId="10" borderId="4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7" fillId="10" borderId="4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79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/>
    </xf>
    <xf numFmtId="0" fontId="7" fillId="10" borderId="78" xfId="0" applyFont="1" applyFill="1" applyBorder="1" applyAlignment="1">
      <alignment horizontal="center" vertical="center"/>
    </xf>
    <xf numFmtId="0" fontId="7" fillId="10" borderId="44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64" xfId="0" applyFont="1" applyFill="1" applyBorder="1" applyAlignment="1">
      <alignment horizontal="center" vertical="center"/>
    </xf>
    <xf numFmtId="1" fontId="10" fillId="6" borderId="41" xfId="0" applyNumberFormat="1" applyFont="1" applyFill="1" applyBorder="1" applyAlignment="1">
      <alignment horizontal="center" vertical="center"/>
    </xf>
    <xf numFmtId="1" fontId="10" fillId="6" borderId="39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7" fillId="10" borderId="43" xfId="0" applyFont="1" applyFill="1" applyBorder="1" applyAlignment="1">
      <alignment horizontal="center" vertical="center"/>
    </xf>
    <xf numFmtId="0" fontId="7" fillId="10" borderId="31" xfId="0" applyFont="1" applyFill="1" applyBorder="1" applyAlignment="1">
      <alignment horizontal="center" vertical="center"/>
    </xf>
    <xf numFmtId="1" fontId="44" fillId="10" borderId="41" xfId="0" applyNumberFormat="1" applyFont="1" applyFill="1" applyBorder="1" applyAlignment="1">
      <alignment horizontal="center" vertical="center"/>
    </xf>
    <xf numFmtId="1" fontId="44" fillId="10" borderId="39" xfId="0" applyNumberFormat="1" applyFont="1" applyFill="1" applyBorder="1" applyAlignment="1">
      <alignment horizontal="center" vertical="center"/>
    </xf>
    <xf numFmtId="0" fontId="21" fillId="10" borderId="47" xfId="0" applyFont="1" applyFill="1" applyBorder="1" applyAlignment="1">
      <alignment horizontal="center" vertical="center"/>
    </xf>
    <xf numFmtId="0" fontId="21" fillId="10" borderId="49" xfId="0" applyFont="1" applyFill="1" applyBorder="1" applyAlignment="1">
      <alignment horizontal="center" vertical="center"/>
    </xf>
    <xf numFmtId="0" fontId="21" fillId="10" borderId="70" xfId="0" applyFont="1" applyFill="1" applyBorder="1" applyAlignment="1">
      <alignment horizontal="center" vertical="center"/>
    </xf>
    <xf numFmtId="0" fontId="21" fillId="10" borderId="48" xfId="0" applyFont="1" applyFill="1" applyBorder="1" applyAlignment="1">
      <alignment horizontal="center" vertical="center"/>
    </xf>
    <xf numFmtId="0" fontId="21" fillId="10" borderId="69" xfId="0" applyFont="1" applyFill="1" applyBorder="1" applyAlignment="1">
      <alignment horizontal="center" vertical="center"/>
    </xf>
    <xf numFmtId="0" fontId="21" fillId="10" borderId="67" xfId="0" applyFont="1" applyFill="1" applyBorder="1" applyAlignment="1">
      <alignment horizontal="center" vertical="center"/>
    </xf>
    <xf numFmtId="0" fontId="56" fillId="10" borderId="2" xfId="0" applyFont="1" applyFill="1" applyBorder="1" applyAlignment="1">
      <alignment horizontal="center" vertical="center"/>
    </xf>
    <xf numFmtId="0" fontId="56" fillId="10" borderId="1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17" fillId="10" borderId="47" xfId="4" applyFont="1" applyFill="1" applyBorder="1" applyAlignment="1">
      <alignment horizontal="center" vertical="center"/>
    </xf>
    <xf numFmtId="0" fontId="17" fillId="10" borderId="49" xfId="4" applyFont="1" applyFill="1" applyBorder="1" applyAlignment="1">
      <alignment horizontal="center" vertical="center"/>
    </xf>
    <xf numFmtId="0" fontId="22" fillId="10" borderId="22" xfId="4" applyFont="1" applyFill="1" applyBorder="1" applyAlignment="1">
      <alignment horizontal="center" vertical="center"/>
    </xf>
    <xf numFmtId="0" fontId="17" fillId="10" borderId="68" xfId="4" applyFont="1" applyFill="1" applyBorder="1" applyAlignment="1">
      <alignment horizontal="center" vertical="center"/>
    </xf>
    <xf numFmtId="0" fontId="6" fillId="10" borderId="4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4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10" fillId="10" borderId="42" xfId="4" applyFont="1" applyFill="1" applyBorder="1" applyAlignment="1">
      <alignment horizontal="center" vertical="center"/>
    </xf>
    <xf numFmtId="0" fontId="6" fillId="10" borderId="4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10" fillId="10" borderId="39" xfId="4" applyFont="1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0" fillId="10" borderId="36" xfId="4" applyFont="1" applyFill="1" applyBorder="1" applyAlignment="1">
      <alignment horizontal="center" vertical="center"/>
    </xf>
    <xf numFmtId="0" fontId="10" fillId="10" borderId="29" xfId="4" applyFont="1" applyFill="1" applyBorder="1" applyAlignment="1">
      <alignment horizontal="center" vertical="center"/>
    </xf>
    <xf numFmtId="0" fontId="10" fillId="10" borderId="30" xfId="4" applyFont="1" applyFill="1" applyBorder="1" applyAlignment="1">
      <alignment horizontal="center" vertical="center"/>
    </xf>
    <xf numFmtId="0" fontId="10" fillId="10" borderId="47" xfId="4" applyFont="1" applyFill="1" applyBorder="1" applyAlignment="1">
      <alignment horizontal="center" vertical="center"/>
    </xf>
    <xf numFmtId="0" fontId="10" fillId="10" borderId="48" xfId="4" applyFont="1" applyFill="1" applyBorder="1" applyAlignment="1">
      <alignment horizontal="center" vertical="center"/>
    </xf>
    <xf numFmtId="0" fontId="10" fillId="10" borderId="66" xfId="4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10" borderId="41" xfId="4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14" xfId="0" applyFont="1" applyFill="1" applyBorder="1" applyAlignment="1">
      <alignment horizontal="center" vertical="center"/>
    </xf>
    <xf numFmtId="0" fontId="17" fillId="10" borderId="1" xfId="4" applyFont="1" applyFill="1" applyBorder="1" applyAlignment="1">
      <alignment horizontal="center" vertical="center"/>
    </xf>
    <xf numFmtId="0" fontId="17" fillId="10" borderId="2" xfId="4" applyFont="1" applyFill="1" applyBorder="1" applyAlignment="1">
      <alignment horizontal="center" vertical="center"/>
    </xf>
    <xf numFmtId="0" fontId="22" fillId="10" borderId="1" xfId="4" applyFont="1" applyFill="1" applyBorder="1" applyAlignment="1">
      <alignment horizontal="center" vertical="center"/>
    </xf>
    <xf numFmtId="0" fontId="51" fillId="4" borderId="6" xfId="0" applyFont="1" applyFill="1" applyBorder="1" applyAlignment="1">
      <alignment horizontal="center" vertical="center"/>
    </xf>
    <xf numFmtId="0" fontId="51" fillId="4" borderId="0" xfId="0" applyFont="1" applyFill="1" applyAlignment="1">
      <alignment horizontal="center" vertical="center"/>
    </xf>
    <xf numFmtId="0" fontId="4" fillId="0" borderId="21" xfId="0" applyFont="1" applyBorder="1" applyAlignment="1">
      <alignment horizontal="center" vertical="top"/>
    </xf>
    <xf numFmtId="0" fontId="32" fillId="8" borderId="7" xfId="0" applyFont="1" applyFill="1" applyBorder="1" applyAlignment="1">
      <alignment horizontal="center" vertical="top" wrapText="1"/>
    </xf>
    <xf numFmtId="0" fontId="32" fillId="8" borderId="5" xfId="0" applyFont="1" applyFill="1" applyBorder="1" applyAlignment="1">
      <alignment horizontal="center" vertical="top" wrapText="1"/>
    </xf>
    <xf numFmtId="0" fontId="32" fillId="8" borderId="1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center"/>
    </xf>
    <xf numFmtId="0" fontId="17" fillId="0" borderId="36" xfId="4" applyFont="1" applyBorder="1" applyAlignment="1">
      <alignment horizontal="center"/>
    </xf>
    <xf numFmtId="0" fontId="17" fillId="0" borderId="29" xfId="4" applyFont="1" applyBorder="1" applyAlignment="1">
      <alignment horizontal="center"/>
    </xf>
    <xf numFmtId="0" fontId="17" fillId="0" borderId="77" xfId="4" applyFont="1" applyBorder="1" applyAlignment="1">
      <alignment horizontal="center"/>
    </xf>
    <xf numFmtId="0" fontId="16" fillId="0" borderId="7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44" fillId="0" borderId="47" xfId="6" applyFont="1" applyBorder="1" applyAlignment="1">
      <alignment horizontal="center"/>
    </xf>
    <xf numFmtId="0" fontId="44" fillId="0" borderId="48" xfId="6" applyFont="1" applyBorder="1" applyAlignment="1">
      <alignment horizontal="center"/>
    </xf>
    <xf numFmtId="0" fontId="44" fillId="0" borderId="66" xfId="6" applyFont="1" applyBorder="1" applyAlignment="1">
      <alignment horizontal="center"/>
    </xf>
    <xf numFmtId="0" fontId="71" fillId="0" borderId="0" xfId="6" applyFont="1" applyAlignment="1">
      <alignment horizontal="center" vertical="center"/>
    </xf>
    <xf numFmtId="0" fontId="17" fillId="0" borderId="2" xfId="4" applyFont="1" applyBorder="1" applyAlignment="1">
      <alignment horizontal="center" vertical="center"/>
    </xf>
    <xf numFmtId="0" fontId="21" fillId="0" borderId="2" xfId="6" applyFont="1" applyBorder="1" applyAlignment="1">
      <alignment horizontal="center" vertical="center"/>
    </xf>
    <xf numFmtId="0" fontId="72" fillId="0" borderId="0" xfId="6" applyFont="1" applyAlignment="1">
      <alignment horizontal="center"/>
    </xf>
    <xf numFmtId="0" fontId="21" fillId="0" borderId="2" xfId="6" applyFont="1" applyBorder="1" applyAlignment="1">
      <alignment horizontal="center" vertical="center" wrapText="1"/>
    </xf>
    <xf numFmtId="0" fontId="72" fillId="0" borderId="10" xfId="6" applyFont="1" applyBorder="1" applyAlignment="1">
      <alignment horizontal="center"/>
    </xf>
    <xf numFmtId="0" fontId="4" fillId="8" borderId="7" xfId="6" applyFont="1" applyFill="1" applyBorder="1" applyAlignment="1">
      <alignment horizontal="center" vertical="center"/>
    </xf>
    <xf numFmtId="0" fontId="4" fillId="8" borderId="5" xfId="6" applyFont="1" applyFill="1" applyBorder="1" applyAlignment="1">
      <alignment horizontal="center" vertical="center"/>
    </xf>
    <xf numFmtId="0" fontId="4" fillId="8" borderId="12" xfId="6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4" fillId="8" borderId="2" xfId="6" applyFont="1" applyFill="1" applyBorder="1" applyAlignment="1">
      <alignment horizontal="center" vertical="center"/>
    </xf>
    <xf numFmtId="0" fontId="84" fillId="8" borderId="76" xfId="0" applyFont="1" applyFill="1" applyBorder="1" applyAlignment="1">
      <alignment horizontal="center"/>
    </xf>
    <xf numFmtId="0" fontId="84" fillId="8" borderId="54" xfId="0" applyFont="1" applyFill="1" applyBorder="1" applyAlignment="1">
      <alignment horizontal="center"/>
    </xf>
    <xf numFmtId="0" fontId="84" fillId="8" borderId="55" xfId="0" applyFont="1" applyFill="1" applyBorder="1" applyAlignment="1">
      <alignment horizontal="center"/>
    </xf>
    <xf numFmtId="0" fontId="84" fillId="8" borderId="53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0" fillId="0" borderId="47" xfId="6" applyFont="1" applyBorder="1" applyAlignment="1">
      <alignment horizontal="center"/>
    </xf>
    <xf numFmtId="0" fontId="50" fillId="0" borderId="48" xfId="6" applyFont="1" applyBorder="1" applyAlignment="1">
      <alignment horizontal="center"/>
    </xf>
    <xf numFmtId="0" fontId="50" fillId="0" borderId="66" xfId="6" applyFont="1" applyBorder="1" applyAlignment="1">
      <alignment horizontal="center"/>
    </xf>
    <xf numFmtId="0" fontId="44" fillId="3" borderId="15" xfId="4" applyFont="1" applyFill="1" applyBorder="1" applyAlignment="1" applyProtection="1">
      <alignment horizontal="center"/>
      <protection locked="0"/>
    </xf>
    <xf numFmtId="0" fontId="44" fillId="3" borderId="16" xfId="4" applyFont="1" applyFill="1" applyBorder="1" applyAlignment="1" applyProtection="1">
      <alignment horizontal="center"/>
      <protection locked="0"/>
    </xf>
    <xf numFmtId="0" fontId="17" fillId="0" borderId="7" xfId="4" applyFont="1" applyBorder="1" applyAlignment="1">
      <alignment horizontal="center"/>
    </xf>
    <xf numFmtId="0" fontId="17" fillId="0" borderId="5" xfId="4" applyFont="1" applyBorder="1" applyAlignment="1">
      <alignment horizontal="center"/>
    </xf>
    <xf numFmtId="0" fontId="17" fillId="0" borderId="12" xfId="4" applyFont="1" applyBorder="1" applyAlignment="1">
      <alignment horizontal="center"/>
    </xf>
    <xf numFmtId="0" fontId="21" fillId="0" borderId="7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7" fillId="0" borderId="2" xfId="4" applyFont="1" applyBorder="1" applyAlignment="1">
      <alignment horizontal="center"/>
    </xf>
    <xf numFmtId="0" fontId="21" fillId="0" borderId="3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top" wrapText="1"/>
    </xf>
    <xf numFmtId="0" fontId="4" fillId="13" borderId="0" xfId="0" applyFont="1" applyFill="1" applyAlignment="1">
      <alignment horizontal="center" vertical="top" wrapText="1"/>
    </xf>
    <xf numFmtId="0" fontId="4" fillId="13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6" fillId="0" borderId="7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50" fillId="0" borderId="2" xfId="0" applyFont="1" applyBorder="1" applyAlignment="1">
      <alignment horizontal="center"/>
    </xf>
    <xf numFmtId="0" fontId="4" fillId="13" borderId="41" xfId="0" applyFont="1" applyFill="1" applyBorder="1" applyAlignment="1">
      <alignment horizontal="center" vertical="top" wrapText="1"/>
    </xf>
    <xf numFmtId="0" fontId="4" fillId="13" borderId="42" xfId="0" applyFont="1" applyFill="1" applyBorder="1" applyAlignment="1">
      <alignment horizontal="center" vertical="top" wrapText="1"/>
    </xf>
    <xf numFmtId="0" fontId="4" fillId="13" borderId="39" xfId="0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top" wrapText="1"/>
    </xf>
    <xf numFmtId="0" fontId="89" fillId="0" borderId="0" xfId="2" applyFont="1" applyAlignment="1">
      <alignment horizontal="center" vertical="center"/>
    </xf>
    <xf numFmtId="0" fontId="37" fillId="0" borderId="31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9" fontId="32" fillId="0" borderId="31" xfId="0" quotePrefix="1" applyNumberFormat="1" applyFont="1" applyBorder="1" applyAlignment="1">
      <alignment horizontal="center" vertical="center"/>
    </xf>
    <xf numFmtId="9" fontId="32" fillId="0" borderId="3" xfId="0" quotePrefix="1" applyNumberFormat="1" applyFont="1" applyBorder="1" applyAlignment="1">
      <alignment horizontal="center" vertical="center"/>
    </xf>
    <xf numFmtId="9" fontId="32" fillId="0" borderId="18" xfId="0" quotePrefix="1" applyNumberFormat="1" applyFont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37" fillId="0" borderId="0" xfId="2" applyFont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7" fillId="0" borderId="8" xfId="2" applyFont="1" applyBorder="1" applyAlignment="1">
      <alignment horizontal="center" vertical="center"/>
    </xf>
    <xf numFmtId="9" fontId="41" fillId="0" borderId="31" xfId="0" quotePrefix="1" applyNumberFormat="1" applyFont="1" applyBorder="1" applyAlignment="1">
      <alignment horizontal="center" vertical="center"/>
    </xf>
    <xf numFmtId="9" fontId="41" fillId="0" borderId="3" xfId="0" quotePrefix="1" applyNumberFormat="1" applyFont="1" applyBorder="1" applyAlignment="1">
      <alignment horizontal="center" vertical="center"/>
    </xf>
    <xf numFmtId="9" fontId="41" fillId="0" borderId="18" xfId="0" quotePrefix="1" applyNumberFormat="1" applyFont="1" applyBorder="1" applyAlignment="1">
      <alignment horizontal="center" vertical="center"/>
    </xf>
    <xf numFmtId="0" fontId="37" fillId="0" borderId="33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35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2" borderId="31" xfId="0" applyFont="1" applyFill="1" applyBorder="1" applyAlignment="1">
      <alignment horizontal="center" vertical="center"/>
    </xf>
    <xf numFmtId="0" fontId="32" fillId="2" borderId="3" xfId="0" applyFont="1" applyFill="1" applyBorder="1" applyAlignment="1">
      <alignment horizontal="center" vertical="center"/>
    </xf>
    <xf numFmtId="0" fontId="32" fillId="2" borderId="18" xfId="0" applyFont="1" applyFill="1" applyBorder="1" applyAlignment="1">
      <alignment horizontal="center" vertical="center"/>
    </xf>
    <xf numFmtId="0" fontId="32" fillId="3" borderId="31" xfId="0" applyFont="1" applyFill="1" applyBorder="1" applyAlignment="1">
      <alignment horizontal="center" vertical="center"/>
    </xf>
    <xf numFmtId="0" fontId="32" fillId="3" borderId="18" xfId="0" applyFont="1" applyFill="1" applyBorder="1" applyAlignment="1">
      <alignment horizontal="center" vertical="center"/>
    </xf>
    <xf numFmtId="0" fontId="32" fillId="2" borderId="31" xfId="0" applyFont="1" applyFill="1" applyBorder="1" applyAlignment="1">
      <alignment horizontal="center" vertical="center" wrapText="1"/>
    </xf>
    <xf numFmtId="0" fontId="37" fillId="0" borderId="33" xfId="2" applyFont="1" applyBorder="1" applyAlignment="1">
      <alignment horizontal="center" vertical="center" wrapText="1"/>
    </xf>
    <xf numFmtId="0" fontId="37" fillId="0" borderId="34" xfId="2" applyFont="1" applyBorder="1" applyAlignment="1">
      <alignment horizontal="center" vertical="center" wrapText="1"/>
    </xf>
    <xf numFmtId="0" fontId="37" fillId="0" borderId="8" xfId="2" applyFont="1" applyBorder="1" applyAlignment="1">
      <alignment horizontal="center" vertical="center" wrapText="1"/>
    </xf>
    <xf numFmtId="0" fontId="37" fillId="0" borderId="13" xfId="2" applyFont="1" applyBorder="1" applyAlignment="1">
      <alignment horizontal="center" vertical="center" wrapText="1"/>
    </xf>
    <xf numFmtId="0" fontId="89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center" wrapText="1"/>
    </xf>
    <xf numFmtId="0" fontId="37" fillId="0" borderId="7" xfId="2" applyFont="1" applyBorder="1" applyAlignment="1">
      <alignment horizontal="center"/>
    </xf>
    <xf numFmtId="0" fontId="37" fillId="0" borderId="12" xfId="2" applyFont="1" applyBorder="1" applyAlignment="1">
      <alignment horizontal="center"/>
    </xf>
    <xf numFmtId="0" fontId="32" fillId="0" borderId="7" xfId="2" applyFont="1" applyBorder="1" applyAlignment="1">
      <alignment horizontal="center"/>
    </xf>
    <xf numFmtId="0" fontId="32" fillId="0" borderId="12" xfId="2" applyFont="1" applyBorder="1" applyAlignment="1">
      <alignment horizontal="center"/>
    </xf>
    <xf numFmtId="0" fontId="37" fillId="0" borderId="11" xfId="2" applyFont="1" applyBorder="1" applyAlignment="1">
      <alignment horizontal="center" vertical="center" wrapText="1"/>
    </xf>
    <xf numFmtId="0" fontId="37" fillId="0" borderId="35" xfId="2" applyFont="1" applyBorder="1" applyAlignment="1">
      <alignment horizontal="center" vertical="center" wrapText="1"/>
    </xf>
    <xf numFmtId="0" fontId="36" fillId="0" borderId="0" xfId="2" applyFont="1" applyAlignment="1">
      <alignment horizontal="center"/>
    </xf>
    <xf numFmtId="0" fontId="43" fillId="0" borderId="0" xfId="2" applyFont="1" applyAlignment="1">
      <alignment horizontal="center"/>
    </xf>
    <xf numFmtId="0" fontId="91" fillId="0" borderId="0" xfId="0" applyFont="1" applyAlignment="1">
      <alignment horizontal="center" vertical="center" wrapText="1"/>
    </xf>
    <xf numFmtId="0" fontId="37" fillId="0" borderId="31" xfId="2" applyFont="1" applyBorder="1" applyAlignment="1">
      <alignment horizontal="center" vertical="center"/>
    </xf>
    <xf numFmtId="0" fontId="37" fillId="0" borderId="18" xfId="2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75" fillId="0" borderId="35" xfId="0" applyFont="1" applyBorder="1" applyAlignment="1" applyProtection="1">
      <alignment horizontal="center" vertical="center"/>
      <protection locked="0"/>
    </xf>
    <xf numFmtId="0" fontId="75" fillId="0" borderId="18" xfId="0" applyFont="1" applyBorder="1" applyAlignment="1" applyProtection="1">
      <alignment horizontal="center" vertical="center"/>
      <protection locked="0"/>
    </xf>
    <xf numFmtId="0" fontId="75" fillId="0" borderId="12" xfId="0" applyFont="1" applyBorder="1" applyAlignment="1" applyProtection="1">
      <alignment horizontal="center" vertical="center"/>
      <protection locked="0"/>
    </xf>
    <xf numFmtId="0" fontId="75" fillId="0" borderId="2" xfId="0" applyFont="1" applyBorder="1" applyAlignment="1" applyProtection="1">
      <alignment horizontal="center" vertical="center"/>
      <protection locked="0"/>
    </xf>
    <xf numFmtId="0" fontId="63" fillId="0" borderId="0" xfId="7" applyFont="1" applyAlignment="1">
      <alignment horizontal="left"/>
    </xf>
    <xf numFmtId="0" fontId="32" fillId="3" borderId="0" xfId="2" applyFont="1" applyFill="1" applyAlignment="1" applyProtection="1">
      <alignment horizontal="left" vertical="center"/>
      <protection locked="0"/>
    </xf>
    <xf numFmtId="0" fontId="37" fillId="0" borderId="2" xfId="0" applyFont="1" applyBorder="1" applyAlignment="1">
      <alignment horizontal="center" vertical="center"/>
    </xf>
    <xf numFmtId="0" fontId="37" fillId="0" borderId="2" xfId="2" applyFont="1" applyBorder="1" applyAlignment="1">
      <alignment horizontal="center" vertical="center"/>
    </xf>
    <xf numFmtId="0" fontId="32" fillId="3" borderId="31" xfId="0" applyFont="1" applyFill="1" applyBorder="1" applyAlignment="1">
      <alignment horizontal="center" vertical="center" wrapText="1"/>
    </xf>
    <xf numFmtId="0" fontId="32" fillId="3" borderId="3" xfId="0" applyFont="1" applyFill="1" applyBorder="1" applyAlignment="1">
      <alignment horizontal="center" vertical="center" wrapText="1"/>
    </xf>
    <xf numFmtId="0" fontId="32" fillId="3" borderId="18" xfId="0" applyFont="1" applyFill="1" applyBorder="1" applyAlignment="1">
      <alignment horizontal="center" vertical="center" wrapText="1"/>
    </xf>
    <xf numFmtId="0" fontId="63" fillId="3" borderId="7" xfId="2" applyFont="1" applyFill="1" applyBorder="1" applyAlignment="1" applyProtection="1">
      <alignment horizontal="left" vertical="center"/>
      <protection locked="0"/>
    </xf>
    <xf numFmtId="0" fontId="63" fillId="3" borderId="5" xfId="2" applyFont="1" applyFill="1" applyBorder="1" applyAlignment="1" applyProtection="1">
      <alignment horizontal="left" vertical="center"/>
      <protection locked="0"/>
    </xf>
    <xf numFmtId="0" fontId="63" fillId="3" borderId="12" xfId="2" applyFont="1" applyFill="1" applyBorder="1" applyAlignment="1" applyProtection="1">
      <alignment horizontal="left" vertical="center"/>
      <protection locked="0"/>
    </xf>
    <xf numFmtId="0" fontId="37" fillId="0" borderId="31" xfId="0" applyFont="1" applyBorder="1" applyAlignment="1">
      <alignment horizontal="center" vertical="top"/>
    </xf>
    <xf numFmtId="0" fontId="37" fillId="0" borderId="3" xfId="0" applyFont="1" applyBorder="1" applyAlignment="1">
      <alignment horizontal="center" vertical="top"/>
    </xf>
    <xf numFmtId="0" fontId="37" fillId="0" borderId="18" xfId="0" applyFont="1" applyBorder="1" applyAlignment="1">
      <alignment horizontal="center" vertical="top"/>
    </xf>
    <xf numFmtId="0" fontId="37" fillId="0" borderId="31" xfId="0" applyFont="1" applyBorder="1" applyAlignment="1">
      <alignment horizontal="center" vertical="top" wrapText="1"/>
    </xf>
    <xf numFmtId="0" fontId="37" fillId="0" borderId="3" xfId="0" applyFont="1" applyBorder="1" applyAlignment="1">
      <alignment horizontal="center" vertical="top" wrapText="1"/>
    </xf>
    <xf numFmtId="0" fontId="37" fillId="0" borderId="18" xfId="0" applyFont="1" applyBorder="1" applyAlignment="1">
      <alignment horizontal="center" vertical="top" wrapText="1"/>
    </xf>
    <xf numFmtId="0" fontId="32" fillId="3" borderId="0" xfId="2" applyFont="1" applyFill="1" applyProtection="1">
      <protection locked="0"/>
    </xf>
    <xf numFmtId="0" fontId="37" fillId="0" borderId="2" xfId="2" applyFont="1" applyBorder="1" applyAlignment="1">
      <alignment horizontal="center" vertical="top"/>
    </xf>
    <xf numFmtId="0" fontId="63" fillId="3" borderId="0" xfId="2" applyFont="1" applyFill="1" applyAlignment="1" applyProtection="1">
      <alignment horizontal="left" vertical="center"/>
      <protection locked="0"/>
    </xf>
    <xf numFmtId="0" fontId="37" fillId="0" borderId="2" xfId="0" applyFont="1" applyBorder="1" applyAlignment="1">
      <alignment horizontal="center" vertical="top"/>
    </xf>
    <xf numFmtId="0" fontId="37" fillId="0" borderId="7" xfId="0" applyFont="1" applyBorder="1" applyAlignment="1">
      <alignment horizontal="center" vertical="top"/>
    </xf>
    <xf numFmtId="0" fontId="37" fillId="0" borderId="5" xfId="0" applyFont="1" applyBorder="1" applyAlignment="1">
      <alignment horizontal="center" vertical="top"/>
    </xf>
    <xf numFmtId="0" fontId="37" fillId="0" borderId="12" xfId="0" applyFont="1" applyBorder="1" applyAlignment="1">
      <alignment horizontal="center" vertical="top"/>
    </xf>
    <xf numFmtId="164" fontId="32" fillId="0" borderId="32" xfId="2" applyNumberFormat="1" applyFont="1" applyBorder="1" applyAlignment="1">
      <alignment horizontal="center" vertical="center"/>
    </xf>
    <xf numFmtId="0" fontId="37" fillId="0" borderId="33" xfId="2" applyFont="1" applyBorder="1" applyAlignment="1">
      <alignment horizontal="center" vertical="center"/>
    </xf>
    <xf numFmtId="0" fontId="37" fillId="0" borderId="32" xfId="2" applyFont="1" applyBorder="1" applyAlignment="1">
      <alignment horizontal="center" vertical="center"/>
    </xf>
    <xf numFmtId="0" fontId="37" fillId="0" borderId="11" xfId="2" applyFont="1" applyBorder="1" applyAlignment="1">
      <alignment horizontal="center" vertical="center"/>
    </xf>
    <xf numFmtId="0" fontId="37" fillId="0" borderId="10" xfId="2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63" fillId="3" borderId="0" xfId="0" applyFont="1" applyFill="1" applyAlignment="1" applyProtection="1">
      <alignment horizontal="left" vertical="center"/>
      <protection locked="0"/>
    </xf>
    <xf numFmtId="164" fontId="63" fillId="3" borderId="7" xfId="2" applyNumberFormat="1" applyFont="1" applyFill="1" applyBorder="1" applyAlignment="1" applyProtection="1">
      <alignment horizontal="center" vertical="center"/>
      <protection locked="0"/>
    </xf>
    <xf numFmtId="164" fontId="63" fillId="3" borderId="12" xfId="2" applyNumberFormat="1" applyFont="1" applyFill="1" applyBorder="1" applyAlignment="1" applyProtection="1">
      <alignment horizontal="center" vertical="center"/>
      <protection locked="0"/>
    </xf>
    <xf numFmtId="164" fontId="32" fillId="0" borderId="5" xfId="2" applyNumberFormat="1" applyFont="1" applyBorder="1" applyAlignment="1">
      <alignment horizontal="center" vertical="center"/>
    </xf>
    <xf numFmtId="164" fontId="32" fillId="0" borderId="12" xfId="2" applyNumberFormat="1" applyFont="1" applyBorder="1" applyAlignment="1">
      <alignment horizontal="center" vertical="center"/>
    </xf>
    <xf numFmtId="0" fontId="32" fillId="0" borderId="0" xfId="2" applyFont="1" applyAlignment="1">
      <alignment horizontal="left" vertical="center" wrapText="1"/>
    </xf>
    <xf numFmtId="0" fontId="32" fillId="3" borderId="0" xfId="2" applyFont="1" applyFill="1" applyAlignment="1" applyProtection="1">
      <alignment horizontal="left"/>
      <protection locked="0"/>
    </xf>
    <xf numFmtId="0" fontId="37" fillId="0" borderId="3" xfId="2" applyFont="1" applyBorder="1" applyAlignment="1">
      <alignment horizontal="center" vertical="center"/>
    </xf>
    <xf numFmtId="0" fontId="32" fillId="3" borderId="0" xfId="0" applyFont="1" applyFill="1" applyAlignment="1">
      <alignment horizontal="left"/>
    </xf>
    <xf numFmtId="164" fontId="50" fillId="0" borderId="2" xfId="0" applyNumberFormat="1" applyFont="1" applyBorder="1" applyAlignment="1">
      <alignment horizontal="center" vertical="center"/>
    </xf>
    <xf numFmtId="0" fontId="57" fillId="0" borderId="13" xfId="2" applyFont="1" applyBorder="1" applyAlignment="1">
      <alignment horizontal="center" vertical="center"/>
    </xf>
    <xf numFmtId="0" fontId="50" fillId="3" borderId="2" xfId="0" applyFont="1" applyFill="1" applyBorder="1" applyAlignment="1">
      <alignment horizontal="center" vertical="center"/>
    </xf>
    <xf numFmtId="2" fontId="50" fillId="0" borderId="2" xfId="0" applyNumberFormat="1" applyFont="1" applyBorder="1" applyAlignment="1">
      <alignment horizontal="center" vertical="center"/>
    </xf>
    <xf numFmtId="0" fontId="50" fillId="3" borderId="31" xfId="0" applyFont="1" applyFill="1" applyBorder="1" applyAlignment="1">
      <alignment horizontal="center" vertical="center"/>
    </xf>
    <xf numFmtId="0" fontId="50" fillId="3" borderId="18" xfId="0" applyFont="1" applyFill="1" applyBorder="1" applyAlignment="1">
      <alignment horizontal="center" vertical="center"/>
    </xf>
    <xf numFmtId="0" fontId="61" fillId="0" borderId="3" xfId="0" applyFont="1" applyBorder="1" applyAlignment="1">
      <alignment horizontal="center" vertical="center" wrapText="1"/>
    </xf>
    <xf numFmtId="0" fontId="61" fillId="0" borderId="18" xfId="0" applyFont="1" applyBorder="1" applyAlignment="1">
      <alignment horizontal="center" vertical="center" wrapText="1"/>
    </xf>
    <xf numFmtId="0" fontId="44" fillId="0" borderId="31" xfId="2" applyFont="1" applyBorder="1" applyAlignment="1">
      <alignment horizontal="center" vertical="center" wrapText="1"/>
    </xf>
    <xf numFmtId="0" fontId="44" fillId="0" borderId="18" xfId="2" applyFont="1" applyBorder="1" applyAlignment="1">
      <alignment horizontal="center" vertical="center" wrapText="1"/>
    </xf>
    <xf numFmtId="0" fontId="10" fillId="0" borderId="31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1" fillId="0" borderId="53" xfId="0" applyFont="1" applyBorder="1" applyAlignment="1">
      <alignment horizontal="center"/>
    </xf>
    <xf numFmtId="0" fontId="11" fillId="0" borderId="54" xfId="0" applyFont="1" applyBorder="1" applyAlignment="1">
      <alignment horizontal="center"/>
    </xf>
    <xf numFmtId="0" fontId="11" fillId="0" borderId="55" xfId="0" applyFont="1" applyBorder="1" applyAlignment="1">
      <alignment horizontal="center"/>
    </xf>
    <xf numFmtId="0" fontId="11" fillId="0" borderId="63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17" fillId="0" borderId="0" xfId="4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1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3" fillId="0" borderId="36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28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128" fillId="0" borderId="2" xfId="0" applyFont="1" applyBorder="1" applyAlignment="1">
      <alignment horizontal="left" vertical="center"/>
    </xf>
    <xf numFmtId="0" fontId="50" fillId="0" borderId="2" xfId="0" applyFont="1" applyBorder="1" applyAlignment="1">
      <alignment vertical="center"/>
    </xf>
    <xf numFmtId="0" fontId="44" fillId="0" borderId="11" xfId="2" applyFont="1" applyBorder="1" applyAlignment="1">
      <alignment horizontal="center" vertical="center"/>
    </xf>
    <xf numFmtId="0" fontId="44" fillId="0" borderId="10" xfId="2" applyFont="1" applyBorder="1" applyAlignment="1">
      <alignment horizontal="center" vertical="center"/>
    </xf>
    <xf numFmtId="0" fontId="44" fillId="0" borderId="35" xfId="2" applyFont="1" applyBorder="1" applyAlignment="1">
      <alignment horizontal="center" vertical="center"/>
    </xf>
    <xf numFmtId="0" fontId="50" fillId="0" borderId="31" xfId="0" applyFont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4" fillId="0" borderId="18" xfId="2" applyFont="1" applyBorder="1" applyAlignment="1">
      <alignment horizontal="center" vertical="center"/>
    </xf>
    <xf numFmtId="0" fontId="14" fillId="3" borderId="33" xfId="2" applyFont="1" applyFill="1" applyBorder="1" applyAlignment="1">
      <alignment horizontal="center" vertical="center"/>
    </xf>
    <xf numFmtId="0" fontId="14" fillId="3" borderId="8" xfId="2" applyFont="1" applyFill="1" applyBorder="1" applyAlignment="1">
      <alignment horizontal="center" vertical="center"/>
    </xf>
    <xf numFmtId="0" fontId="14" fillId="3" borderId="11" xfId="2" applyFont="1" applyFill="1" applyBorder="1" applyAlignment="1">
      <alignment horizontal="center" vertical="center"/>
    </xf>
    <xf numFmtId="1" fontId="14" fillId="3" borderId="33" xfId="2" applyNumberFormat="1" applyFont="1" applyFill="1" applyBorder="1" applyAlignment="1">
      <alignment horizontal="center" vertical="center"/>
    </xf>
    <xf numFmtId="1" fontId="14" fillId="3" borderId="8" xfId="2" applyNumberFormat="1" applyFont="1" applyFill="1" applyBorder="1" applyAlignment="1">
      <alignment horizontal="center" vertical="center"/>
    </xf>
    <xf numFmtId="1" fontId="14" fillId="3" borderId="11" xfId="2" applyNumberFormat="1" applyFont="1" applyFill="1" applyBorder="1" applyAlignment="1">
      <alignment horizontal="center" vertical="center"/>
    </xf>
    <xf numFmtId="0" fontId="14" fillId="3" borderId="31" xfId="2" applyFont="1" applyFill="1" applyBorder="1" applyAlignment="1">
      <alignment horizontal="center" vertical="center"/>
    </xf>
    <xf numFmtId="0" fontId="14" fillId="3" borderId="18" xfId="2" applyFont="1" applyFill="1" applyBorder="1" applyAlignment="1">
      <alignment horizontal="center" vertical="center"/>
    </xf>
    <xf numFmtId="171" fontId="32" fillId="0" borderId="0" xfId="2" applyNumberFormat="1" applyFont="1" applyAlignment="1">
      <alignment vertical="center"/>
    </xf>
    <xf numFmtId="171" fontId="32" fillId="0" borderId="0" xfId="2" applyNumberFormat="1" applyFont="1" applyAlignment="1">
      <alignment horizontal="center" vertical="center"/>
    </xf>
    <xf numFmtId="0" fontId="16" fillId="0" borderId="2" xfId="2" applyFont="1" applyBorder="1" applyAlignment="1">
      <alignment horizontal="center" vertical="top" wrapText="1"/>
    </xf>
    <xf numFmtId="0" fontId="37" fillId="0" borderId="2" xfId="0" applyFont="1" applyBorder="1" applyAlignment="1">
      <alignment horizontal="center" vertical="top" wrapText="1"/>
    </xf>
    <xf numFmtId="0" fontId="32" fillId="3" borderId="2" xfId="0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171" fontId="32" fillId="0" borderId="0" xfId="2" applyNumberFormat="1" applyFont="1"/>
    <xf numFmtId="0" fontId="37" fillId="0" borderId="33" xfId="2" applyFont="1" applyBorder="1" applyAlignment="1">
      <alignment horizontal="center" vertical="top"/>
    </xf>
    <xf numFmtId="0" fontId="37" fillId="0" borderId="32" xfId="2" applyFont="1" applyBorder="1" applyAlignment="1">
      <alignment horizontal="center" vertical="top"/>
    </xf>
    <xf numFmtId="0" fontId="37" fillId="0" borderId="11" xfId="2" applyFont="1" applyBorder="1" applyAlignment="1">
      <alignment horizontal="center" vertical="top"/>
    </xf>
    <xf numFmtId="0" fontId="37" fillId="0" borderId="10" xfId="2" applyFont="1" applyBorder="1" applyAlignment="1">
      <alignment horizontal="center" vertical="top"/>
    </xf>
    <xf numFmtId="1" fontId="35" fillId="0" borderId="0" xfId="2" applyNumberFormat="1" applyFont="1" applyAlignment="1" applyProtection="1">
      <alignment horizontal="center" vertical="center"/>
      <protection locked="0"/>
    </xf>
    <xf numFmtId="0" fontId="16" fillId="0" borderId="7" xfId="2" applyFont="1" applyBorder="1" applyAlignment="1">
      <alignment horizontal="center" vertical="top" wrapText="1"/>
    </xf>
    <xf numFmtId="2" fontId="4" fillId="0" borderId="7" xfId="0" applyNumberFormat="1" applyFont="1" applyBorder="1" applyAlignment="1">
      <alignment horizontal="center" vertical="center"/>
    </xf>
    <xf numFmtId="0" fontId="16" fillId="0" borderId="0" xfId="2" applyFont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32" fillId="0" borderId="0" xfId="0" applyFont="1" applyAlignment="1" applyProtection="1">
      <alignment horizontal="left" vertical="center" wrapText="1"/>
      <protection locked="0"/>
    </xf>
    <xf numFmtId="165" fontId="32" fillId="0" borderId="31" xfId="0" applyNumberFormat="1" applyFont="1" applyBorder="1" applyAlignment="1">
      <alignment horizontal="center" vertical="center" wrapText="1"/>
    </xf>
    <xf numFmtId="165" fontId="32" fillId="0" borderId="3" xfId="0" applyNumberFormat="1" applyFont="1" applyBorder="1" applyAlignment="1">
      <alignment horizontal="center" vertical="center" wrapText="1"/>
    </xf>
    <xf numFmtId="165" fontId="32" fillId="0" borderId="18" xfId="0" applyNumberFormat="1" applyFont="1" applyBorder="1" applyAlignment="1">
      <alignment horizontal="center" vertical="center" wrapText="1"/>
    </xf>
    <xf numFmtId="0" fontId="37" fillId="0" borderId="33" xfId="2" applyFont="1" applyBorder="1" applyAlignment="1">
      <alignment horizontal="center" vertical="top" wrapText="1"/>
    </xf>
    <xf numFmtId="0" fontId="37" fillId="0" borderId="34" xfId="2" applyFont="1" applyBorder="1" applyAlignment="1">
      <alignment horizontal="center" vertical="top" wrapText="1"/>
    </xf>
    <xf numFmtId="0" fontId="37" fillId="0" borderId="11" xfId="2" applyFont="1" applyBorder="1" applyAlignment="1">
      <alignment horizontal="center" vertical="top" wrapText="1"/>
    </xf>
    <xf numFmtId="0" fontId="37" fillId="0" borderId="35" xfId="2" applyFont="1" applyBorder="1" applyAlignment="1">
      <alignment horizontal="center" vertical="top" wrapText="1"/>
    </xf>
    <xf numFmtId="0" fontId="37" fillId="0" borderId="31" xfId="2" applyFont="1" applyBorder="1" applyAlignment="1">
      <alignment horizontal="center" vertical="top"/>
    </xf>
    <xf numFmtId="0" fontId="37" fillId="0" borderId="18" xfId="2" applyFont="1" applyBorder="1" applyAlignment="1">
      <alignment horizontal="center" vertical="top"/>
    </xf>
    <xf numFmtId="0" fontId="32" fillId="0" borderId="7" xfId="2" applyFont="1" applyBorder="1" applyAlignment="1">
      <alignment horizontal="left" vertical="center"/>
    </xf>
    <xf numFmtId="0" fontId="32" fillId="0" borderId="5" xfId="2" applyFont="1" applyBorder="1" applyAlignment="1">
      <alignment horizontal="left" vertical="center"/>
    </xf>
    <xf numFmtId="0" fontId="61" fillId="0" borderId="5" xfId="0" applyFont="1" applyBorder="1" applyAlignment="1">
      <alignment horizontal="left"/>
    </xf>
    <xf numFmtId="0" fontId="61" fillId="0" borderId="12" xfId="0" applyFont="1" applyBorder="1" applyAlignment="1">
      <alignment horizontal="left"/>
    </xf>
    <xf numFmtId="0" fontId="61" fillId="0" borderId="5" xfId="0" applyFont="1" applyBorder="1" applyAlignment="1" applyProtection="1">
      <alignment horizontal="center"/>
      <protection locked="0"/>
    </xf>
    <xf numFmtId="0" fontId="61" fillId="0" borderId="12" xfId="0" applyFont="1" applyBorder="1" applyAlignment="1" applyProtection="1">
      <alignment horizontal="center"/>
      <protection locked="0"/>
    </xf>
    <xf numFmtId="1" fontId="42" fillId="0" borderId="0" xfId="2" applyNumberFormat="1" applyFont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" fillId="0" borderId="0" xfId="2" applyAlignment="1">
      <alignment horizontal="center"/>
    </xf>
    <xf numFmtId="0" fontId="61" fillId="0" borderId="7" xfId="2" applyFont="1" applyBorder="1" applyAlignment="1">
      <alignment horizontal="center"/>
    </xf>
    <xf numFmtId="0" fontId="61" fillId="0" borderId="12" xfId="2" applyFont="1" applyBorder="1" applyAlignment="1">
      <alignment horizontal="center"/>
    </xf>
    <xf numFmtId="1" fontId="131" fillId="0" borderId="33" xfId="2" applyNumberFormat="1" applyFont="1" applyBorder="1" applyAlignment="1">
      <alignment horizontal="center" vertical="center"/>
    </xf>
    <xf numFmtId="1" fontId="131" fillId="0" borderId="34" xfId="2" applyNumberFormat="1" applyFont="1" applyBorder="1" applyAlignment="1">
      <alignment horizontal="center" vertical="center"/>
    </xf>
    <xf numFmtId="1" fontId="131" fillId="0" borderId="11" xfId="2" applyNumberFormat="1" applyFont="1" applyBorder="1" applyAlignment="1">
      <alignment horizontal="center" vertical="center"/>
    </xf>
    <xf numFmtId="1" fontId="131" fillId="0" borderId="35" xfId="2" applyNumberFormat="1" applyFont="1" applyBorder="1" applyAlignment="1">
      <alignment horizontal="center" vertical="center"/>
    </xf>
    <xf numFmtId="1" fontId="14" fillId="3" borderId="2" xfId="2" applyNumberFormat="1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26" fillId="0" borderId="2" xfId="2" applyFont="1" applyBorder="1" applyAlignment="1">
      <alignment horizontal="center"/>
    </xf>
    <xf numFmtId="0" fontId="43" fillId="0" borderId="0" xfId="2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34" fillId="0" borderId="0" xfId="2" applyFont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4" fontId="32" fillId="0" borderId="2" xfId="0" applyNumberFormat="1" applyFont="1" applyBorder="1" applyAlignment="1">
      <alignment horizontal="center" vertical="center" wrapText="1"/>
    </xf>
    <xf numFmtId="0" fontId="62" fillId="0" borderId="0" xfId="2" applyFont="1" applyAlignment="1">
      <alignment horizontal="center"/>
    </xf>
    <xf numFmtId="0" fontId="63" fillId="0" borderId="7" xfId="2" applyFont="1" applyBorder="1" applyAlignment="1">
      <alignment horizontal="left" vertical="center"/>
    </xf>
    <xf numFmtId="0" fontId="63" fillId="0" borderId="5" xfId="2" applyFont="1" applyBorder="1" applyAlignment="1">
      <alignment horizontal="left" vertical="center"/>
    </xf>
    <xf numFmtId="165" fontId="32" fillId="0" borderId="2" xfId="0" applyNumberFormat="1" applyFont="1" applyBorder="1" applyAlignment="1">
      <alignment horizontal="center" vertical="center" wrapText="1"/>
    </xf>
    <xf numFmtId="164" fontId="32" fillId="0" borderId="31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164" fontId="32" fillId="0" borderId="18" xfId="0" applyNumberFormat="1" applyFont="1" applyBorder="1" applyAlignment="1">
      <alignment horizontal="center" vertical="center" wrapText="1"/>
    </xf>
    <xf numFmtId="1" fontId="35" fillId="0" borderId="0" xfId="2" applyNumberFormat="1" applyFont="1" applyAlignment="1">
      <alignment horizontal="center" vertical="center"/>
    </xf>
    <xf numFmtId="0" fontId="35" fillId="0" borderId="0" xfId="2" applyFont="1" applyAlignment="1">
      <alignment horizontal="center" vertical="center"/>
    </xf>
    <xf numFmtId="0" fontId="32" fillId="0" borderId="0" xfId="0" applyFont="1" applyAlignment="1" applyProtection="1">
      <alignment horizontal="left"/>
      <protection locked="0"/>
    </xf>
    <xf numFmtId="0" fontId="24" fillId="0" borderId="0" xfId="2" applyFont="1" applyAlignment="1">
      <alignment horizontal="center"/>
    </xf>
    <xf numFmtId="0" fontId="14" fillId="0" borderId="7" xfId="11" applyFont="1" applyBorder="1" applyAlignment="1">
      <alignment horizontal="left" vertical="top" wrapText="1"/>
    </xf>
    <xf numFmtId="0" fontId="14" fillId="0" borderId="5" xfId="11" applyFont="1" applyBorder="1" applyAlignment="1">
      <alignment horizontal="left" vertical="top" wrapText="1"/>
    </xf>
    <xf numFmtId="0" fontId="122" fillId="0" borderId="0" xfId="11" applyFont="1" applyAlignment="1" applyProtection="1">
      <alignment horizontal="center" vertical="center"/>
      <protection locked="0"/>
    </xf>
    <xf numFmtId="172" fontId="124" fillId="0" borderId="0" xfId="11" quotePrefix="1" applyNumberFormat="1" applyFont="1" applyAlignment="1" applyProtection="1">
      <alignment horizontal="center" vertical="center"/>
      <protection locked="0"/>
    </xf>
    <xf numFmtId="172" fontId="124" fillId="0" borderId="0" xfId="11" applyNumberFormat="1" applyFont="1" applyAlignment="1" applyProtection="1">
      <alignment horizontal="center" vertical="center"/>
      <protection locked="0"/>
    </xf>
    <xf numFmtId="0" fontId="14" fillId="0" borderId="0" xfId="11" applyFont="1" applyAlignment="1">
      <alignment horizontal="center"/>
    </xf>
    <xf numFmtId="0" fontId="83" fillId="0" borderId="0" xfId="11" applyFont="1" applyAlignment="1">
      <alignment horizontal="right" vertical="center"/>
    </xf>
    <xf numFmtId="0" fontId="85" fillId="0" borderId="0" xfId="11" applyFont="1" applyAlignment="1">
      <alignment horizontal="center"/>
    </xf>
    <xf numFmtId="0" fontId="124" fillId="0" borderId="0" xfId="11" quotePrefix="1" applyFont="1" applyAlignment="1" applyProtection="1">
      <alignment horizontal="left"/>
      <protection locked="0"/>
    </xf>
    <xf numFmtId="0" fontId="14" fillId="0" borderId="0" xfId="11" applyFont="1" applyAlignment="1">
      <alignment horizontal="left" vertical="center" wrapText="1"/>
    </xf>
    <xf numFmtId="0" fontId="125" fillId="0" borderId="0" xfId="11" quotePrefix="1" applyFont="1" applyAlignment="1" applyProtection="1">
      <alignment horizontal="left" vertical="center" wrapText="1"/>
      <protection locked="0"/>
    </xf>
    <xf numFmtId="11" fontId="124" fillId="0" borderId="0" xfId="11" quotePrefix="1" applyNumberFormat="1" applyFont="1" applyAlignment="1" applyProtection="1">
      <alignment horizontal="left"/>
      <protection locked="0"/>
    </xf>
    <xf numFmtId="0" fontId="124" fillId="0" borderId="0" xfId="11" applyFont="1" applyAlignment="1" applyProtection="1">
      <alignment horizontal="left"/>
      <protection locked="0"/>
    </xf>
    <xf numFmtId="0" fontId="14" fillId="0" borderId="0" xfId="11" applyFont="1" applyAlignment="1" applyProtection="1">
      <alignment horizontal="left" vertical="center" wrapText="1"/>
      <protection locked="0"/>
    </xf>
    <xf numFmtId="172" fontId="14" fillId="0" borderId="0" xfId="11" applyNumberFormat="1" applyFont="1" applyAlignment="1">
      <alignment horizontal="left" vertical="center" wrapText="1"/>
    </xf>
    <xf numFmtId="0" fontId="125" fillId="0" borderId="0" xfId="11" applyFont="1" applyAlignment="1" applyProtection="1">
      <alignment horizontal="left" vertical="center" wrapText="1"/>
      <protection locked="0"/>
    </xf>
    <xf numFmtId="0" fontId="14" fillId="0" borderId="0" xfId="11" applyFont="1" applyAlignment="1" applyProtection="1">
      <alignment horizontal="left" vertical="top" wrapText="1"/>
      <protection locked="0"/>
    </xf>
    <xf numFmtId="0" fontId="14" fillId="0" borderId="0" xfId="11" applyFont="1" applyAlignment="1" applyProtection="1">
      <alignment horizontal="justify" vertical="top" wrapText="1"/>
      <protection locked="0"/>
    </xf>
    <xf numFmtId="176" fontId="124" fillId="0" borderId="0" xfId="11" quotePrefix="1" applyNumberFormat="1" applyFont="1" applyAlignment="1" applyProtection="1">
      <alignment horizontal="left" vertical="center"/>
      <protection locked="0"/>
    </xf>
    <xf numFmtId="176" fontId="124" fillId="0" borderId="0" xfId="11" applyNumberFormat="1" applyFont="1" applyAlignment="1" applyProtection="1">
      <alignment horizontal="left" vertical="center"/>
      <protection locked="0"/>
    </xf>
    <xf numFmtId="0" fontId="14" fillId="0" borderId="0" xfId="11" applyFont="1" applyAlignment="1">
      <alignment horizontal="left" vertical="top" wrapText="1"/>
    </xf>
    <xf numFmtId="0" fontId="121" fillId="0" borderId="0" xfId="11" applyFont="1" applyAlignment="1">
      <alignment horizontal="center"/>
    </xf>
    <xf numFmtId="0" fontId="14" fillId="6" borderId="0" xfId="11" applyFont="1" applyFill="1" applyAlignment="1">
      <alignment horizontal="justify" vertical="center" wrapText="1"/>
    </xf>
    <xf numFmtId="0" fontId="8" fillId="0" borderId="0" xfId="11" applyFont="1" applyAlignment="1">
      <alignment horizontal="left" vertical="center" wrapText="1"/>
    </xf>
    <xf numFmtId="172" fontId="14" fillId="0" borderId="0" xfId="11" applyNumberFormat="1" applyFont="1" applyAlignment="1">
      <alignment horizontal="left" vertical="top" wrapText="1"/>
    </xf>
    <xf numFmtId="0" fontId="145" fillId="0" borderId="0" xfId="0" applyFont="1" applyAlignment="1">
      <alignment horizontal="left" vertical="center" wrapText="1"/>
    </xf>
    <xf numFmtId="0" fontId="145" fillId="0" borderId="0" xfId="0" applyFont="1" applyAlignment="1">
      <alignment horizontal="left" vertical="center"/>
    </xf>
    <xf numFmtId="0" fontId="145" fillId="0" borderId="0" xfId="0" applyFont="1" applyAlignment="1">
      <alignment horizontal="left"/>
    </xf>
    <xf numFmtId="0" fontId="144" fillId="0" borderId="0" xfId="0" applyFont="1" applyAlignment="1">
      <alignment horizontal="left"/>
    </xf>
    <xf numFmtId="0" fontId="145" fillId="0" borderId="7" xfId="0" applyFont="1" applyBorder="1" applyAlignment="1">
      <alignment horizontal="center" vertical="center" wrapText="1"/>
    </xf>
    <xf numFmtId="0" fontId="145" fillId="0" borderId="12" xfId="0" applyFont="1" applyBorder="1" applyAlignment="1">
      <alignment horizontal="center" vertical="center" wrapText="1"/>
    </xf>
    <xf numFmtId="0" fontId="143" fillId="0" borderId="0" xfId="0" applyFont="1" applyAlignment="1" applyProtection="1">
      <alignment horizontal="center" vertical="center"/>
      <protection locked="0"/>
    </xf>
    <xf numFmtId="0" fontId="144" fillId="0" borderId="0" xfId="0" applyFont="1" applyAlignment="1">
      <alignment horizontal="center" vertical="center"/>
    </xf>
    <xf numFmtId="0" fontId="145" fillId="0" borderId="0" xfId="0" applyFont="1" applyAlignment="1">
      <alignment horizontal="left" vertical="top" wrapText="1"/>
    </xf>
    <xf numFmtId="0" fontId="145" fillId="0" borderId="7" xfId="0" applyFont="1" applyBorder="1" applyAlignment="1">
      <alignment horizontal="center" vertical="center"/>
    </xf>
    <xf numFmtId="0" fontId="145" fillId="0" borderId="12" xfId="0" applyFont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2" xfId="4" xr:uid="{00000000-0005-0000-0000-000002000000}"/>
    <cellStyle name="Normal 2 3" xfId="8" xr:uid="{00000000-0005-0000-0000-000003000000}"/>
    <cellStyle name="Normal 2 3 2" xfId="11" xr:uid="{00000000-0005-0000-0000-000004000000}"/>
    <cellStyle name="Normal 2 4" xfId="10" xr:uid="{00000000-0005-0000-0000-000005000000}"/>
    <cellStyle name="Normal 3" xfId="3" xr:uid="{00000000-0005-0000-0000-000006000000}"/>
    <cellStyle name="Normal 4" xfId="5" xr:uid="{00000000-0005-0000-0000-000007000000}"/>
    <cellStyle name="Normal 5" xfId="6" xr:uid="{00000000-0005-0000-0000-000008000000}"/>
    <cellStyle name="Normal 5 2" xfId="12" xr:uid="{00000000-0005-0000-0000-000009000000}"/>
    <cellStyle name="Normal 6" xfId="7" xr:uid="{00000000-0005-0000-0000-00000A000000}"/>
    <cellStyle name="Normal 7" xfId="9" xr:uid="{00000000-0005-0000-0000-00000B000000}"/>
    <cellStyle name="Normal_Daftar kelistrikan (ecg)" xfId="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'DB ECG SIM'!$AG$14:$AG$16</c:f>
              <c:numCache>
                <c:formatCode>General</c:formatCode>
                <c:ptCount val="3"/>
                <c:pt idx="0">
                  <c:v>2.5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'DB ECG SIM'!$AH$14:$AH$16</c:f>
              <c:numCache>
                <c:formatCode>General</c:formatCode>
                <c:ptCount val="3"/>
                <c:pt idx="0" formatCode="0.000">
                  <c:v>0</c:v>
                </c:pt>
                <c:pt idx="1">
                  <c:v>1E-3</c:v>
                </c:pt>
                <c:pt idx="2">
                  <c:v>-1E-3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D-4C32-9239-DC1120D51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32904"/>
        <c:axId val="222191504"/>
      </c:scatterChart>
      <c:valAx>
        <c:axId val="43803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2191504"/>
        <c:crosses val="autoZero"/>
        <c:crossBetween val="midCat"/>
      </c:valAx>
      <c:valAx>
        <c:axId val="22219150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38032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</xdr:colOff>
      <xdr:row>7</xdr:row>
      <xdr:rowOff>180975</xdr:rowOff>
    </xdr:from>
    <xdr:to>
      <xdr:col>31</xdr:col>
      <xdr:colOff>371475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94</xdr:row>
      <xdr:rowOff>0</xdr:rowOff>
    </xdr:from>
    <xdr:to>
      <xdr:col>14</xdr:col>
      <xdr:colOff>76200</xdr:colOff>
      <xdr:row>95</xdr:row>
      <xdr:rowOff>19049</xdr:rowOff>
    </xdr:to>
    <xdr:sp macro="" textlink="">
      <xdr:nvSpPr>
        <xdr:cNvPr id="47134" name="Text Box 1">
          <a:extLst>
            <a:ext uri="{FF2B5EF4-FFF2-40B4-BE49-F238E27FC236}">
              <a16:creationId xmlns:a16="http://schemas.microsoft.com/office/drawing/2014/main" id="{00000000-0008-0000-0000-00001EB80000}"/>
            </a:ext>
          </a:extLst>
        </xdr:cNvPr>
        <xdr:cNvSpPr txBox="1">
          <a:spLocks noChangeArrowheads="1"/>
        </xdr:cNvSpPr>
      </xdr:nvSpPr>
      <xdr:spPr bwMode="auto">
        <a:xfrm>
          <a:off x="6315075" y="220694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76200</xdr:colOff>
      <xdr:row>74</xdr:row>
      <xdr:rowOff>200025</xdr:rowOff>
    </xdr:to>
    <xdr:sp macro="" textlink="">
      <xdr:nvSpPr>
        <xdr:cNvPr id="47135" name="Text Box 43">
          <a:extLst>
            <a:ext uri="{FF2B5EF4-FFF2-40B4-BE49-F238E27FC236}">
              <a16:creationId xmlns:a16="http://schemas.microsoft.com/office/drawing/2014/main" id="{00000000-0008-0000-0000-00001FB80000}"/>
            </a:ext>
          </a:extLst>
        </xdr:cNvPr>
        <xdr:cNvSpPr txBox="1">
          <a:spLocks noChangeArrowheads="1"/>
        </xdr:cNvSpPr>
      </xdr:nvSpPr>
      <xdr:spPr bwMode="auto">
        <a:xfrm>
          <a:off x="6315075" y="19392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391697</xdr:colOff>
      <xdr:row>29</xdr:row>
      <xdr:rowOff>52497</xdr:rowOff>
    </xdr:from>
    <xdr:to>
      <xdr:col>9</xdr:col>
      <xdr:colOff>712616</xdr:colOff>
      <xdr:row>29</xdr:row>
      <xdr:rowOff>52497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4620797" y="5615097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30</xdr:row>
      <xdr:rowOff>157490</xdr:rowOff>
    </xdr:from>
    <xdr:to>
      <xdr:col>11</xdr:col>
      <xdr:colOff>734011</xdr:colOff>
      <xdr:row>30</xdr:row>
      <xdr:rowOff>157490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30</xdr:row>
      <xdr:rowOff>157490</xdr:rowOff>
    </xdr:from>
    <xdr:to>
      <xdr:col>11</xdr:col>
      <xdr:colOff>734011</xdr:colOff>
      <xdr:row>30</xdr:row>
      <xdr:rowOff>157490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33</xdr:row>
      <xdr:rowOff>157490</xdr:rowOff>
    </xdr:from>
    <xdr:to>
      <xdr:col>11</xdr:col>
      <xdr:colOff>734011</xdr:colOff>
      <xdr:row>33</xdr:row>
      <xdr:rowOff>157490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73</xdr:row>
      <xdr:rowOff>157490</xdr:rowOff>
    </xdr:from>
    <xdr:to>
      <xdr:col>11</xdr:col>
      <xdr:colOff>734011</xdr:colOff>
      <xdr:row>73</xdr:row>
      <xdr:rowOff>157490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73</xdr:row>
      <xdr:rowOff>157490</xdr:rowOff>
    </xdr:from>
    <xdr:to>
      <xdr:col>11</xdr:col>
      <xdr:colOff>734011</xdr:colOff>
      <xdr:row>73</xdr:row>
      <xdr:rowOff>157490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44</xdr:row>
      <xdr:rowOff>157490</xdr:rowOff>
    </xdr:from>
    <xdr:to>
      <xdr:col>11</xdr:col>
      <xdr:colOff>734011</xdr:colOff>
      <xdr:row>44</xdr:row>
      <xdr:rowOff>157490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4727917" y="79013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45</xdr:row>
      <xdr:rowOff>157490</xdr:rowOff>
    </xdr:from>
    <xdr:to>
      <xdr:col>11</xdr:col>
      <xdr:colOff>734011</xdr:colOff>
      <xdr:row>45</xdr:row>
      <xdr:rowOff>157490</xdr:rowOff>
    </xdr:to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4727917" y="81489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45</xdr:row>
      <xdr:rowOff>157490</xdr:rowOff>
    </xdr:from>
    <xdr:to>
      <xdr:col>11</xdr:col>
      <xdr:colOff>734011</xdr:colOff>
      <xdr:row>45</xdr:row>
      <xdr:rowOff>157490</xdr:rowOff>
    </xdr:to>
    <xdr:sp macro="" textlink="">
      <xdr:nvSpPr>
        <xdr:cNvPr id="23" name="Text Box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4727917" y="81489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46</xdr:row>
      <xdr:rowOff>157490</xdr:rowOff>
    </xdr:from>
    <xdr:to>
      <xdr:col>11</xdr:col>
      <xdr:colOff>734011</xdr:colOff>
      <xdr:row>46</xdr:row>
      <xdr:rowOff>157490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4727917" y="83966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46</xdr:row>
      <xdr:rowOff>157490</xdr:rowOff>
    </xdr:from>
    <xdr:to>
      <xdr:col>11</xdr:col>
      <xdr:colOff>734011</xdr:colOff>
      <xdr:row>46</xdr:row>
      <xdr:rowOff>157490</xdr:rowOff>
    </xdr:to>
    <xdr:sp macro="" textlink="">
      <xdr:nvSpPr>
        <xdr:cNvPr id="25" name="Text Box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4727917" y="83966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86</xdr:row>
      <xdr:rowOff>157490</xdr:rowOff>
    </xdr:from>
    <xdr:to>
      <xdr:col>11</xdr:col>
      <xdr:colOff>734011</xdr:colOff>
      <xdr:row>86</xdr:row>
      <xdr:rowOff>157490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4727917" y="10206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oneCellAnchor>
    <xdr:from>
      <xdr:col>14</xdr:col>
      <xdr:colOff>0</xdr:colOff>
      <xdr:row>84</xdr:row>
      <xdr:rowOff>180975</xdr:rowOff>
    </xdr:from>
    <xdr:ext cx="228600" cy="18081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296025" y="10039350"/>
          <a:ext cx="228600" cy="180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600" b="1">
              <a:latin typeface="Times New Roman" pitchFamily="18" charset="0"/>
              <a:cs typeface="Times New Roman" pitchFamily="18" charset="0"/>
            </a:rPr>
            <a:t>2</a:t>
          </a:r>
        </a:p>
      </xdr:txBody>
    </xdr:sp>
    <xdr:clientData/>
  </xdr:oneCellAnchor>
  <xdr:twoCellAnchor>
    <xdr:from>
      <xdr:col>11</xdr:col>
      <xdr:colOff>413092</xdr:colOff>
      <xdr:row>45</xdr:row>
      <xdr:rowOff>157490</xdr:rowOff>
    </xdr:from>
    <xdr:to>
      <xdr:col>11</xdr:col>
      <xdr:colOff>734011</xdr:colOff>
      <xdr:row>45</xdr:row>
      <xdr:rowOff>157490</xdr:rowOff>
    </xdr:to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5213692" y="701549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45</xdr:row>
      <xdr:rowOff>157490</xdr:rowOff>
    </xdr:from>
    <xdr:to>
      <xdr:col>11</xdr:col>
      <xdr:colOff>734011</xdr:colOff>
      <xdr:row>45</xdr:row>
      <xdr:rowOff>157490</xdr:rowOff>
    </xdr:to>
    <xdr:sp macro="" textlink="">
      <xdr:nvSpPr>
        <xdr:cNvPr id="33" name="Text Box 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5213692" y="701549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17</xdr:col>
      <xdr:colOff>676275</xdr:colOff>
      <xdr:row>53</xdr:row>
      <xdr:rowOff>0</xdr:rowOff>
    </xdr:from>
    <xdr:to>
      <xdr:col>18</xdr:col>
      <xdr:colOff>0</xdr:colOff>
      <xdr:row>53</xdr:row>
      <xdr:rowOff>9525</xdr:rowOff>
    </xdr:to>
    <xdr:sp macro="" textlink="">
      <xdr:nvSpPr>
        <xdr:cNvPr id="29" name="Text Box 3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6696075" y="5715000"/>
          <a:ext cx="1428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µA</a:t>
          </a:r>
        </a:p>
      </xdr:txBody>
    </xdr:sp>
    <xdr:clientData/>
  </xdr:twoCellAnchor>
  <xdr:twoCellAnchor>
    <xdr:from>
      <xdr:col>10</xdr:col>
      <xdr:colOff>676275</xdr:colOff>
      <xdr:row>33</xdr:row>
      <xdr:rowOff>0</xdr:rowOff>
    </xdr:from>
    <xdr:to>
      <xdr:col>11</xdr:col>
      <xdr:colOff>0</xdr:colOff>
      <xdr:row>33</xdr:row>
      <xdr:rowOff>9525</xdr:rowOff>
    </xdr:to>
    <xdr:sp macro="" textlink="">
      <xdr:nvSpPr>
        <xdr:cNvPr id="26" name="Text Box 3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6696075" y="5715000"/>
          <a:ext cx="1428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µA</a:t>
          </a:r>
        </a:p>
      </xdr:txBody>
    </xdr:sp>
    <xdr:clientData/>
  </xdr:twoCellAnchor>
  <xdr:twoCellAnchor>
    <xdr:from>
      <xdr:col>10</xdr:col>
      <xdr:colOff>676275</xdr:colOff>
      <xdr:row>67</xdr:row>
      <xdr:rowOff>0</xdr:rowOff>
    </xdr:from>
    <xdr:to>
      <xdr:col>11</xdr:col>
      <xdr:colOff>0</xdr:colOff>
      <xdr:row>67</xdr:row>
      <xdr:rowOff>9525</xdr:rowOff>
    </xdr:to>
    <xdr:sp macro="" textlink="">
      <xdr:nvSpPr>
        <xdr:cNvPr id="30" name="Text Box 3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6696075" y="12744450"/>
          <a:ext cx="1428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µA</a:t>
          </a:r>
        </a:p>
      </xdr:txBody>
    </xdr:sp>
    <xdr:clientData/>
  </xdr:twoCellAnchor>
  <xdr:twoCellAnchor>
    <xdr:from>
      <xdr:col>18</xdr:col>
      <xdr:colOff>413092</xdr:colOff>
      <xdr:row>54</xdr:row>
      <xdr:rowOff>157490</xdr:rowOff>
    </xdr:from>
    <xdr:to>
      <xdr:col>18</xdr:col>
      <xdr:colOff>734011</xdr:colOff>
      <xdr:row>54</xdr:row>
      <xdr:rowOff>157490</xdr:rowOff>
    </xdr:to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5337517" y="86633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18</xdr:col>
      <xdr:colOff>413092</xdr:colOff>
      <xdr:row>55</xdr:row>
      <xdr:rowOff>157490</xdr:rowOff>
    </xdr:from>
    <xdr:to>
      <xdr:col>18</xdr:col>
      <xdr:colOff>734011</xdr:colOff>
      <xdr:row>55</xdr:row>
      <xdr:rowOff>157490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5337517" y="88538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18</xdr:col>
      <xdr:colOff>413092</xdr:colOff>
      <xdr:row>55</xdr:row>
      <xdr:rowOff>157490</xdr:rowOff>
    </xdr:from>
    <xdr:to>
      <xdr:col>18</xdr:col>
      <xdr:colOff>734011</xdr:colOff>
      <xdr:row>55</xdr:row>
      <xdr:rowOff>157490</xdr:rowOff>
    </xdr:to>
    <xdr:sp macro="" textlink="">
      <xdr:nvSpPr>
        <xdr:cNvPr id="35" name="Text Box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5337517" y="88538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18</xdr:col>
      <xdr:colOff>413092</xdr:colOff>
      <xdr:row>56</xdr:row>
      <xdr:rowOff>157490</xdr:rowOff>
    </xdr:from>
    <xdr:to>
      <xdr:col>18</xdr:col>
      <xdr:colOff>734011</xdr:colOff>
      <xdr:row>56</xdr:row>
      <xdr:rowOff>157490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5337517" y="90443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18</xdr:col>
      <xdr:colOff>413092</xdr:colOff>
      <xdr:row>56</xdr:row>
      <xdr:rowOff>157490</xdr:rowOff>
    </xdr:from>
    <xdr:to>
      <xdr:col>18</xdr:col>
      <xdr:colOff>734011</xdr:colOff>
      <xdr:row>56</xdr:row>
      <xdr:rowOff>157490</xdr:rowOff>
    </xdr:to>
    <xdr:sp macro="" textlink="">
      <xdr:nvSpPr>
        <xdr:cNvPr id="37" name="Text Box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5337517" y="90443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18</xdr:col>
      <xdr:colOff>413092</xdr:colOff>
      <xdr:row>55</xdr:row>
      <xdr:rowOff>157490</xdr:rowOff>
    </xdr:from>
    <xdr:to>
      <xdr:col>18</xdr:col>
      <xdr:colOff>734011</xdr:colOff>
      <xdr:row>55</xdr:row>
      <xdr:rowOff>157490</xdr:rowOff>
    </xdr:to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5337517" y="88538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18</xdr:col>
      <xdr:colOff>413092</xdr:colOff>
      <xdr:row>55</xdr:row>
      <xdr:rowOff>157490</xdr:rowOff>
    </xdr:from>
    <xdr:to>
      <xdr:col>18</xdr:col>
      <xdr:colOff>734011</xdr:colOff>
      <xdr:row>55</xdr:row>
      <xdr:rowOff>157490</xdr:rowOff>
    </xdr:to>
    <xdr:sp macro="" textlink="">
      <xdr:nvSpPr>
        <xdr:cNvPr id="39" name="Text Box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5337517" y="885381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676275</xdr:colOff>
      <xdr:row>68</xdr:row>
      <xdr:rowOff>0</xdr:rowOff>
    </xdr:from>
    <xdr:to>
      <xdr:col>11</xdr:col>
      <xdr:colOff>0</xdr:colOff>
      <xdr:row>68</xdr:row>
      <xdr:rowOff>9525</xdr:rowOff>
    </xdr:to>
    <xdr:sp macro="" textlink="">
      <xdr:nvSpPr>
        <xdr:cNvPr id="40" name="Text Box 3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4762500" y="108775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µA</a:t>
          </a:r>
        </a:p>
      </xdr:txBody>
    </xdr:sp>
    <xdr:clientData/>
  </xdr:twoCellAnchor>
  <xdr:twoCellAnchor>
    <xdr:from>
      <xdr:col>11</xdr:col>
      <xdr:colOff>413092</xdr:colOff>
      <xdr:row>69</xdr:row>
      <xdr:rowOff>157490</xdr:rowOff>
    </xdr:from>
    <xdr:to>
      <xdr:col>11</xdr:col>
      <xdr:colOff>734011</xdr:colOff>
      <xdr:row>69</xdr:row>
      <xdr:rowOff>157490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5156542" y="112255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70</xdr:row>
      <xdr:rowOff>157490</xdr:rowOff>
    </xdr:from>
    <xdr:to>
      <xdr:col>11</xdr:col>
      <xdr:colOff>734011</xdr:colOff>
      <xdr:row>70</xdr:row>
      <xdr:rowOff>157490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5156542" y="114160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70</xdr:row>
      <xdr:rowOff>157490</xdr:rowOff>
    </xdr:from>
    <xdr:to>
      <xdr:col>11</xdr:col>
      <xdr:colOff>734011</xdr:colOff>
      <xdr:row>70</xdr:row>
      <xdr:rowOff>157490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5156542" y="114160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71</xdr:row>
      <xdr:rowOff>157490</xdr:rowOff>
    </xdr:from>
    <xdr:to>
      <xdr:col>11</xdr:col>
      <xdr:colOff>734011</xdr:colOff>
      <xdr:row>71</xdr:row>
      <xdr:rowOff>157490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5156542" y="116065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71</xdr:row>
      <xdr:rowOff>157490</xdr:rowOff>
    </xdr:from>
    <xdr:to>
      <xdr:col>11</xdr:col>
      <xdr:colOff>734011</xdr:colOff>
      <xdr:row>71</xdr:row>
      <xdr:rowOff>157490</xdr:rowOff>
    </xdr:to>
    <xdr:sp macro="" textlink="">
      <xdr:nvSpPr>
        <xdr:cNvPr id="45" name="Text Box 7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5156542" y="116065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70</xdr:row>
      <xdr:rowOff>157490</xdr:rowOff>
    </xdr:from>
    <xdr:to>
      <xdr:col>11</xdr:col>
      <xdr:colOff>734011</xdr:colOff>
      <xdr:row>70</xdr:row>
      <xdr:rowOff>157490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5156542" y="114160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70</xdr:row>
      <xdr:rowOff>157490</xdr:rowOff>
    </xdr:from>
    <xdr:to>
      <xdr:col>11</xdr:col>
      <xdr:colOff>734011</xdr:colOff>
      <xdr:row>70</xdr:row>
      <xdr:rowOff>157490</xdr:rowOff>
    </xdr:to>
    <xdr:sp macro="" textlink="">
      <xdr:nvSpPr>
        <xdr:cNvPr id="47" name="Text Box 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5156542" y="114160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69</xdr:row>
      <xdr:rowOff>157490</xdr:rowOff>
    </xdr:from>
    <xdr:to>
      <xdr:col>9</xdr:col>
      <xdr:colOff>734011</xdr:colOff>
      <xdr:row>69</xdr:row>
      <xdr:rowOff>157490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7817646" y="11304008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70</xdr:row>
      <xdr:rowOff>157490</xdr:rowOff>
    </xdr:from>
    <xdr:to>
      <xdr:col>9</xdr:col>
      <xdr:colOff>734011</xdr:colOff>
      <xdr:row>70</xdr:row>
      <xdr:rowOff>157490</xdr:rowOff>
    </xdr:to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7817646" y="11496776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70</xdr:row>
      <xdr:rowOff>157490</xdr:rowOff>
    </xdr:from>
    <xdr:to>
      <xdr:col>9</xdr:col>
      <xdr:colOff>734011</xdr:colOff>
      <xdr:row>70</xdr:row>
      <xdr:rowOff>157490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7817646" y="11496776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70</xdr:row>
      <xdr:rowOff>157490</xdr:rowOff>
    </xdr:from>
    <xdr:to>
      <xdr:col>9</xdr:col>
      <xdr:colOff>734011</xdr:colOff>
      <xdr:row>70</xdr:row>
      <xdr:rowOff>157490</xdr:rowOff>
    </xdr:to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7817646" y="11496776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70</xdr:row>
      <xdr:rowOff>157490</xdr:rowOff>
    </xdr:from>
    <xdr:to>
      <xdr:col>9</xdr:col>
      <xdr:colOff>734011</xdr:colOff>
      <xdr:row>70</xdr:row>
      <xdr:rowOff>157490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7817646" y="11496776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57</xdr:row>
      <xdr:rowOff>157490</xdr:rowOff>
    </xdr:from>
    <xdr:to>
      <xdr:col>10</xdr:col>
      <xdr:colOff>734011</xdr:colOff>
      <xdr:row>57</xdr:row>
      <xdr:rowOff>157490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FC237B0A-15FA-40B3-B2FE-CE41CA70BA3C}"/>
            </a:ext>
          </a:extLst>
        </xdr:cNvPr>
        <xdr:cNvSpPr txBox="1">
          <a:spLocks noChangeArrowheads="1"/>
        </xdr:cNvSpPr>
      </xdr:nvSpPr>
      <xdr:spPr bwMode="auto">
        <a:xfrm>
          <a:off x="7817646" y="9217579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57</xdr:row>
      <xdr:rowOff>157490</xdr:rowOff>
    </xdr:from>
    <xdr:to>
      <xdr:col>10</xdr:col>
      <xdr:colOff>734011</xdr:colOff>
      <xdr:row>57</xdr:row>
      <xdr:rowOff>157490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63C15125-5809-42C2-B7B4-EAD1681FC711}"/>
            </a:ext>
          </a:extLst>
        </xdr:cNvPr>
        <xdr:cNvSpPr txBox="1">
          <a:spLocks noChangeArrowheads="1"/>
        </xdr:cNvSpPr>
      </xdr:nvSpPr>
      <xdr:spPr bwMode="auto">
        <a:xfrm>
          <a:off x="7817646" y="9217579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71</xdr:row>
      <xdr:rowOff>157490</xdr:rowOff>
    </xdr:from>
    <xdr:to>
      <xdr:col>11</xdr:col>
      <xdr:colOff>734011</xdr:colOff>
      <xdr:row>71</xdr:row>
      <xdr:rowOff>157490</xdr:rowOff>
    </xdr:to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45F518B8-68D0-4145-BC6D-53F54B4B9D02}"/>
            </a:ext>
          </a:extLst>
        </xdr:cNvPr>
        <xdr:cNvSpPr txBox="1">
          <a:spLocks noChangeArrowheads="1"/>
        </xdr:cNvSpPr>
      </xdr:nvSpPr>
      <xdr:spPr bwMode="auto">
        <a:xfrm>
          <a:off x="7817646" y="9217579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71</xdr:row>
      <xdr:rowOff>157490</xdr:rowOff>
    </xdr:from>
    <xdr:to>
      <xdr:col>11</xdr:col>
      <xdr:colOff>734011</xdr:colOff>
      <xdr:row>71</xdr:row>
      <xdr:rowOff>157490</xdr:rowOff>
    </xdr:to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id="{07BB97F6-621F-4705-9B7F-BE0F777447E7}"/>
            </a:ext>
          </a:extLst>
        </xdr:cNvPr>
        <xdr:cNvSpPr txBox="1">
          <a:spLocks noChangeArrowheads="1"/>
        </xdr:cNvSpPr>
      </xdr:nvSpPr>
      <xdr:spPr bwMode="auto">
        <a:xfrm>
          <a:off x="7817646" y="9217579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105</xdr:row>
      <xdr:rowOff>0</xdr:rowOff>
    </xdr:from>
    <xdr:to>
      <xdr:col>13</xdr:col>
      <xdr:colOff>76200</xdr:colOff>
      <xdr:row>106</xdr:row>
      <xdr:rowOff>17144</xdr:rowOff>
    </xdr:to>
    <xdr:sp macro="" textlink="">
      <xdr:nvSpPr>
        <xdr:cNvPr id="42883" name="Text Box 1">
          <a:extLst>
            <a:ext uri="{FF2B5EF4-FFF2-40B4-BE49-F238E27FC236}">
              <a16:creationId xmlns:a16="http://schemas.microsoft.com/office/drawing/2014/main" id="{00000000-0008-0000-0100-000083A70000}"/>
            </a:ext>
          </a:extLst>
        </xdr:cNvPr>
        <xdr:cNvSpPr txBox="1">
          <a:spLocks noChangeArrowheads="1"/>
        </xdr:cNvSpPr>
      </xdr:nvSpPr>
      <xdr:spPr bwMode="auto">
        <a:xfrm>
          <a:off x="7334250" y="185928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76200</xdr:colOff>
      <xdr:row>75</xdr:row>
      <xdr:rowOff>20955</xdr:rowOff>
    </xdr:to>
    <xdr:sp macro="" textlink="">
      <xdr:nvSpPr>
        <xdr:cNvPr id="42884" name="Text Box 43">
          <a:extLst>
            <a:ext uri="{FF2B5EF4-FFF2-40B4-BE49-F238E27FC236}">
              <a16:creationId xmlns:a16="http://schemas.microsoft.com/office/drawing/2014/main" id="{00000000-0008-0000-0100-000084A70000}"/>
            </a:ext>
          </a:extLst>
        </xdr:cNvPr>
        <xdr:cNvSpPr txBox="1">
          <a:spLocks noChangeArrowheads="1"/>
        </xdr:cNvSpPr>
      </xdr:nvSpPr>
      <xdr:spPr bwMode="auto">
        <a:xfrm>
          <a:off x="7334250" y="15516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381000</xdr:colOff>
      <xdr:row>24</xdr:row>
      <xdr:rowOff>64785</xdr:rowOff>
    </xdr:from>
    <xdr:to>
      <xdr:col>11</xdr:col>
      <xdr:colOff>120308</xdr:colOff>
      <xdr:row>25</xdr:row>
      <xdr:rowOff>117282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4610100" y="5627385"/>
          <a:ext cx="75848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391697</xdr:colOff>
      <xdr:row>24</xdr:row>
      <xdr:rowOff>52497</xdr:rowOff>
    </xdr:from>
    <xdr:to>
      <xdr:col>10</xdr:col>
      <xdr:colOff>712616</xdr:colOff>
      <xdr:row>24</xdr:row>
      <xdr:rowOff>52497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4620797" y="5615097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26</xdr:row>
      <xdr:rowOff>157490</xdr:rowOff>
    </xdr:from>
    <xdr:to>
      <xdr:col>10</xdr:col>
      <xdr:colOff>734011</xdr:colOff>
      <xdr:row>26</xdr:row>
      <xdr:rowOff>157490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4642192" y="6291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26</xdr:row>
      <xdr:rowOff>157490</xdr:rowOff>
    </xdr:from>
    <xdr:to>
      <xdr:col>10</xdr:col>
      <xdr:colOff>734011</xdr:colOff>
      <xdr:row>26</xdr:row>
      <xdr:rowOff>157490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4642192" y="6291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27</xdr:row>
      <xdr:rowOff>157490</xdr:rowOff>
    </xdr:from>
    <xdr:to>
      <xdr:col>10</xdr:col>
      <xdr:colOff>734011</xdr:colOff>
      <xdr:row>27</xdr:row>
      <xdr:rowOff>157490</xdr:rowOff>
    </xdr:to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4642192" y="6672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27</xdr:row>
      <xdr:rowOff>157490</xdr:rowOff>
    </xdr:from>
    <xdr:to>
      <xdr:col>10</xdr:col>
      <xdr:colOff>734011</xdr:colOff>
      <xdr:row>27</xdr:row>
      <xdr:rowOff>157490</xdr:rowOff>
    </xdr:to>
    <xdr:sp macro="" textlink="">
      <xdr:nvSpPr>
        <xdr:cNvPr id="17" name="Text Box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4642192" y="6672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43</xdr:row>
      <xdr:rowOff>157490</xdr:rowOff>
    </xdr:from>
    <xdr:to>
      <xdr:col>9</xdr:col>
      <xdr:colOff>734011</xdr:colOff>
      <xdr:row>43</xdr:row>
      <xdr:rowOff>157490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4642192" y="7434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43</xdr:row>
      <xdr:rowOff>157490</xdr:rowOff>
    </xdr:from>
    <xdr:to>
      <xdr:col>9</xdr:col>
      <xdr:colOff>734011</xdr:colOff>
      <xdr:row>43</xdr:row>
      <xdr:rowOff>157490</xdr:rowOff>
    </xdr:to>
    <xdr:sp macro="" textlink="">
      <xdr:nvSpPr>
        <xdr:cNvPr id="25" name="Text Box 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4642192" y="7434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43</xdr:row>
      <xdr:rowOff>157490</xdr:rowOff>
    </xdr:from>
    <xdr:to>
      <xdr:col>9</xdr:col>
      <xdr:colOff>734011</xdr:colOff>
      <xdr:row>43</xdr:row>
      <xdr:rowOff>157490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5786630" y="11941532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43</xdr:row>
      <xdr:rowOff>157490</xdr:rowOff>
    </xdr:from>
    <xdr:to>
      <xdr:col>9</xdr:col>
      <xdr:colOff>734011</xdr:colOff>
      <xdr:row>43</xdr:row>
      <xdr:rowOff>157490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5786630" y="11941532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381000</xdr:colOff>
      <xdr:row>25</xdr:row>
      <xdr:rowOff>64785</xdr:rowOff>
    </xdr:from>
    <xdr:to>
      <xdr:col>11</xdr:col>
      <xdr:colOff>120308</xdr:colOff>
      <xdr:row>26</xdr:row>
      <xdr:rowOff>0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5762625" y="5017785"/>
          <a:ext cx="4346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27</xdr:row>
      <xdr:rowOff>157490</xdr:rowOff>
    </xdr:from>
    <xdr:to>
      <xdr:col>10</xdr:col>
      <xdr:colOff>734011</xdr:colOff>
      <xdr:row>27</xdr:row>
      <xdr:rowOff>157490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6051892" y="53390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27</xdr:row>
      <xdr:rowOff>157490</xdr:rowOff>
    </xdr:from>
    <xdr:to>
      <xdr:col>10</xdr:col>
      <xdr:colOff>734011</xdr:colOff>
      <xdr:row>27</xdr:row>
      <xdr:rowOff>157490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6051892" y="53390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44</xdr:row>
      <xdr:rowOff>157490</xdr:rowOff>
    </xdr:from>
    <xdr:to>
      <xdr:col>9</xdr:col>
      <xdr:colOff>734011</xdr:colOff>
      <xdr:row>44</xdr:row>
      <xdr:rowOff>157490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44</xdr:row>
      <xdr:rowOff>157490</xdr:rowOff>
    </xdr:from>
    <xdr:to>
      <xdr:col>9</xdr:col>
      <xdr:colOff>734011</xdr:colOff>
      <xdr:row>44</xdr:row>
      <xdr:rowOff>157490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44</xdr:row>
      <xdr:rowOff>157490</xdr:rowOff>
    </xdr:from>
    <xdr:to>
      <xdr:col>9</xdr:col>
      <xdr:colOff>734011</xdr:colOff>
      <xdr:row>44</xdr:row>
      <xdr:rowOff>157490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44</xdr:row>
      <xdr:rowOff>157490</xdr:rowOff>
    </xdr:from>
    <xdr:to>
      <xdr:col>9</xdr:col>
      <xdr:colOff>734011</xdr:colOff>
      <xdr:row>44</xdr:row>
      <xdr:rowOff>157490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45</xdr:row>
      <xdr:rowOff>157490</xdr:rowOff>
    </xdr:from>
    <xdr:to>
      <xdr:col>9</xdr:col>
      <xdr:colOff>734011</xdr:colOff>
      <xdr:row>45</xdr:row>
      <xdr:rowOff>157490</xdr:rowOff>
    </xdr:to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45</xdr:row>
      <xdr:rowOff>157490</xdr:rowOff>
    </xdr:from>
    <xdr:to>
      <xdr:col>9</xdr:col>
      <xdr:colOff>734011</xdr:colOff>
      <xdr:row>45</xdr:row>
      <xdr:rowOff>157490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45</xdr:row>
      <xdr:rowOff>157490</xdr:rowOff>
    </xdr:from>
    <xdr:to>
      <xdr:col>9</xdr:col>
      <xdr:colOff>734011</xdr:colOff>
      <xdr:row>45</xdr:row>
      <xdr:rowOff>157490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45</xdr:row>
      <xdr:rowOff>157490</xdr:rowOff>
    </xdr:from>
    <xdr:to>
      <xdr:col>9</xdr:col>
      <xdr:colOff>734011</xdr:colOff>
      <xdr:row>45</xdr:row>
      <xdr:rowOff>157490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46</xdr:row>
      <xdr:rowOff>157490</xdr:rowOff>
    </xdr:from>
    <xdr:to>
      <xdr:col>9</xdr:col>
      <xdr:colOff>734011</xdr:colOff>
      <xdr:row>46</xdr:row>
      <xdr:rowOff>157490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46</xdr:row>
      <xdr:rowOff>157490</xdr:rowOff>
    </xdr:from>
    <xdr:to>
      <xdr:col>9</xdr:col>
      <xdr:colOff>734011</xdr:colOff>
      <xdr:row>46</xdr:row>
      <xdr:rowOff>157490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46</xdr:row>
      <xdr:rowOff>157490</xdr:rowOff>
    </xdr:from>
    <xdr:to>
      <xdr:col>9</xdr:col>
      <xdr:colOff>734011</xdr:colOff>
      <xdr:row>46</xdr:row>
      <xdr:rowOff>157490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46</xdr:row>
      <xdr:rowOff>157490</xdr:rowOff>
    </xdr:from>
    <xdr:to>
      <xdr:col>9</xdr:col>
      <xdr:colOff>734011</xdr:colOff>
      <xdr:row>46</xdr:row>
      <xdr:rowOff>157490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47</xdr:row>
      <xdr:rowOff>157490</xdr:rowOff>
    </xdr:from>
    <xdr:to>
      <xdr:col>9</xdr:col>
      <xdr:colOff>734011</xdr:colOff>
      <xdr:row>47</xdr:row>
      <xdr:rowOff>157490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47</xdr:row>
      <xdr:rowOff>157490</xdr:rowOff>
    </xdr:from>
    <xdr:to>
      <xdr:col>9</xdr:col>
      <xdr:colOff>734011</xdr:colOff>
      <xdr:row>47</xdr:row>
      <xdr:rowOff>157490</xdr:rowOff>
    </xdr:to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47</xdr:row>
      <xdr:rowOff>157490</xdr:rowOff>
    </xdr:from>
    <xdr:to>
      <xdr:col>9</xdr:col>
      <xdr:colOff>734011</xdr:colOff>
      <xdr:row>47</xdr:row>
      <xdr:rowOff>157490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47</xdr:row>
      <xdr:rowOff>157490</xdr:rowOff>
    </xdr:from>
    <xdr:to>
      <xdr:col>9</xdr:col>
      <xdr:colOff>734011</xdr:colOff>
      <xdr:row>47</xdr:row>
      <xdr:rowOff>157490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5299417" y="79965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44</xdr:row>
      <xdr:rowOff>157490</xdr:rowOff>
    </xdr:from>
    <xdr:to>
      <xdr:col>9</xdr:col>
      <xdr:colOff>734011</xdr:colOff>
      <xdr:row>44</xdr:row>
      <xdr:rowOff>157490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5708992" y="81108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44</xdr:row>
      <xdr:rowOff>157490</xdr:rowOff>
    </xdr:from>
    <xdr:to>
      <xdr:col>9</xdr:col>
      <xdr:colOff>734011</xdr:colOff>
      <xdr:row>44</xdr:row>
      <xdr:rowOff>157490</xdr:rowOff>
    </xdr:to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5708992" y="81108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44</xdr:row>
      <xdr:rowOff>157490</xdr:rowOff>
    </xdr:from>
    <xdr:to>
      <xdr:col>9</xdr:col>
      <xdr:colOff>734011</xdr:colOff>
      <xdr:row>44</xdr:row>
      <xdr:rowOff>157490</xdr:rowOff>
    </xdr:to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5708992" y="81108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44</xdr:row>
      <xdr:rowOff>157490</xdr:rowOff>
    </xdr:from>
    <xdr:to>
      <xdr:col>9</xdr:col>
      <xdr:colOff>734011</xdr:colOff>
      <xdr:row>44</xdr:row>
      <xdr:rowOff>157490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5708992" y="8110865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0</xdr:rowOff>
    </xdr:from>
    <xdr:to>
      <xdr:col>2</xdr:col>
      <xdr:colOff>120308</xdr:colOff>
      <xdr:row>8</xdr:row>
      <xdr:rowOff>117282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8524875" y="28317825"/>
          <a:ext cx="491783" cy="1172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381000</xdr:colOff>
      <xdr:row>8</xdr:row>
      <xdr:rowOff>64785</xdr:rowOff>
    </xdr:from>
    <xdr:to>
      <xdr:col>2</xdr:col>
      <xdr:colOff>120308</xdr:colOff>
      <xdr:row>9</xdr:row>
      <xdr:rowOff>0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8524875" y="28382610"/>
          <a:ext cx="491783" cy="97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381000</xdr:colOff>
      <xdr:row>9</xdr:row>
      <xdr:rowOff>64785</xdr:rowOff>
    </xdr:from>
    <xdr:to>
      <xdr:col>2</xdr:col>
      <xdr:colOff>120308</xdr:colOff>
      <xdr:row>10</xdr:row>
      <xdr:rowOff>0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8524875" y="28544535"/>
          <a:ext cx="491783" cy="97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413092</xdr:colOff>
      <xdr:row>10</xdr:row>
      <xdr:rowOff>157490</xdr:rowOff>
    </xdr:from>
    <xdr:to>
      <xdr:col>1</xdr:col>
      <xdr:colOff>734011</xdr:colOff>
      <xdr:row>10</xdr:row>
      <xdr:rowOff>157490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>
          <a:spLocks noChangeArrowheads="1"/>
        </xdr:cNvSpPr>
      </xdr:nvSpPr>
      <xdr:spPr bwMode="auto">
        <a:xfrm>
          <a:off x="8556967" y="287991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413092</xdr:colOff>
      <xdr:row>10</xdr:row>
      <xdr:rowOff>157490</xdr:rowOff>
    </xdr:from>
    <xdr:to>
      <xdr:col>1</xdr:col>
      <xdr:colOff>734011</xdr:colOff>
      <xdr:row>10</xdr:row>
      <xdr:rowOff>157490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>
          <a:spLocks noChangeArrowheads="1"/>
        </xdr:cNvSpPr>
      </xdr:nvSpPr>
      <xdr:spPr bwMode="auto">
        <a:xfrm>
          <a:off x="8556967" y="287991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413092</xdr:colOff>
      <xdr:row>11</xdr:row>
      <xdr:rowOff>157490</xdr:rowOff>
    </xdr:from>
    <xdr:to>
      <xdr:col>1</xdr:col>
      <xdr:colOff>734011</xdr:colOff>
      <xdr:row>11</xdr:row>
      <xdr:rowOff>157490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>
          <a:spLocks noChangeArrowheads="1"/>
        </xdr:cNvSpPr>
      </xdr:nvSpPr>
      <xdr:spPr bwMode="auto">
        <a:xfrm>
          <a:off x="8556967" y="2896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413092</xdr:colOff>
      <xdr:row>11</xdr:row>
      <xdr:rowOff>157490</xdr:rowOff>
    </xdr:from>
    <xdr:to>
      <xdr:col>1</xdr:col>
      <xdr:colOff>734011</xdr:colOff>
      <xdr:row>11</xdr:row>
      <xdr:rowOff>157490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>
          <a:spLocks noChangeArrowheads="1"/>
        </xdr:cNvSpPr>
      </xdr:nvSpPr>
      <xdr:spPr bwMode="auto">
        <a:xfrm>
          <a:off x="8556967" y="2896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30</xdr:row>
      <xdr:rowOff>157490</xdr:rowOff>
    </xdr:from>
    <xdr:to>
      <xdr:col>4</xdr:col>
      <xdr:colOff>734011</xdr:colOff>
      <xdr:row>30</xdr:row>
      <xdr:rowOff>157490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9C76A8FB-7EAC-4CA6-9354-9F501909DF65}"/>
            </a:ext>
          </a:extLst>
        </xdr:cNvPr>
        <xdr:cNvSpPr txBox="1">
          <a:spLocks noChangeArrowheads="1"/>
        </xdr:cNvSpPr>
      </xdr:nvSpPr>
      <xdr:spPr bwMode="auto">
        <a:xfrm>
          <a:off x="3003892" y="116636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30</xdr:row>
      <xdr:rowOff>151140</xdr:rowOff>
    </xdr:from>
    <xdr:to>
      <xdr:col>4</xdr:col>
      <xdr:colOff>651461</xdr:colOff>
      <xdr:row>30</xdr:row>
      <xdr:rowOff>151140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86B31869-1731-49E2-9073-56E1BD9928DF}"/>
            </a:ext>
          </a:extLst>
        </xdr:cNvPr>
        <xdr:cNvSpPr txBox="1">
          <a:spLocks noChangeArrowheads="1"/>
        </xdr:cNvSpPr>
      </xdr:nvSpPr>
      <xdr:spPr bwMode="auto">
        <a:xfrm>
          <a:off x="7283792" y="4227840"/>
          <a:ext cx="2383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31</xdr:row>
      <xdr:rowOff>157490</xdr:rowOff>
    </xdr:from>
    <xdr:to>
      <xdr:col>4</xdr:col>
      <xdr:colOff>734011</xdr:colOff>
      <xdr:row>31</xdr:row>
      <xdr:rowOff>157490</xdr:rowOff>
    </xdr:to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1615F54-0E28-452B-82AD-57119E8BDE30}"/>
            </a:ext>
          </a:extLst>
        </xdr:cNvPr>
        <xdr:cNvSpPr txBox="1">
          <a:spLocks noChangeArrowheads="1"/>
        </xdr:cNvSpPr>
      </xdr:nvSpPr>
      <xdr:spPr bwMode="auto">
        <a:xfrm>
          <a:off x="3003892" y="118256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31</xdr:row>
      <xdr:rowOff>157490</xdr:rowOff>
    </xdr:from>
    <xdr:to>
      <xdr:col>4</xdr:col>
      <xdr:colOff>734011</xdr:colOff>
      <xdr:row>31</xdr:row>
      <xdr:rowOff>157490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FBAAF6CC-17F4-47E0-86AD-769F63939429}"/>
            </a:ext>
          </a:extLst>
        </xdr:cNvPr>
        <xdr:cNvSpPr txBox="1">
          <a:spLocks noChangeArrowheads="1"/>
        </xdr:cNvSpPr>
      </xdr:nvSpPr>
      <xdr:spPr bwMode="auto">
        <a:xfrm>
          <a:off x="3003892" y="118256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32</xdr:row>
      <xdr:rowOff>157490</xdr:rowOff>
    </xdr:from>
    <xdr:to>
      <xdr:col>4</xdr:col>
      <xdr:colOff>734011</xdr:colOff>
      <xdr:row>32</xdr:row>
      <xdr:rowOff>157490</xdr:rowOff>
    </xdr:to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CD7C36F2-053A-4C25-94FA-1782D2324A5E}"/>
            </a:ext>
          </a:extLst>
        </xdr:cNvPr>
        <xdr:cNvSpPr txBox="1">
          <a:spLocks noChangeArrowheads="1"/>
        </xdr:cNvSpPr>
      </xdr:nvSpPr>
      <xdr:spPr bwMode="auto">
        <a:xfrm>
          <a:off x="3003892" y="119875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32</xdr:row>
      <xdr:rowOff>157490</xdr:rowOff>
    </xdr:from>
    <xdr:to>
      <xdr:col>4</xdr:col>
      <xdr:colOff>734011</xdr:colOff>
      <xdr:row>32</xdr:row>
      <xdr:rowOff>157490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84E3FED8-8666-41C3-9E8C-0DEF6920418F}"/>
            </a:ext>
          </a:extLst>
        </xdr:cNvPr>
        <xdr:cNvSpPr txBox="1">
          <a:spLocks noChangeArrowheads="1"/>
        </xdr:cNvSpPr>
      </xdr:nvSpPr>
      <xdr:spPr bwMode="auto">
        <a:xfrm>
          <a:off x="3003892" y="119875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33</xdr:row>
      <xdr:rowOff>157490</xdr:rowOff>
    </xdr:from>
    <xdr:to>
      <xdr:col>4</xdr:col>
      <xdr:colOff>734011</xdr:colOff>
      <xdr:row>33</xdr:row>
      <xdr:rowOff>157490</xdr:rowOff>
    </xdr:to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F2EBF3E-3641-47E9-A14B-31953765F69F}"/>
            </a:ext>
          </a:extLst>
        </xdr:cNvPr>
        <xdr:cNvSpPr txBox="1">
          <a:spLocks noChangeArrowheads="1"/>
        </xdr:cNvSpPr>
      </xdr:nvSpPr>
      <xdr:spPr bwMode="auto">
        <a:xfrm>
          <a:off x="3003892" y="121494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33</xdr:row>
      <xdr:rowOff>157490</xdr:rowOff>
    </xdr:from>
    <xdr:to>
      <xdr:col>4</xdr:col>
      <xdr:colOff>734011</xdr:colOff>
      <xdr:row>33</xdr:row>
      <xdr:rowOff>157490</xdr:rowOff>
    </xdr:to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BA0AE495-9016-4846-A8A4-553678FD0721}"/>
            </a:ext>
          </a:extLst>
        </xdr:cNvPr>
        <xdr:cNvSpPr txBox="1">
          <a:spLocks noChangeArrowheads="1"/>
        </xdr:cNvSpPr>
      </xdr:nvSpPr>
      <xdr:spPr bwMode="auto">
        <a:xfrm>
          <a:off x="3003892" y="121494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26</xdr:row>
      <xdr:rowOff>157490</xdr:rowOff>
    </xdr:from>
    <xdr:to>
      <xdr:col>30</xdr:col>
      <xdr:colOff>734011</xdr:colOff>
      <xdr:row>26</xdr:row>
      <xdr:rowOff>157490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5EA468B9-3442-42F6-901E-C83F4503EAE6}"/>
            </a:ext>
          </a:extLst>
        </xdr:cNvPr>
        <xdr:cNvSpPr txBox="1">
          <a:spLocks noChangeArrowheads="1"/>
        </xdr:cNvSpPr>
      </xdr:nvSpPr>
      <xdr:spPr bwMode="auto">
        <a:xfrm>
          <a:off x="6213817" y="9063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26</xdr:row>
      <xdr:rowOff>157490</xdr:rowOff>
    </xdr:from>
    <xdr:to>
      <xdr:col>30</xdr:col>
      <xdr:colOff>734011</xdr:colOff>
      <xdr:row>26</xdr:row>
      <xdr:rowOff>157490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D9AF234-20B1-431B-8D89-3F42685CB3DA}"/>
            </a:ext>
          </a:extLst>
        </xdr:cNvPr>
        <xdr:cNvSpPr txBox="1">
          <a:spLocks noChangeArrowheads="1"/>
        </xdr:cNvSpPr>
      </xdr:nvSpPr>
      <xdr:spPr bwMode="auto">
        <a:xfrm>
          <a:off x="6213817" y="9063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26</xdr:row>
      <xdr:rowOff>157490</xdr:rowOff>
    </xdr:from>
    <xdr:to>
      <xdr:col>30</xdr:col>
      <xdr:colOff>734011</xdr:colOff>
      <xdr:row>26</xdr:row>
      <xdr:rowOff>157490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5561A4C9-1D17-4374-969E-7CA318E9872E}"/>
            </a:ext>
          </a:extLst>
        </xdr:cNvPr>
        <xdr:cNvSpPr txBox="1">
          <a:spLocks noChangeArrowheads="1"/>
        </xdr:cNvSpPr>
      </xdr:nvSpPr>
      <xdr:spPr bwMode="auto">
        <a:xfrm>
          <a:off x="6213817" y="9063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26</xdr:row>
      <xdr:rowOff>157490</xdr:rowOff>
    </xdr:from>
    <xdr:to>
      <xdr:col>30</xdr:col>
      <xdr:colOff>734011</xdr:colOff>
      <xdr:row>26</xdr:row>
      <xdr:rowOff>157490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AF3C8C76-1DD6-4368-A5A2-824FC4359C62}"/>
            </a:ext>
          </a:extLst>
        </xdr:cNvPr>
        <xdr:cNvSpPr txBox="1">
          <a:spLocks noChangeArrowheads="1"/>
        </xdr:cNvSpPr>
      </xdr:nvSpPr>
      <xdr:spPr bwMode="auto">
        <a:xfrm>
          <a:off x="6213817" y="9063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27</xdr:row>
      <xdr:rowOff>157490</xdr:rowOff>
    </xdr:from>
    <xdr:to>
      <xdr:col>30</xdr:col>
      <xdr:colOff>734011</xdr:colOff>
      <xdr:row>27</xdr:row>
      <xdr:rowOff>157490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D98D3F24-126A-4BDB-A5FB-462F98FC9FE1}"/>
            </a:ext>
          </a:extLst>
        </xdr:cNvPr>
        <xdr:cNvSpPr txBox="1">
          <a:spLocks noChangeArrowheads="1"/>
        </xdr:cNvSpPr>
      </xdr:nvSpPr>
      <xdr:spPr bwMode="auto">
        <a:xfrm>
          <a:off x="6213817" y="92538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27</xdr:row>
      <xdr:rowOff>157490</xdr:rowOff>
    </xdr:from>
    <xdr:to>
      <xdr:col>30</xdr:col>
      <xdr:colOff>734011</xdr:colOff>
      <xdr:row>27</xdr:row>
      <xdr:rowOff>157490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30641124-8572-4A24-8CA6-C2CB66F6948D}"/>
            </a:ext>
          </a:extLst>
        </xdr:cNvPr>
        <xdr:cNvSpPr txBox="1">
          <a:spLocks noChangeArrowheads="1"/>
        </xdr:cNvSpPr>
      </xdr:nvSpPr>
      <xdr:spPr bwMode="auto">
        <a:xfrm>
          <a:off x="6213817" y="92538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27</xdr:row>
      <xdr:rowOff>157490</xdr:rowOff>
    </xdr:from>
    <xdr:to>
      <xdr:col>30</xdr:col>
      <xdr:colOff>734011</xdr:colOff>
      <xdr:row>27</xdr:row>
      <xdr:rowOff>157490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8B28A0FF-A559-473C-B55E-165C52B98A7B}"/>
            </a:ext>
          </a:extLst>
        </xdr:cNvPr>
        <xdr:cNvSpPr txBox="1">
          <a:spLocks noChangeArrowheads="1"/>
        </xdr:cNvSpPr>
      </xdr:nvSpPr>
      <xdr:spPr bwMode="auto">
        <a:xfrm>
          <a:off x="6213817" y="92538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27</xdr:row>
      <xdr:rowOff>157490</xdr:rowOff>
    </xdr:from>
    <xdr:to>
      <xdr:col>30</xdr:col>
      <xdr:colOff>734011</xdr:colOff>
      <xdr:row>27</xdr:row>
      <xdr:rowOff>157490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1614E318-4AC3-4C42-9349-0AD72848820A}"/>
            </a:ext>
          </a:extLst>
        </xdr:cNvPr>
        <xdr:cNvSpPr txBox="1">
          <a:spLocks noChangeArrowheads="1"/>
        </xdr:cNvSpPr>
      </xdr:nvSpPr>
      <xdr:spPr bwMode="auto">
        <a:xfrm>
          <a:off x="6213817" y="92538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25</xdr:col>
      <xdr:colOff>413092</xdr:colOff>
      <xdr:row>29</xdr:row>
      <xdr:rowOff>157490</xdr:rowOff>
    </xdr:from>
    <xdr:to>
      <xdr:col>25</xdr:col>
      <xdr:colOff>734011</xdr:colOff>
      <xdr:row>29</xdr:row>
      <xdr:rowOff>157490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C5A38826-7512-40C0-A980-3B7C0D830752}"/>
            </a:ext>
          </a:extLst>
        </xdr:cNvPr>
        <xdr:cNvSpPr txBox="1">
          <a:spLocks noChangeArrowheads="1"/>
        </xdr:cNvSpPr>
      </xdr:nvSpPr>
      <xdr:spPr bwMode="auto">
        <a:xfrm>
          <a:off x="3003892" y="85871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25</xdr:col>
      <xdr:colOff>413092</xdr:colOff>
      <xdr:row>29</xdr:row>
      <xdr:rowOff>157490</xdr:rowOff>
    </xdr:from>
    <xdr:to>
      <xdr:col>25</xdr:col>
      <xdr:colOff>734011</xdr:colOff>
      <xdr:row>29</xdr:row>
      <xdr:rowOff>157490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DE156CE0-992E-479A-B764-D9D989DFB04F}"/>
            </a:ext>
          </a:extLst>
        </xdr:cNvPr>
        <xdr:cNvSpPr txBox="1">
          <a:spLocks noChangeArrowheads="1"/>
        </xdr:cNvSpPr>
      </xdr:nvSpPr>
      <xdr:spPr bwMode="auto">
        <a:xfrm>
          <a:off x="3003892" y="85871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25</xdr:col>
      <xdr:colOff>413092</xdr:colOff>
      <xdr:row>30</xdr:row>
      <xdr:rowOff>157490</xdr:rowOff>
    </xdr:from>
    <xdr:to>
      <xdr:col>25</xdr:col>
      <xdr:colOff>734011</xdr:colOff>
      <xdr:row>30</xdr:row>
      <xdr:rowOff>157490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8D9E5E5F-8DE5-486D-A29A-21285E7475A2}"/>
            </a:ext>
          </a:extLst>
        </xdr:cNvPr>
        <xdr:cNvSpPr txBox="1">
          <a:spLocks noChangeArrowheads="1"/>
        </xdr:cNvSpPr>
      </xdr:nvSpPr>
      <xdr:spPr bwMode="auto">
        <a:xfrm>
          <a:off x="3003892" y="8768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25</xdr:col>
      <xdr:colOff>413092</xdr:colOff>
      <xdr:row>30</xdr:row>
      <xdr:rowOff>157490</xdr:rowOff>
    </xdr:from>
    <xdr:to>
      <xdr:col>25</xdr:col>
      <xdr:colOff>734011</xdr:colOff>
      <xdr:row>30</xdr:row>
      <xdr:rowOff>157490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1F017FC0-4B9D-4809-A333-A1DFD78C5DCD}"/>
            </a:ext>
          </a:extLst>
        </xdr:cNvPr>
        <xdr:cNvSpPr txBox="1">
          <a:spLocks noChangeArrowheads="1"/>
        </xdr:cNvSpPr>
      </xdr:nvSpPr>
      <xdr:spPr bwMode="auto">
        <a:xfrm>
          <a:off x="3003892" y="8768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34</xdr:row>
      <xdr:rowOff>157490</xdr:rowOff>
    </xdr:from>
    <xdr:to>
      <xdr:col>4</xdr:col>
      <xdr:colOff>734011</xdr:colOff>
      <xdr:row>34</xdr:row>
      <xdr:rowOff>157490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A940D30-06D5-438A-B837-74614046F26F}"/>
            </a:ext>
          </a:extLst>
        </xdr:cNvPr>
        <xdr:cNvSpPr txBox="1">
          <a:spLocks noChangeArrowheads="1"/>
        </xdr:cNvSpPr>
      </xdr:nvSpPr>
      <xdr:spPr bwMode="auto">
        <a:xfrm>
          <a:off x="3003892" y="11301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35</xdr:row>
      <xdr:rowOff>157490</xdr:rowOff>
    </xdr:from>
    <xdr:to>
      <xdr:col>4</xdr:col>
      <xdr:colOff>734011</xdr:colOff>
      <xdr:row>35</xdr:row>
      <xdr:rowOff>157490</xdr:rowOff>
    </xdr:to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601C39BC-1DA0-401C-BF45-2219C59A1ECC}"/>
            </a:ext>
          </a:extLst>
        </xdr:cNvPr>
        <xdr:cNvSpPr txBox="1">
          <a:spLocks noChangeArrowheads="1"/>
        </xdr:cNvSpPr>
      </xdr:nvSpPr>
      <xdr:spPr bwMode="auto">
        <a:xfrm>
          <a:off x="3003892" y="114827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35</xdr:row>
      <xdr:rowOff>157490</xdr:rowOff>
    </xdr:from>
    <xdr:to>
      <xdr:col>4</xdr:col>
      <xdr:colOff>734011</xdr:colOff>
      <xdr:row>35</xdr:row>
      <xdr:rowOff>157490</xdr:rowOff>
    </xdr:to>
    <xdr:sp macro="" textlink="">
      <xdr:nvSpPr>
        <xdr:cNvPr id="31" name="Text Box 7">
          <a:extLst>
            <a:ext uri="{FF2B5EF4-FFF2-40B4-BE49-F238E27FC236}">
              <a16:creationId xmlns:a16="http://schemas.microsoft.com/office/drawing/2014/main" id="{CF78EB74-BF31-41D2-A6A9-B852D788D487}"/>
            </a:ext>
          </a:extLst>
        </xdr:cNvPr>
        <xdr:cNvSpPr txBox="1">
          <a:spLocks noChangeArrowheads="1"/>
        </xdr:cNvSpPr>
      </xdr:nvSpPr>
      <xdr:spPr bwMode="auto">
        <a:xfrm>
          <a:off x="3003892" y="114827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96</xdr:row>
      <xdr:rowOff>0</xdr:rowOff>
    </xdr:from>
    <xdr:to>
      <xdr:col>13</xdr:col>
      <xdr:colOff>76200</xdr:colOff>
      <xdr:row>97</xdr:row>
      <xdr:rowOff>38102</xdr:rowOff>
    </xdr:to>
    <xdr:sp macro="" textlink="">
      <xdr:nvSpPr>
        <xdr:cNvPr id="48178" name="Text Box 1">
          <a:extLst>
            <a:ext uri="{FF2B5EF4-FFF2-40B4-BE49-F238E27FC236}">
              <a16:creationId xmlns:a16="http://schemas.microsoft.com/office/drawing/2014/main" id="{00000000-0008-0000-0900-000032BC0000}"/>
            </a:ext>
          </a:extLst>
        </xdr:cNvPr>
        <xdr:cNvSpPr txBox="1">
          <a:spLocks noChangeArrowheads="1"/>
        </xdr:cNvSpPr>
      </xdr:nvSpPr>
      <xdr:spPr bwMode="auto">
        <a:xfrm>
          <a:off x="7134225" y="17192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102</xdr:row>
      <xdr:rowOff>0</xdr:rowOff>
    </xdr:from>
    <xdr:to>
      <xdr:col>13</xdr:col>
      <xdr:colOff>76200</xdr:colOff>
      <xdr:row>103</xdr:row>
      <xdr:rowOff>14870</xdr:rowOff>
    </xdr:to>
    <xdr:sp macro="" textlink="">
      <xdr:nvSpPr>
        <xdr:cNvPr id="48179" name="Text Box 43">
          <a:extLst>
            <a:ext uri="{FF2B5EF4-FFF2-40B4-BE49-F238E27FC236}">
              <a16:creationId xmlns:a16="http://schemas.microsoft.com/office/drawing/2014/main" id="{00000000-0008-0000-0900-000033BC0000}"/>
            </a:ext>
          </a:extLst>
        </xdr:cNvPr>
        <xdr:cNvSpPr txBox="1">
          <a:spLocks noChangeArrowheads="1"/>
        </xdr:cNvSpPr>
      </xdr:nvSpPr>
      <xdr:spPr bwMode="auto">
        <a:xfrm>
          <a:off x="7134225" y="23040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900-000003040000}"/>
            </a:ext>
          </a:extLst>
        </xdr:cNvPr>
        <xdr:cNvSpPr txBox="1">
          <a:spLocks noChangeArrowheads="1"/>
        </xdr:cNvSpPr>
      </xdr:nvSpPr>
      <xdr:spPr bwMode="auto">
        <a:xfrm>
          <a:off x="4649372" y="5529372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900-000006040000}"/>
            </a:ext>
          </a:extLst>
        </xdr:cNvPr>
        <xdr:cNvSpPr txBox="1">
          <a:spLocks noChangeArrowheads="1"/>
        </xdr:cNvSpPr>
      </xdr:nvSpPr>
      <xdr:spPr bwMode="auto">
        <a:xfrm>
          <a:off x="4670767" y="59963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900-000007040000}"/>
            </a:ext>
          </a:extLst>
        </xdr:cNvPr>
        <xdr:cNvSpPr txBox="1">
          <a:spLocks noChangeArrowheads="1"/>
        </xdr:cNvSpPr>
      </xdr:nvSpPr>
      <xdr:spPr bwMode="auto">
        <a:xfrm>
          <a:off x="4670767" y="59963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24</xdr:row>
      <xdr:rowOff>64785</xdr:rowOff>
    </xdr:from>
    <xdr:to>
      <xdr:col>10</xdr:col>
      <xdr:colOff>120308</xdr:colOff>
      <xdr:row>25</xdr:row>
      <xdr:rowOff>117282</xdr:rowOff>
    </xdr:to>
    <xdr:sp macro="" textlink="">
      <xdr:nvSpPr>
        <xdr:cNvPr id="37" name="Text Box 4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>
          <a:spLocks noChangeArrowheads="1"/>
        </xdr:cNvSpPr>
      </xdr:nvSpPr>
      <xdr:spPr bwMode="auto">
        <a:xfrm>
          <a:off x="5753100" y="4922535"/>
          <a:ext cx="577508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 txBox="1">
          <a:spLocks noChangeArrowheads="1"/>
        </xdr:cNvSpPr>
      </xdr:nvSpPr>
      <xdr:spPr bwMode="auto">
        <a:xfrm>
          <a:off x="5763797" y="4910247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 txBox="1">
          <a:spLocks noChangeArrowheads="1"/>
        </xdr:cNvSpPr>
      </xdr:nvSpPr>
      <xdr:spPr bwMode="auto">
        <a:xfrm>
          <a:off x="5785192" y="5396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 txBox="1">
          <a:spLocks noChangeArrowheads="1"/>
        </xdr:cNvSpPr>
      </xdr:nvSpPr>
      <xdr:spPr bwMode="auto">
        <a:xfrm>
          <a:off x="5785192" y="5396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>
          <a:spLocks noChangeArrowheads="1"/>
        </xdr:cNvSpPr>
      </xdr:nvSpPr>
      <xdr:spPr bwMode="auto">
        <a:xfrm>
          <a:off x="5785192" y="5586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>
          <a:spLocks noChangeArrowheads="1"/>
        </xdr:cNvSpPr>
      </xdr:nvSpPr>
      <xdr:spPr bwMode="auto">
        <a:xfrm>
          <a:off x="5785192" y="5586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25</xdr:row>
      <xdr:rowOff>64785</xdr:rowOff>
    </xdr:from>
    <xdr:to>
      <xdr:col>10</xdr:col>
      <xdr:colOff>120308</xdr:colOff>
      <xdr:row>26</xdr:row>
      <xdr:rowOff>117282</xdr:rowOff>
    </xdr:to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>
          <a:spLocks noChangeArrowheads="1"/>
        </xdr:cNvSpPr>
      </xdr:nvSpPr>
      <xdr:spPr bwMode="auto">
        <a:xfrm>
          <a:off x="5648325" y="4541535"/>
          <a:ext cx="1679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26</xdr:row>
      <xdr:rowOff>64785</xdr:rowOff>
    </xdr:from>
    <xdr:to>
      <xdr:col>10</xdr:col>
      <xdr:colOff>120308</xdr:colOff>
      <xdr:row>27</xdr:row>
      <xdr:rowOff>117282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 txBox="1">
          <a:spLocks noChangeArrowheads="1"/>
        </xdr:cNvSpPr>
      </xdr:nvSpPr>
      <xdr:spPr bwMode="auto">
        <a:xfrm>
          <a:off x="5648325" y="4541535"/>
          <a:ext cx="1679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27</xdr:row>
      <xdr:rowOff>64785</xdr:rowOff>
    </xdr:from>
    <xdr:to>
      <xdr:col>10</xdr:col>
      <xdr:colOff>120308</xdr:colOff>
      <xdr:row>28</xdr:row>
      <xdr:rowOff>0</xdr:rowOff>
    </xdr:to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>
          <a:spLocks noChangeArrowheads="1"/>
        </xdr:cNvSpPr>
      </xdr:nvSpPr>
      <xdr:spPr bwMode="auto">
        <a:xfrm>
          <a:off x="5648325" y="4541535"/>
          <a:ext cx="1679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63" name="Text Box 3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 txBox="1">
          <a:spLocks noChangeArrowheads="1"/>
        </xdr:cNvSpPr>
      </xdr:nvSpPr>
      <xdr:spPr bwMode="auto">
        <a:xfrm>
          <a:off x="5773322" y="4433997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 txBox="1">
          <a:spLocks noChangeArrowheads="1"/>
        </xdr:cNvSpPr>
      </xdr:nvSpPr>
      <xdr:spPr bwMode="auto">
        <a:xfrm>
          <a:off x="5794717" y="49199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65" name="Text Box 7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 txBox="1">
          <a:spLocks noChangeArrowheads="1"/>
        </xdr:cNvSpPr>
      </xdr:nvSpPr>
      <xdr:spPr bwMode="auto">
        <a:xfrm>
          <a:off x="5794717" y="49199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 txBox="1">
          <a:spLocks noChangeArrowheads="1"/>
        </xdr:cNvSpPr>
      </xdr:nvSpPr>
      <xdr:spPr bwMode="auto">
        <a:xfrm>
          <a:off x="5794717" y="51104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67" name="Text Box 7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 txBox="1">
          <a:spLocks noChangeArrowheads="1"/>
        </xdr:cNvSpPr>
      </xdr:nvSpPr>
      <xdr:spPr bwMode="auto">
        <a:xfrm>
          <a:off x="5794717" y="51104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43</xdr:row>
      <xdr:rowOff>157490</xdr:rowOff>
    </xdr:from>
    <xdr:to>
      <xdr:col>4</xdr:col>
      <xdr:colOff>734011</xdr:colOff>
      <xdr:row>43</xdr:row>
      <xdr:rowOff>157490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>
          <a:spLocks noChangeArrowheads="1"/>
        </xdr:cNvSpPr>
      </xdr:nvSpPr>
      <xdr:spPr bwMode="auto">
        <a:xfrm>
          <a:off x="2232367" y="75012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43</xdr:row>
      <xdr:rowOff>157490</xdr:rowOff>
    </xdr:from>
    <xdr:to>
      <xdr:col>4</xdr:col>
      <xdr:colOff>734011</xdr:colOff>
      <xdr:row>43</xdr:row>
      <xdr:rowOff>157490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>
          <a:spLocks noChangeArrowheads="1"/>
        </xdr:cNvSpPr>
      </xdr:nvSpPr>
      <xdr:spPr bwMode="auto">
        <a:xfrm>
          <a:off x="2232367" y="75012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44</xdr:row>
      <xdr:rowOff>157490</xdr:rowOff>
    </xdr:from>
    <xdr:to>
      <xdr:col>4</xdr:col>
      <xdr:colOff>734011</xdr:colOff>
      <xdr:row>44</xdr:row>
      <xdr:rowOff>157490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>
          <a:spLocks noChangeArrowheads="1"/>
        </xdr:cNvSpPr>
      </xdr:nvSpPr>
      <xdr:spPr bwMode="auto">
        <a:xfrm>
          <a:off x="2232367" y="75012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44</xdr:row>
      <xdr:rowOff>157490</xdr:rowOff>
    </xdr:from>
    <xdr:to>
      <xdr:col>4</xdr:col>
      <xdr:colOff>734011</xdr:colOff>
      <xdr:row>44</xdr:row>
      <xdr:rowOff>157490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>
          <a:spLocks noChangeArrowheads="1"/>
        </xdr:cNvSpPr>
      </xdr:nvSpPr>
      <xdr:spPr bwMode="auto">
        <a:xfrm>
          <a:off x="2232367" y="75012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45</xdr:row>
      <xdr:rowOff>157490</xdr:rowOff>
    </xdr:from>
    <xdr:to>
      <xdr:col>4</xdr:col>
      <xdr:colOff>734011</xdr:colOff>
      <xdr:row>45</xdr:row>
      <xdr:rowOff>157490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>
          <a:spLocks noChangeArrowheads="1"/>
        </xdr:cNvSpPr>
      </xdr:nvSpPr>
      <xdr:spPr bwMode="auto">
        <a:xfrm>
          <a:off x="2232367" y="75012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45</xdr:row>
      <xdr:rowOff>157490</xdr:rowOff>
    </xdr:from>
    <xdr:to>
      <xdr:col>4</xdr:col>
      <xdr:colOff>734011</xdr:colOff>
      <xdr:row>45</xdr:row>
      <xdr:rowOff>157490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>
          <a:spLocks noChangeArrowheads="1"/>
        </xdr:cNvSpPr>
      </xdr:nvSpPr>
      <xdr:spPr bwMode="auto">
        <a:xfrm>
          <a:off x="2232367" y="75012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46</xdr:row>
      <xdr:rowOff>157490</xdr:rowOff>
    </xdr:from>
    <xdr:to>
      <xdr:col>4</xdr:col>
      <xdr:colOff>734011</xdr:colOff>
      <xdr:row>46</xdr:row>
      <xdr:rowOff>157490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>
          <a:spLocks noChangeArrowheads="1"/>
        </xdr:cNvSpPr>
      </xdr:nvSpPr>
      <xdr:spPr bwMode="auto">
        <a:xfrm>
          <a:off x="2232367" y="75012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46</xdr:row>
      <xdr:rowOff>157490</xdr:rowOff>
    </xdr:from>
    <xdr:to>
      <xdr:col>4</xdr:col>
      <xdr:colOff>734011</xdr:colOff>
      <xdr:row>46</xdr:row>
      <xdr:rowOff>157490</xdr:rowOff>
    </xdr:to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>
          <a:spLocks noChangeArrowheads="1"/>
        </xdr:cNvSpPr>
      </xdr:nvSpPr>
      <xdr:spPr bwMode="auto">
        <a:xfrm>
          <a:off x="2232367" y="75012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54</xdr:row>
      <xdr:rowOff>157490</xdr:rowOff>
    </xdr:from>
    <xdr:to>
      <xdr:col>4</xdr:col>
      <xdr:colOff>734011</xdr:colOff>
      <xdr:row>54</xdr:row>
      <xdr:rowOff>157490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>
          <a:spLocks noChangeArrowheads="1"/>
        </xdr:cNvSpPr>
      </xdr:nvSpPr>
      <xdr:spPr bwMode="auto">
        <a:xfrm>
          <a:off x="2232367" y="7872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54</xdr:row>
      <xdr:rowOff>157490</xdr:rowOff>
    </xdr:from>
    <xdr:to>
      <xdr:col>4</xdr:col>
      <xdr:colOff>734011</xdr:colOff>
      <xdr:row>54</xdr:row>
      <xdr:rowOff>157490</xdr:rowOff>
    </xdr:to>
    <xdr:sp macro="" textlink="">
      <xdr:nvSpPr>
        <xdr:cNvPr id="47" name="Text Box 7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 txBox="1">
          <a:spLocks noChangeArrowheads="1"/>
        </xdr:cNvSpPr>
      </xdr:nvSpPr>
      <xdr:spPr bwMode="auto">
        <a:xfrm>
          <a:off x="2232367" y="7872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55</xdr:row>
      <xdr:rowOff>157490</xdr:rowOff>
    </xdr:from>
    <xdr:to>
      <xdr:col>4</xdr:col>
      <xdr:colOff>734011</xdr:colOff>
      <xdr:row>55</xdr:row>
      <xdr:rowOff>157490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 txBox="1">
          <a:spLocks noChangeArrowheads="1"/>
        </xdr:cNvSpPr>
      </xdr:nvSpPr>
      <xdr:spPr bwMode="auto">
        <a:xfrm>
          <a:off x="2232367" y="8063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55</xdr:row>
      <xdr:rowOff>157490</xdr:rowOff>
    </xdr:from>
    <xdr:to>
      <xdr:col>4</xdr:col>
      <xdr:colOff>734011</xdr:colOff>
      <xdr:row>55</xdr:row>
      <xdr:rowOff>157490</xdr:rowOff>
    </xdr:to>
    <xdr:sp macro="" textlink="">
      <xdr:nvSpPr>
        <xdr:cNvPr id="51" name="Text Box 7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SpPr txBox="1">
          <a:spLocks noChangeArrowheads="1"/>
        </xdr:cNvSpPr>
      </xdr:nvSpPr>
      <xdr:spPr bwMode="auto">
        <a:xfrm>
          <a:off x="2232367" y="8063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56</xdr:row>
      <xdr:rowOff>157490</xdr:rowOff>
    </xdr:from>
    <xdr:to>
      <xdr:col>4</xdr:col>
      <xdr:colOff>734011</xdr:colOff>
      <xdr:row>56</xdr:row>
      <xdr:rowOff>157490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>
          <a:spLocks noChangeArrowheads="1"/>
        </xdr:cNvSpPr>
      </xdr:nvSpPr>
      <xdr:spPr bwMode="auto">
        <a:xfrm>
          <a:off x="2232367" y="82251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56</xdr:row>
      <xdr:rowOff>157490</xdr:rowOff>
    </xdr:from>
    <xdr:to>
      <xdr:col>4</xdr:col>
      <xdr:colOff>734011</xdr:colOff>
      <xdr:row>56</xdr:row>
      <xdr:rowOff>157490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SpPr txBox="1">
          <a:spLocks noChangeArrowheads="1"/>
        </xdr:cNvSpPr>
      </xdr:nvSpPr>
      <xdr:spPr bwMode="auto">
        <a:xfrm>
          <a:off x="2232367" y="82251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57</xdr:row>
      <xdr:rowOff>157490</xdr:rowOff>
    </xdr:from>
    <xdr:to>
      <xdr:col>4</xdr:col>
      <xdr:colOff>734011</xdr:colOff>
      <xdr:row>57</xdr:row>
      <xdr:rowOff>157490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>
          <a:spLocks noChangeArrowheads="1"/>
        </xdr:cNvSpPr>
      </xdr:nvSpPr>
      <xdr:spPr bwMode="auto">
        <a:xfrm>
          <a:off x="2232367" y="8387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57</xdr:row>
      <xdr:rowOff>157490</xdr:rowOff>
    </xdr:from>
    <xdr:to>
      <xdr:col>4</xdr:col>
      <xdr:colOff>734011</xdr:colOff>
      <xdr:row>57</xdr:row>
      <xdr:rowOff>157490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 txBox="1">
          <a:spLocks noChangeArrowheads="1"/>
        </xdr:cNvSpPr>
      </xdr:nvSpPr>
      <xdr:spPr bwMode="auto">
        <a:xfrm>
          <a:off x="2232367" y="8387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58</xdr:row>
      <xdr:rowOff>157490</xdr:rowOff>
    </xdr:from>
    <xdr:to>
      <xdr:col>4</xdr:col>
      <xdr:colOff>734011</xdr:colOff>
      <xdr:row>58</xdr:row>
      <xdr:rowOff>157490</xdr:rowOff>
    </xdr:to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 txBox="1">
          <a:spLocks noChangeArrowheads="1"/>
        </xdr:cNvSpPr>
      </xdr:nvSpPr>
      <xdr:spPr bwMode="auto">
        <a:xfrm>
          <a:off x="2232367" y="85680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58</xdr:row>
      <xdr:rowOff>157490</xdr:rowOff>
    </xdr:from>
    <xdr:to>
      <xdr:col>4</xdr:col>
      <xdr:colOff>734011</xdr:colOff>
      <xdr:row>58</xdr:row>
      <xdr:rowOff>157490</xdr:rowOff>
    </xdr:to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 txBox="1">
          <a:spLocks noChangeArrowheads="1"/>
        </xdr:cNvSpPr>
      </xdr:nvSpPr>
      <xdr:spPr bwMode="auto">
        <a:xfrm>
          <a:off x="2232367" y="85680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54</xdr:row>
      <xdr:rowOff>157490</xdr:rowOff>
    </xdr:from>
    <xdr:to>
      <xdr:col>4</xdr:col>
      <xdr:colOff>734011</xdr:colOff>
      <xdr:row>54</xdr:row>
      <xdr:rowOff>157490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55</xdr:row>
      <xdr:rowOff>157490</xdr:rowOff>
    </xdr:from>
    <xdr:to>
      <xdr:col>4</xdr:col>
      <xdr:colOff>734011</xdr:colOff>
      <xdr:row>55</xdr:row>
      <xdr:rowOff>157490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55</xdr:row>
      <xdr:rowOff>157490</xdr:rowOff>
    </xdr:from>
    <xdr:to>
      <xdr:col>4</xdr:col>
      <xdr:colOff>734011</xdr:colOff>
      <xdr:row>55</xdr:row>
      <xdr:rowOff>157490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56</xdr:row>
      <xdr:rowOff>157490</xdr:rowOff>
    </xdr:from>
    <xdr:to>
      <xdr:col>4</xdr:col>
      <xdr:colOff>734011</xdr:colOff>
      <xdr:row>56</xdr:row>
      <xdr:rowOff>157490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56</xdr:row>
      <xdr:rowOff>157490</xdr:rowOff>
    </xdr:from>
    <xdr:to>
      <xdr:col>4</xdr:col>
      <xdr:colOff>734011</xdr:colOff>
      <xdr:row>56</xdr:row>
      <xdr:rowOff>157490</xdr:rowOff>
    </xdr:to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57</xdr:row>
      <xdr:rowOff>157490</xdr:rowOff>
    </xdr:from>
    <xdr:to>
      <xdr:col>4</xdr:col>
      <xdr:colOff>734011</xdr:colOff>
      <xdr:row>57</xdr:row>
      <xdr:rowOff>157490</xdr:rowOff>
    </xdr:to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57</xdr:row>
      <xdr:rowOff>157490</xdr:rowOff>
    </xdr:from>
    <xdr:to>
      <xdr:col>4</xdr:col>
      <xdr:colOff>734011</xdr:colOff>
      <xdr:row>57</xdr:row>
      <xdr:rowOff>157490</xdr:rowOff>
    </xdr:to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58</xdr:row>
      <xdr:rowOff>157490</xdr:rowOff>
    </xdr:from>
    <xdr:to>
      <xdr:col>4</xdr:col>
      <xdr:colOff>734011</xdr:colOff>
      <xdr:row>58</xdr:row>
      <xdr:rowOff>157490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58</xdr:row>
      <xdr:rowOff>157490</xdr:rowOff>
    </xdr:from>
    <xdr:to>
      <xdr:col>4</xdr:col>
      <xdr:colOff>734011</xdr:colOff>
      <xdr:row>58</xdr:row>
      <xdr:rowOff>157490</xdr:rowOff>
    </xdr:to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59</xdr:row>
      <xdr:rowOff>157490</xdr:rowOff>
    </xdr:from>
    <xdr:to>
      <xdr:col>4</xdr:col>
      <xdr:colOff>734011</xdr:colOff>
      <xdr:row>59</xdr:row>
      <xdr:rowOff>157490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59</xdr:row>
      <xdr:rowOff>157490</xdr:rowOff>
    </xdr:from>
    <xdr:to>
      <xdr:col>4</xdr:col>
      <xdr:colOff>734011</xdr:colOff>
      <xdr:row>59</xdr:row>
      <xdr:rowOff>157490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 txBox="1">
          <a:spLocks noChangeArrowheads="1"/>
        </xdr:cNvSpPr>
      </xdr:nvSpPr>
      <xdr:spPr bwMode="auto">
        <a:xfrm>
          <a:off x="2232367" y="95205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25</xdr:row>
      <xdr:rowOff>64785</xdr:rowOff>
    </xdr:from>
    <xdr:to>
      <xdr:col>10</xdr:col>
      <xdr:colOff>120308</xdr:colOff>
      <xdr:row>26</xdr:row>
      <xdr:rowOff>117282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 txBox="1">
          <a:spLocks noChangeArrowheads="1"/>
        </xdr:cNvSpPr>
      </xdr:nvSpPr>
      <xdr:spPr bwMode="auto">
        <a:xfrm>
          <a:off x="5695950" y="41986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26</xdr:row>
      <xdr:rowOff>64785</xdr:rowOff>
    </xdr:from>
    <xdr:to>
      <xdr:col>10</xdr:col>
      <xdr:colOff>120308</xdr:colOff>
      <xdr:row>27</xdr:row>
      <xdr:rowOff>117282</xdr:rowOff>
    </xdr:to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 txBox="1">
          <a:spLocks noChangeArrowheads="1"/>
        </xdr:cNvSpPr>
      </xdr:nvSpPr>
      <xdr:spPr bwMode="auto">
        <a:xfrm>
          <a:off x="5695950" y="41986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26</xdr:row>
      <xdr:rowOff>52497</xdr:rowOff>
    </xdr:from>
    <xdr:to>
      <xdr:col>9</xdr:col>
      <xdr:colOff>712616</xdr:colOff>
      <xdr:row>26</xdr:row>
      <xdr:rowOff>52497</xdr:rowOff>
    </xdr:to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26</xdr:row>
      <xdr:rowOff>52497</xdr:rowOff>
    </xdr:from>
    <xdr:to>
      <xdr:col>9</xdr:col>
      <xdr:colOff>712616</xdr:colOff>
      <xdr:row>26</xdr:row>
      <xdr:rowOff>52497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27</xdr:row>
      <xdr:rowOff>64785</xdr:rowOff>
    </xdr:from>
    <xdr:to>
      <xdr:col>10</xdr:col>
      <xdr:colOff>120308</xdr:colOff>
      <xdr:row>28</xdr:row>
      <xdr:rowOff>117282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 txBox="1">
          <a:spLocks noChangeArrowheads="1"/>
        </xdr:cNvSpPr>
      </xdr:nvSpPr>
      <xdr:spPr bwMode="auto">
        <a:xfrm>
          <a:off x="5695950" y="41986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27</xdr:row>
      <xdr:rowOff>52497</xdr:rowOff>
    </xdr:from>
    <xdr:to>
      <xdr:col>9</xdr:col>
      <xdr:colOff>712616</xdr:colOff>
      <xdr:row>27</xdr:row>
      <xdr:rowOff>52497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27</xdr:row>
      <xdr:rowOff>52497</xdr:rowOff>
    </xdr:from>
    <xdr:to>
      <xdr:col>9</xdr:col>
      <xdr:colOff>712616</xdr:colOff>
      <xdr:row>27</xdr:row>
      <xdr:rowOff>52497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6CB0C519-C0AD-441C-937E-B1D97FF7973F}"/>
            </a:ext>
          </a:extLst>
        </xdr:cNvPr>
        <xdr:cNvSpPr txBox="1">
          <a:spLocks noChangeArrowheads="1"/>
        </xdr:cNvSpPr>
      </xdr:nvSpPr>
      <xdr:spPr bwMode="auto">
        <a:xfrm>
          <a:off x="7649747" y="4938822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24</xdr:row>
      <xdr:rowOff>64785</xdr:rowOff>
    </xdr:from>
    <xdr:to>
      <xdr:col>10</xdr:col>
      <xdr:colOff>120308</xdr:colOff>
      <xdr:row>25</xdr:row>
      <xdr:rowOff>117282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495A6A79-81EB-4B5E-AAEE-4F57BD0F1341}"/>
            </a:ext>
          </a:extLst>
        </xdr:cNvPr>
        <xdr:cNvSpPr txBox="1">
          <a:spLocks noChangeArrowheads="1"/>
        </xdr:cNvSpPr>
      </xdr:nvSpPr>
      <xdr:spPr bwMode="auto">
        <a:xfrm>
          <a:off x="7648575" y="4760610"/>
          <a:ext cx="120308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7B1585F4-70A7-4ED1-82FF-CE3FBCCE8D64}"/>
            </a:ext>
          </a:extLst>
        </xdr:cNvPr>
        <xdr:cNvSpPr txBox="1">
          <a:spLocks noChangeArrowheads="1"/>
        </xdr:cNvSpPr>
      </xdr:nvSpPr>
      <xdr:spPr bwMode="auto">
        <a:xfrm>
          <a:off x="7649747" y="4748322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25</xdr:row>
      <xdr:rowOff>64785</xdr:rowOff>
    </xdr:from>
    <xdr:to>
      <xdr:col>10</xdr:col>
      <xdr:colOff>120308</xdr:colOff>
      <xdr:row>26</xdr:row>
      <xdr:rowOff>117282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334AB35F-57E6-4A83-B61C-F6AC5B6FAC9B}"/>
            </a:ext>
          </a:extLst>
        </xdr:cNvPr>
        <xdr:cNvSpPr txBox="1">
          <a:spLocks noChangeArrowheads="1"/>
        </xdr:cNvSpPr>
      </xdr:nvSpPr>
      <xdr:spPr bwMode="auto">
        <a:xfrm>
          <a:off x="7648575" y="4951110"/>
          <a:ext cx="120308" cy="2525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26</xdr:row>
      <xdr:rowOff>64785</xdr:rowOff>
    </xdr:from>
    <xdr:to>
      <xdr:col>10</xdr:col>
      <xdr:colOff>120308</xdr:colOff>
      <xdr:row>27</xdr:row>
      <xdr:rowOff>117282</xdr:rowOff>
    </xdr:to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id="{CC3F7F12-1AEC-45E7-8E14-93C2C51158E2}"/>
            </a:ext>
          </a:extLst>
        </xdr:cNvPr>
        <xdr:cNvSpPr txBox="1">
          <a:spLocks noChangeArrowheads="1"/>
        </xdr:cNvSpPr>
      </xdr:nvSpPr>
      <xdr:spPr bwMode="auto">
        <a:xfrm>
          <a:off x="7648575" y="5151135"/>
          <a:ext cx="120308" cy="2525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27</xdr:row>
      <xdr:rowOff>64785</xdr:rowOff>
    </xdr:from>
    <xdr:to>
      <xdr:col>10</xdr:col>
      <xdr:colOff>120308</xdr:colOff>
      <xdr:row>28</xdr:row>
      <xdr:rowOff>0</xdr:rowOff>
    </xdr:to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id="{A0967B18-92CA-4B6C-BC5C-EB82BD61926B}"/>
            </a:ext>
          </a:extLst>
        </xdr:cNvPr>
        <xdr:cNvSpPr txBox="1">
          <a:spLocks noChangeArrowheads="1"/>
        </xdr:cNvSpPr>
      </xdr:nvSpPr>
      <xdr:spPr bwMode="auto">
        <a:xfrm>
          <a:off x="7648575" y="5351160"/>
          <a:ext cx="120308" cy="13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82" name="Text Box 3">
          <a:extLst>
            <a:ext uri="{FF2B5EF4-FFF2-40B4-BE49-F238E27FC236}">
              <a16:creationId xmlns:a16="http://schemas.microsoft.com/office/drawing/2014/main" id="{D0A025E0-A5FA-4D9C-8EB0-FC1AAF5D4F2E}"/>
            </a:ext>
          </a:extLst>
        </xdr:cNvPr>
        <xdr:cNvSpPr txBox="1">
          <a:spLocks noChangeArrowheads="1"/>
        </xdr:cNvSpPr>
      </xdr:nvSpPr>
      <xdr:spPr bwMode="auto">
        <a:xfrm>
          <a:off x="7649747" y="4748322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25</xdr:row>
      <xdr:rowOff>64785</xdr:rowOff>
    </xdr:from>
    <xdr:to>
      <xdr:col>10</xdr:col>
      <xdr:colOff>120308</xdr:colOff>
      <xdr:row>26</xdr:row>
      <xdr:rowOff>117282</xdr:rowOff>
    </xdr:to>
    <xdr:sp macro="" textlink="">
      <xdr:nvSpPr>
        <xdr:cNvPr id="83" name="Text Box 4">
          <a:extLst>
            <a:ext uri="{FF2B5EF4-FFF2-40B4-BE49-F238E27FC236}">
              <a16:creationId xmlns:a16="http://schemas.microsoft.com/office/drawing/2014/main" id="{92CAFD24-71F2-4E69-AF72-1D1E5A96D8C9}"/>
            </a:ext>
          </a:extLst>
        </xdr:cNvPr>
        <xdr:cNvSpPr txBox="1">
          <a:spLocks noChangeArrowheads="1"/>
        </xdr:cNvSpPr>
      </xdr:nvSpPr>
      <xdr:spPr bwMode="auto">
        <a:xfrm>
          <a:off x="7648575" y="4951110"/>
          <a:ext cx="120308" cy="2525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81DD7188-94BF-49E7-B712-FBA40A8C3A94}"/>
            </a:ext>
          </a:extLst>
        </xdr:cNvPr>
        <xdr:cNvSpPr txBox="1">
          <a:spLocks noChangeArrowheads="1"/>
        </xdr:cNvSpPr>
      </xdr:nvSpPr>
      <xdr:spPr bwMode="auto">
        <a:xfrm>
          <a:off x="7649747" y="4938822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F4CDE482-E50B-4683-9BB0-4898A9629351}"/>
            </a:ext>
          </a:extLst>
        </xdr:cNvPr>
        <xdr:cNvSpPr txBox="1">
          <a:spLocks noChangeArrowheads="1"/>
        </xdr:cNvSpPr>
      </xdr:nvSpPr>
      <xdr:spPr bwMode="auto">
        <a:xfrm>
          <a:off x="7649747" y="4938822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26</xdr:row>
      <xdr:rowOff>64785</xdr:rowOff>
    </xdr:from>
    <xdr:to>
      <xdr:col>10</xdr:col>
      <xdr:colOff>120308</xdr:colOff>
      <xdr:row>27</xdr:row>
      <xdr:rowOff>117282</xdr:rowOff>
    </xdr:to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id="{3AA30A90-5B36-4771-9BA1-F027558962B0}"/>
            </a:ext>
          </a:extLst>
        </xdr:cNvPr>
        <xdr:cNvSpPr txBox="1">
          <a:spLocks noChangeArrowheads="1"/>
        </xdr:cNvSpPr>
      </xdr:nvSpPr>
      <xdr:spPr bwMode="auto">
        <a:xfrm>
          <a:off x="7648575" y="5151135"/>
          <a:ext cx="120308" cy="2525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26</xdr:row>
      <xdr:rowOff>52497</xdr:rowOff>
    </xdr:from>
    <xdr:to>
      <xdr:col>9</xdr:col>
      <xdr:colOff>712616</xdr:colOff>
      <xdr:row>26</xdr:row>
      <xdr:rowOff>52497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57D34004-AE98-4812-B647-32B2457B1B60}"/>
            </a:ext>
          </a:extLst>
        </xdr:cNvPr>
        <xdr:cNvSpPr txBox="1">
          <a:spLocks noChangeArrowheads="1"/>
        </xdr:cNvSpPr>
      </xdr:nvSpPr>
      <xdr:spPr bwMode="auto">
        <a:xfrm>
          <a:off x="7649747" y="5138847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26</xdr:row>
      <xdr:rowOff>52497</xdr:rowOff>
    </xdr:from>
    <xdr:to>
      <xdr:col>9</xdr:col>
      <xdr:colOff>712616</xdr:colOff>
      <xdr:row>26</xdr:row>
      <xdr:rowOff>52497</xdr:rowOff>
    </xdr:to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id="{6BE9CF37-85F3-49E0-90EA-A5158754F1DF}"/>
            </a:ext>
          </a:extLst>
        </xdr:cNvPr>
        <xdr:cNvSpPr txBox="1">
          <a:spLocks noChangeArrowheads="1"/>
        </xdr:cNvSpPr>
      </xdr:nvSpPr>
      <xdr:spPr bwMode="auto">
        <a:xfrm>
          <a:off x="7649747" y="5138847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27</xdr:row>
      <xdr:rowOff>52497</xdr:rowOff>
    </xdr:from>
    <xdr:to>
      <xdr:col>9</xdr:col>
      <xdr:colOff>712616</xdr:colOff>
      <xdr:row>27</xdr:row>
      <xdr:rowOff>52497</xdr:rowOff>
    </xdr:to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BA6FA878-D4D0-424F-943A-8191DC1AE0F8}"/>
            </a:ext>
          </a:extLst>
        </xdr:cNvPr>
        <xdr:cNvSpPr txBox="1">
          <a:spLocks noChangeArrowheads="1"/>
        </xdr:cNvSpPr>
      </xdr:nvSpPr>
      <xdr:spPr bwMode="auto">
        <a:xfrm>
          <a:off x="7649747" y="5338872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27</xdr:row>
      <xdr:rowOff>52497</xdr:rowOff>
    </xdr:from>
    <xdr:to>
      <xdr:col>9</xdr:col>
      <xdr:colOff>712616</xdr:colOff>
      <xdr:row>27</xdr:row>
      <xdr:rowOff>52497</xdr:rowOff>
    </xdr:to>
    <xdr:sp macro="" textlink="">
      <xdr:nvSpPr>
        <xdr:cNvPr id="99" name="Text Box 3">
          <a:extLst>
            <a:ext uri="{FF2B5EF4-FFF2-40B4-BE49-F238E27FC236}">
              <a16:creationId xmlns:a16="http://schemas.microsoft.com/office/drawing/2014/main" id="{99A3EBCE-A737-4F14-B331-701FFBF7B08C}"/>
            </a:ext>
          </a:extLst>
        </xdr:cNvPr>
        <xdr:cNvSpPr txBox="1">
          <a:spLocks noChangeArrowheads="1"/>
        </xdr:cNvSpPr>
      </xdr:nvSpPr>
      <xdr:spPr bwMode="auto">
        <a:xfrm>
          <a:off x="7649747" y="5338872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100</xdr:row>
      <xdr:rowOff>0</xdr:rowOff>
    </xdr:from>
    <xdr:to>
      <xdr:col>12</xdr:col>
      <xdr:colOff>76200</xdr:colOff>
      <xdr:row>101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7324725" y="1669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76200</xdr:colOff>
      <xdr:row>106</xdr:row>
      <xdr:rowOff>9525</xdr:rowOff>
    </xdr:to>
    <xdr:sp macro="" textlink="">
      <xdr:nvSpPr>
        <xdr:cNvPr id="3" name="Text Box 4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7324725" y="17659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5706647" y="43768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24</xdr:row>
      <xdr:rowOff>64785</xdr:rowOff>
    </xdr:from>
    <xdr:to>
      <xdr:col>10</xdr:col>
      <xdr:colOff>120308</xdr:colOff>
      <xdr:row>25</xdr:row>
      <xdr:rowOff>117282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>
          <a:spLocks noChangeArrowheads="1"/>
        </xdr:cNvSpPr>
      </xdr:nvSpPr>
      <xdr:spPr bwMode="auto">
        <a:xfrm>
          <a:off x="5695950" y="41986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>
          <a:spLocks noChangeArrowheads="1"/>
        </xdr:cNvSpPr>
      </xdr:nvSpPr>
      <xdr:spPr bwMode="auto">
        <a:xfrm>
          <a:off x="5728042" y="4672340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>
          <a:spLocks noChangeArrowheads="1"/>
        </xdr:cNvSpPr>
      </xdr:nvSpPr>
      <xdr:spPr bwMode="auto">
        <a:xfrm>
          <a:off x="5728042" y="4672340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25</xdr:row>
      <xdr:rowOff>64785</xdr:rowOff>
    </xdr:from>
    <xdr:to>
      <xdr:col>10</xdr:col>
      <xdr:colOff>120308</xdr:colOff>
      <xdr:row>26</xdr:row>
      <xdr:rowOff>117282</xdr:rowOff>
    </xdr:to>
    <xdr:sp macro="" textlink="">
      <xdr:nvSpPr>
        <xdr:cNvPr id="13" name="Text Box 4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>
          <a:spLocks noChangeArrowheads="1"/>
        </xdr:cNvSpPr>
      </xdr:nvSpPr>
      <xdr:spPr bwMode="auto">
        <a:xfrm>
          <a:off x="5695950" y="43891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26</xdr:row>
      <xdr:rowOff>64785</xdr:rowOff>
    </xdr:from>
    <xdr:to>
      <xdr:col>10</xdr:col>
      <xdr:colOff>120308</xdr:colOff>
      <xdr:row>27</xdr:row>
      <xdr:rowOff>117282</xdr:rowOff>
    </xdr:to>
    <xdr:sp macro="" textlink="">
      <xdr:nvSpPr>
        <xdr:cNvPr id="14" name="Text Box 4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>
          <a:spLocks noChangeArrowheads="1"/>
        </xdr:cNvSpPr>
      </xdr:nvSpPr>
      <xdr:spPr bwMode="auto">
        <a:xfrm>
          <a:off x="5695950" y="4579635"/>
          <a:ext cx="282233" cy="2334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27</xdr:row>
      <xdr:rowOff>64785</xdr:rowOff>
    </xdr:from>
    <xdr:to>
      <xdr:col>10</xdr:col>
      <xdr:colOff>120308</xdr:colOff>
      <xdr:row>28</xdr:row>
      <xdr:rowOff>0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>
          <a:spLocks noChangeArrowheads="1"/>
        </xdr:cNvSpPr>
      </xdr:nvSpPr>
      <xdr:spPr bwMode="auto">
        <a:xfrm>
          <a:off x="5695950" y="4760610"/>
          <a:ext cx="282233" cy="116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>
          <a:spLocks noChangeArrowheads="1"/>
        </xdr:cNvSpPr>
      </xdr:nvSpPr>
      <xdr:spPr bwMode="auto">
        <a:xfrm>
          <a:off x="5728042" y="4672340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>
          <a:spLocks noChangeArrowheads="1"/>
        </xdr:cNvSpPr>
      </xdr:nvSpPr>
      <xdr:spPr bwMode="auto">
        <a:xfrm>
          <a:off x="5728042" y="4672340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45</xdr:row>
      <xdr:rowOff>157490</xdr:rowOff>
    </xdr:from>
    <xdr:to>
      <xdr:col>4</xdr:col>
      <xdr:colOff>734011</xdr:colOff>
      <xdr:row>45</xdr:row>
      <xdr:rowOff>157490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>
          <a:spLocks noChangeArrowheads="1"/>
        </xdr:cNvSpPr>
      </xdr:nvSpPr>
      <xdr:spPr bwMode="auto">
        <a:xfrm>
          <a:off x="2232367" y="7682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45</xdr:row>
      <xdr:rowOff>157490</xdr:rowOff>
    </xdr:from>
    <xdr:to>
      <xdr:col>4</xdr:col>
      <xdr:colOff>734011</xdr:colOff>
      <xdr:row>45</xdr:row>
      <xdr:rowOff>157490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>
          <a:spLocks noChangeArrowheads="1"/>
        </xdr:cNvSpPr>
      </xdr:nvSpPr>
      <xdr:spPr bwMode="auto">
        <a:xfrm>
          <a:off x="2232367" y="7682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46</xdr:row>
      <xdr:rowOff>157490</xdr:rowOff>
    </xdr:from>
    <xdr:to>
      <xdr:col>4</xdr:col>
      <xdr:colOff>734011</xdr:colOff>
      <xdr:row>46</xdr:row>
      <xdr:rowOff>157490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>
          <a:spLocks noChangeArrowheads="1"/>
        </xdr:cNvSpPr>
      </xdr:nvSpPr>
      <xdr:spPr bwMode="auto">
        <a:xfrm>
          <a:off x="2232367" y="7872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46</xdr:row>
      <xdr:rowOff>157490</xdr:rowOff>
    </xdr:from>
    <xdr:to>
      <xdr:col>4</xdr:col>
      <xdr:colOff>734011</xdr:colOff>
      <xdr:row>46</xdr:row>
      <xdr:rowOff>157490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>
          <a:spLocks noChangeArrowheads="1"/>
        </xdr:cNvSpPr>
      </xdr:nvSpPr>
      <xdr:spPr bwMode="auto">
        <a:xfrm>
          <a:off x="2232367" y="7872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47</xdr:row>
      <xdr:rowOff>157490</xdr:rowOff>
    </xdr:from>
    <xdr:to>
      <xdr:col>4</xdr:col>
      <xdr:colOff>734011</xdr:colOff>
      <xdr:row>47</xdr:row>
      <xdr:rowOff>157490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 txBox="1">
          <a:spLocks noChangeArrowheads="1"/>
        </xdr:cNvSpPr>
      </xdr:nvSpPr>
      <xdr:spPr bwMode="auto">
        <a:xfrm>
          <a:off x="2232367" y="8063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47</xdr:row>
      <xdr:rowOff>157490</xdr:rowOff>
    </xdr:from>
    <xdr:to>
      <xdr:col>4</xdr:col>
      <xdr:colOff>734011</xdr:colOff>
      <xdr:row>47</xdr:row>
      <xdr:rowOff>157490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 txBox="1">
          <a:spLocks noChangeArrowheads="1"/>
        </xdr:cNvSpPr>
      </xdr:nvSpPr>
      <xdr:spPr bwMode="auto">
        <a:xfrm>
          <a:off x="2232367" y="8063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48</xdr:row>
      <xdr:rowOff>157490</xdr:rowOff>
    </xdr:from>
    <xdr:to>
      <xdr:col>4</xdr:col>
      <xdr:colOff>734011</xdr:colOff>
      <xdr:row>48</xdr:row>
      <xdr:rowOff>157490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 txBox="1">
          <a:spLocks noChangeArrowheads="1"/>
        </xdr:cNvSpPr>
      </xdr:nvSpPr>
      <xdr:spPr bwMode="auto">
        <a:xfrm>
          <a:off x="2232367" y="82251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48</xdr:row>
      <xdr:rowOff>157490</xdr:rowOff>
    </xdr:from>
    <xdr:to>
      <xdr:col>4</xdr:col>
      <xdr:colOff>734011</xdr:colOff>
      <xdr:row>48</xdr:row>
      <xdr:rowOff>157490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>
          <a:spLocks noChangeArrowheads="1"/>
        </xdr:cNvSpPr>
      </xdr:nvSpPr>
      <xdr:spPr bwMode="auto">
        <a:xfrm>
          <a:off x="2232367" y="82251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56</xdr:row>
      <xdr:rowOff>157490</xdr:rowOff>
    </xdr:from>
    <xdr:to>
      <xdr:col>4</xdr:col>
      <xdr:colOff>734011</xdr:colOff>
      <xdr:row>56</xdr:row>
      <xdr:rowOff>157490</xdr:rowOff>
    </xdr:to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>
          <a:spLocks noChangeArrowheads="1"/>
        </xdr:cNvSpPr>
      </xdr:nvSpPr>
      <xdr:spPr bwMode="auto">
        <a:xfrm>
          <a:off x="2232367" y="98539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56</xdr:row>
      <xdr:rowOff>157490</xdr:rowOff>
    </xdr:from>
    <xdr:to>
      <xdr:col>4</xdr:col>
      <xdr:colOff>734011</xdr:colOff>
      <xdr:row>56</xdr:row>
      <xdr:rowOff>157490</xdr:rowOff>
    </xdr:to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>
          <a:spLocks noChangeArrowheads="1"/>
        </xdr:cNvSpPr>
      </xdr:nvSpPr>
      <xdr:spPr bwMode="auto">
        <a:xfrm>
          <a:off x="2232367" y="98539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57</xdr:row>
      <xdr:rowOff>157490</xdr:rowOff>
    </xdr:from>
    <xdr:to>
      <xdr:col>4</xdr:col>
      <xdr:colOff>734011</xdr:colOff>
      <xdr:row>57</xdr:row>
      <xdr:rowOff>157490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>
          <a:spLocks noChangeArrowheads="1"/>
        </xdr:cNvSpPr>
      </xdr:nvSpPr>
      <xdr:spPr bwMode="auto">
        <a:xfrm>
          <a:off x="2232367" y="10034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57</xdr:row>
      <xdr:rowOff>157490</xdr:rowOff>
    </xdr:from>
    <xdr:to>
      <xdr:col>4</xdr:col>
      <xdr:colOff>734011</xdr:colOff>
      <xdr:row>57</xdr:row>
      <xdr:rowOff>157490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>
          <a:spLocks noChangeArrowheads="1"/>
        </xdr:cNvSpPr>
      </xdr:nvSpPr>
      <xdr:spPr bwMode="auto">
        <a:xfrm>
          <a:off x="2232367" y="10034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58</xdr:row>
      <xdr:rowOff>157490</xdr:rowOff>
    </xdr:from>
    <xdr:to>
      <xdr:col>4</xdr:col>
      <xdr:colOff>734011</xdr:colOff>
      <xdr:row>58</xdr:row>
      <xdr:rowOff>157490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 txBox="1">
          <a:spLocks noChangeArrowheads="1"/>
        </xdr:cNvSpPr>
      </xdr:nvSpPr>
      <xdr:spPr bwMode="auto">
        <a:xfrm>
          <a:off x="2232367" y="102254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58</xdr:row>
      <xdr:rowOff>157490</xdr:rowOff>
    </xdr:from>
    <xdr:to>
      <xdr:col>4</xdr:col>
      <xdr:colOff>734011</xdr:colOff>
      <xdr:row>58</xdr:row>
      <xdr:rowOff>157490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>
          <a:spLocks noChangeArrowheads="1"/>
        </xdr:cNvSpPr>
      </xdr:nvSpPr>
      <xdr:spPr bwMode="auto">
        <a:xfrm>
          <a:off x="2232367" y="102254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59</xdr:row>
      <xdr:rowOff>157490</xdr:rowOff>
    </xdr:from>
    <xdr:to>
      <xdr:col>4</xdr:col>
      <xdr:colOff>734011</xdr:colOff>
      <xdr:row>59</xdr:row>
      <xdr:rowOff>157490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 txBox="1">
          <a:spLocks noChangeArrowheads="1"/>
        </xdr:cNvSpPr>
      </xdr:nvSpPr>
      <xdr:spPr bwMode="auto">
        <a:xfrm>
          <a:off x="2232367" y="10415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59</xdr:row>
      <xdr:rowOff>157490</xdr:rowOff>
    </xdr:from>
    <xdr:to>
      <xdr:col>4</xdr:col>
      <xdr:colOff>734011</xdr:colOff>
      <xdr:row>59</xdr:row>
      <xdr:rowOff>157490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 txBox="1">
          <a:spLocks noChangeArrowheads="1"/>
        </xdr:cNvSpPr>
      </xdr:nvSpPr>
      <xdr:spPr bwMode="auto">
        <a:xfrm>
          <a:off x="2232367" y="10415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60</xdr:row>
      <xdr:rowOff>157490</xdr:rowOff>
    </xdr:from>
    <xdr:to>
      <xdr:col>4</xdr:col>
      <xdr:colOff>734011</xdr:colOff>
      <xdr:row>60</xdr:row>
      <xdr:rowOff>157490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 txBox="1">
          <a:spLocks noChangeArrowheads="1"/>
        </xdr:cNvSpPr>
      </xdr:nvSpPr>
      <xdr:spPr bwMode="auto">
        <a:xfrm>
          <a:off x="2232367" y="106064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60</xdr:row>
      <xdr:rowOff>157490</xdr:rowOff>
    </xdr:from>
    <xdr:to>
      <xdr:col>4</xdr:col>
      <xdr:colOff>734011</xdr:colOff>
      <xdr:row>60</xdr:row>
      <xdr:rowOff>157490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 txBox="1">
          <a:spLocks noChangeArrowheads="1"/>
        </xdr:cNvSpPr>
      </xdr:nvSpPr>
      <xdr:spPr bwMode="auto">
        <a:xfrm>
          <a:off x="2232367" y="106064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56</xdr:row>
      <xdr:rowOff>157490</xdr:rowOff>
    </xdr:from>
    <xdr:to>
      <xdr:col>4</xdr:col>
      <xdr:colOff>734011</xdr:colOff>
      <xdr:row>56</xdr:row>
      <xdr:rowOff>157490</xdr:rowOff>
    </xdr:to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 txBox="1">
          <a:spLocks noChangeArrowheads="1"/>
        </xdr:cNvSpPr>
      </xdr:nvSpPr>
      <xdr:spPr bwMode="auto">
        <a:xfrm>
          <a:off x="2232367" y="98539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56</xdr:row>
      <xdr:rowOff>157490</xdr:rowOff>
    </xdr:from>
    <xdr:to>
      <xdr:col>4</xdr:col>
      <xdr:colOff>734011</xdr:colOff>
      <xdr:row>56</xdr:row>
      <xdr:rowOff>157490</xdr:rowOff>
    </xdr:to>
    <xdr:sp macro="" textlink="">
      <xdr:nvSpPr>
        <xdr:cNvPr id="44" name="Text Box 7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 txBox="1">
          <a:spLocks noChangeArrowheads="1"/>
        </xdr:cNvSpPr>
      </xdr:nvSpPr>
      <xdr:spPr bwMode="auto">
        <a:xfrm>
          <a:off x="2232367" y="98539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57</xdr:row>
      <xdr:rowOff>157490</xdr:rowOff>
    </xdr:from>
    <xdr:to>
      <xdr:col>4</xdr:col>
      <xdr:colOff>734011</xdr:colOff>
      <xdr:row>57</xdr:row>
      <xdr:rowOff>157490</xdr:rowOff>
    </xdr:to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 txBox="1">
          <a:spLocks noChangeArrowheads="1"/>
        </xdr:cNvSpPr>
      </xdr:nvSpPr>
      <xdr:spPr bwMode="auto">
        <a:xfrm>
          <a:off x="2232367" y="10034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57</xdr:row>
      <xdr:rowOff>157490</xdr:rowOff>
    </xdr:from>
    <xdr:to>
      <xdr:col>4</xdr:col>
      <xdr:colOff>734011</xdr:colOff>
      <xdr:row>57</xdr:row>
      <xdr:rowOff>157490</xdr:rowOff>
    </xdr:to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 txBox="1">
          <a:spLocks noChangeArrowheads="1"/>
        </xdr:cNvSpPr>
      </xdr:nvSpPr>
      <xdr:spPr bwMode="auto">
        <a:xfrm>
          <a:off x="2232367" y="10034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58</xdr:row>
      <xdr:rowOff>157490</xdr:rowOff>
    </xdr:from>
    <xdr:to>
      <xdr:col>4</xdr:col>
      <xdr:colOff>734011</xdr:colOff>
      <xdr:row>58</xdr:row>
      <xdr:rowOff>157490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 txBox="1">
          <a:spLocks noChangeArrowheads="1"/>
        </xdr:cNvSpPr>
      </xdr:nvSpPr>
      <xdr:spPr bwMode="auto">
        <a:xfrm>
          <a:off x="2232367" y="102254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58</xdr:row>
      <xdr:rowOff>157490</xdr:rowOff>
    </xdr:from>
    <xdr:to>
      <xdr:col>4</xdr:col>
      <xdr:colOff>734011</xdr:colOff>
      <xdr:row>58</xdr:row>
      <xdr:rowOff>157490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 txBox="1">
          <a:spLocks noChangeArrowheads="1"/>
        </xdr:cNvSpPr>
      </xdr:nvSpPr>
      <xdr:spPr bwMode="auto">
        <a:xfrm>
          <a:off x="2232367" y="102254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59</xdr:row>
      <xdr:rowOff>157490</xdr:rowOff>
    </xdr:from>
    <xdr:to>
      <xdr:col>4</xdr:col>
      <xdr:colOff>734011</xdr:colOff>
      <xdr:row>59</xdr:row>
      <xdr:rowOff>157490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 txBox="1">
          <a:spLocks noChangeArrowheads="1"/>
        </xdr:cNvSpPr>
      </xdr:nvSpPr>
      <xdr:spPr bwMode="auto">
        <a:xfrm>
          <a:off x="2232367" y="10415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59</xdr:row>
      <xdr:rowOff>157490</xdr:rowOff>
    </xdr:from>
    <xdr:to>
      <xdr:col>4</xdr:col>
      <xdr:colOff>734011</xdr:colOff>
      <xdr:row>59</xdr:row>
      <xdr:rowOff>157490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SpPr txBox="1">
          <a:spLocks noChangeArrowheads="1"/>
        </xdr:cNvSpPr>
      </xdr:nvSpPr>
      <xdr:spPr bwMode="auto">
        <a:xfrm>
          <a:off x="2232367" y="10415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60</xdr:row>
      <xdr:rowOff>157490</xdr:rowOff>
    </xdr:from>
    <xdr:to>
      <xdr:col>4</xdr:col>
      <xdr:colOff>734011</xdr:colOff>
      <xdr:row>60</xdr:row>
      <xdr:rowOff>157490</xdr:rowOff>
    </xdr:to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 txBox="1">
          <a:spLocks noChangeArrowheads="1"/>
        </xdr:cNvSpPr>
      </xdr:nvSpPr>
      <xdr:spPr bwMode="auto">
        <a:xfrm>
          <a:off x="2232367" y="106064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60</xdr:row>
      <xdr:rowOff>157490</xdr:rowOff>
    </xdr:from>
    <xdr:to>
      <xdr:col>4</xdr:col>
      <xdr:colOff>734011</xdr:colOff>
      <xdr:row>60</xdr:row>
      <xdr:rowOff>157490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SpPr txBox="1">
          <a:spLocks noChangeArrowheads="1"/>
        </xdr:cNvSpPr>
      </xdr:nvSpPr>
      <xdr:spPr bwMode="auto">
        <a:xfrm>
          <a:off x="2232367" y="106064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61</xdr:row>
      <xdr:rowOff>157490</xdr:rowOff>
    </xdr:from>
    <xdr:to>
      <xdr:col>4</xdr:col>
      <xdr:colOff>734011</xdr:colOff>
      <xdr:row>61</xdr:row>
      <xdr:rowOff>157490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 txBox="1">
          <a:spLocks noChangeArrowheads="1"/>
        </xdr:cNvSpPr>
      </xdr:nvSpPr>
      <xdr:spPr bwMode="auto">
        <a:xfrm>
          <a:off x="2232367" y="10796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61</xdr:row>
      <xdr:rowOff>157490</xdr:rowOff>
    </xdr:from>
    <xdr:to>
      <xdr:col>4</xdr:col>
      <xdr:colOff>734011</xdr:colOff>
      <xdr:row>61</xdr:row>
      <xdr:rowOff>157490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 txBox="1">
          <a:spLocks noChangeArrowheads="1"/>
        </xdr:cNvSpPr>
      </xdr:nvSpPr>
      <xdr:spPr bwMode="auto">
        <a:xfrm>
          <a:off x="2232367" y="107969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24</xdr:row>
      <xdr:rowOff>64785</xdr:rowOff>
    </xdr:from>
    <xdr:to>
      <xdr:col>10</xdr:col>
      <xdr:colOff>120308</xdr:colOff>
      <xdr:row>25</xdr:row>
      <xdr:rowOff>117282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SpPr txBox="1">
          <a:spLocks noChangeArrowheads="1"/>
        </xdr:cNvSpPr>
      </xdr:nvSpPr>
      <xdr:spPr bwMode="auto">
        <a:xfrm>
          <a:off x="6648450" y="4198635"/>
          <a:ext cx="158408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SpPr txBox="1">
          <a:spLocks noChangeArrowheads="1"/>
        </xdr:cNvSpPr>
      </xdr:nvSpPr>
      <xdr:spPr bwMode="auto">
        <a:xfrm>
          <a:off x="6659147" y="4186347"/>
          <a:ext cx="2564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69" name="Text Box 3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SpPr txBox="1">
          <a:spLocks noChangeArrowheads="1"/>
        </xdr:cNvSpPr>
      </xdr:nvSpPr>
      <xdr:spPr bwMode="auto">
        <a:xfrm>
          <a:off x="6659147" y="4186347"/>
          <a:ext cx="2564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atient_Moni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YANTEK\software%20DL%20gelar%20baru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A"/>
      <sheetName val="Riwayat Revisi"/>
      <sheetName val="DB Thermohygro"/>
      <sheetName val="DB NIBP"/>
      <sheetName val="DB ECG SIM"/>
      <sheetName val="DB SPO2"/>
      <sheetName val="LK"/>
      <sheetName val="ID"/>
      <sheetName val="kata-kata"/>
      <sheetName val="Budget"/>
      <sheetName val="Penyelia"/>
      <sheetName val="LH"/>
      <sheetName val="SERTIFIKAT"/>
      <sheetName val="Surat Keterang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I2" t="str">
            <v>1 / I - 22 / E - 060.26 DL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4">
          <cell r="D4" t="str">
            <v>KL. 012-18</v>
          </cell>
        </row>
      </sheetData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 LEMBAR"/>
      <sheetName val="CENTRI"/>
      <sheetName val="TENSI"/>
      <sheetName val="SUCTION"/>
      <sheetName val="SK Oven Lab Incu"/>
      <sheetName val="3 LEMBAR"/>
      <sheetName val="SURAT KET."/>
      <sheetName val="Alat"/>
      <sheetName val="No. Order"/>
      <sheetName val="CEKLIST BULAN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X219"/>
  <sheetViews>
    <sheetView topLeftCell="A151" zoomScale="55" zoomScaleNormal="55" zoomScaleSheetLayoutView="77" workbookViewId="0">
      <selection activeCell="A165" sqref="A165:L165"/>
    </sheetView>
  </sheetViews>
  <sheetFormatPr defaultColWidth="9" defaultRowHeight="12.5"/>
  <cols>
    <col min="1" max="1" width="9.6328125" style="180" customWidth="1"/>
    <col min="2" max="7" width="9.90625" style="180" customWidth="1"/>
    <col min="8" max="8" width="9.90625" style="1018" customWidth="1"/>
    <col min="9" max="14" width="9.90625" style="180" customWidth="1"/>
    <col min="15" max="15" width="14" style="180" customWidth="1"/>
    <col min="16" max="16" width="9.90625" style="1018" customWidth="1"/>
    <col min="17" max="23" width="9.90625" style="180" customWidth="1"/>
    <col min="24" max="24" width="9" style="1018"/>
    <col min="25" max="16384" width="9" style="180"/>
  </cols>
  <sheetData>
    <row r="1" spans="1:25" ht="48" customHeight="1">
      <c r="A1" s="1306" t="s">
        <v>401</v>
      </c>
      <c r="B1" s="1307"/>
      <c r="C1" s="1307"/>
      <c r="D1" s="1307"/>
      <c r="E1" s="1307"/>
      <c r="F1" s="1307"/>
      <c r="G1" s="1307"/>
      <c r="H1" s="1307"/>
      <c r="I1" s="1307"/>
      <c r="J1" s="1307"/>
      <c r="K1" s="1307"/>
      <c r="L1" s="1307"/>
      <c r="M1" s="1307"/>
      <c r="N1" s="1307"/>
      <c r="O1" s="1307"/>
      <c r="P1" s="1307"/>
      <c r="Q1" s="1307"/>
      <c r="R1" s="1307"/>
      <c r="S1" s="1307"/>
      <c r="T1" s="1307"/>
      <c r="U1" s="1307"/>
      <c r="V1" s="1307"/>
      <c r="W1" s="1308"/>
      <c r="Y1" s="180" t="s">
        <v>81</v>
      </c>
    </row>
    <row r="2" spans="1:25" ht="25.5" customHeight="1">
      <c r="A2" s="1295">
        <v>1</v>
      </c>
      <c r="B2" s="1302" t="str">
        <f>A166</f>
        <v>Electrical Safety Analyzer, Merek : Fluke, Model : ESA 620, SN : 1837056</v>
      </c>
      <c r="C2" s="1302"/>
      <c r="D2" s="1302"/>
      <c r="E2" s="1302"/>
      <c r="F2" s="1302"/>
      <c r="G2" s="1302"/>
      <c r="H2" s="1019"/>
      <c r="I2" s="1295">
        <v>2</v>
      </c>
      <c r="J2" s="1302" t="str">
        <f>A167</f>
        <v>Electrical Safety Analyzer, Merek : Fluke, Model : ESA 620, SN : 1834020</v>
      </c>
      <c r="K2" s="1302"/>
      <c r="L2" s="1302"/>
      <c r="M2" s="1302"/>
      <c r="N2" s="1302"/>
      <c r="O2" s="1302"/>
      <c r="P2" s="1019"/>
      <c r="Q2" s="1295">
        <v>3</v>
      </c>
      <c r="R2" s="1302" t="str">
        <f>A168</f>
        <v>Electrical Safety Analyzer, Merek : Fluke, Model : ESA 615, SN : 2853077</v>
      </c>
      <c r="S2" s="1302"/>
      <c r="T2" s="1302"/>
      <c r="U2" s="1302"/>
      <c r="V2" s="1302"/>
      <c r="W2" s="1302"/>
    </row>
    <row r="3" spans="1:25" ht="15" customHeight="1">
      <c r="A3" s="1296"/>
      <c r="B3" s="1301" t="s">
        <v>402</v>
      </c>
      <c r="C3" s="1301"/>
      <c r="D3" s="1301"/>
      <c r="E3" s="1301"/>
      <c r="F3" s="1020"/>
      <c r="G3" s="1020"/>
      <c r="H3" s="1021"/>
      <c r="I3" s="1296"/>
      <c r="J3" s="1301" t="s">
        <v>402</v>
      </c>
      <c r="K3" s="1301"/>
      <c r="L3" s="1301"/>
      <c r="M3" s="1301"/>
      <c r="N3" s="1020"/>
      <c r="O3" s="1020"/>
      <c r="P3" s="1021"/>
      <c r="Q3" s="1296"/>
      <c r="R3" s="1301" t="s">
        <v>402</v>
      </c>
      <c r="S3" s="1301"/>
      <c r="T3" s="1301"/>
      <c r="U3" s="1301"/>
      <c r="V3" s="1022"/>
      <c r="W3" s="1022"/>
    </row>
    <row r="4" spans="1:25" ht="12.75" customHeight="1">
      <c r="A4" s="1296"/>
      <c r="B4" s="1289" t="s">
        <v>403</v>
      </c>
      <c r="C4" s="1290"/>
      <c r="D4" s="1290"/>
      <c r="E4" s="1291"/>
      <c r="F4" s="1023" t="s">
        <v>404</v>
      </c>
      <c r="G4" s="1023" t="s">
        <v>77</v>
      </c>
      <c r="H4" s="1024"/>
      <c r="I4" s="1296"/>
      <c r="J4" s="1289" t="s">
        <v>403</v>
      </c>
      <c r="K4" s="1290"/>
      <c r="L4" s="1290"/>
      <c r="M4" s="1291"/>
      <c r="N4" s="1023" t="s">
        <v>404</v>
      </c>
      <c r="O4" s="1023" t="s">
        <v>77</v>
      </c>
      <c r="P4" s="1024"/>
      <c r="Q4" s="1296"/>
      <c r="R4" s="1289" t="s">
        <v>403</v>
      </c>
      <c r="S4" s="1290"/>
      <c r="T4" s="1290"/>
      <c r="U4" s="1291"/>
      <c r="V4" s="1023" t="s">
        <v>404</v>
      </c>
      <c r="W4" s="1023" t="s">
        <v>77</v>
      </c>
    </row>
    <row r="5" spans="1:25" ht="15" customHeight="1">
      <c r="A5" s="1296"/>
      <c r="B5" s="1022" t="s">
        <v>406</v>
      </c>
      <c r="C5" s="1023">
        <v>2019</v>
      </c>
      <c r="D5" s="1023">
        <v>2019</v>
      </c>
      <c r="E5" s="1023">
        <v>2020</v>
      </c>
      <c r="F5" s="1023"/>
      <c r="G5" s="1023"/>
      <c r="H5" s="1024"/>
      <c r="I5" s="1296"/>
      <c r="J5" s="1022" t="s">
        <v>406</v>
      </c>
      <c r="K5" s="1023">
        <v>2017</v>
      </c>
      <c r="L5" s="1023">
        <v>2017</v>
      </c>
      <c r="M5" s="1023">
        <v>2019</v>
      </c>
      <c r="N5" s="1023"/>
      <c r="O5" s="1023"/>
      <c r="P5" s="1024"/>
      <c r="Q5" s="1296"/>
      <c r="R5" s="1022" t="s">
        <v>406</v>
      </c>
      <c r="S5" s="1023">
        <v>2018</v>
      </c>
      <c r="T5" s="1023">
        <v>2021</v>
      </c>
      <c r="U5" s="1023">
        <v>2022</v>
      </c>
      <c r="V5" s="1023"/>
      <c r="W5" s="1023"/>
    </row>
    <row r="6" spans="1:25" ht="15" customHeight="1">
      <c r="A6" s="1296"/>
      <c r="B6" s="1025">
        <v>150</v>
      </c>
      <c r="C6" s="1026">
        <v>0.76</v>
      </c>
      <c r="D6" s="1026">
        <v>0.76</v>
      </c>
      <c r="E6" s="1026">
        <v>0.31</v>
      </c>
      <c r="F6" s="1027">
        <f t="shared" ref="F6:F11" si="0">0.5*(MAX(C6:E6)-MIN(C6:E6))</f>
        <v>0.22500000000000001</v>
      </c>
      <c r="G6" s="1028">
        <v>1.8</v>
      </c>
      <c r="H6" s="1024">
        <f>1.2/100</f>
        <v>1.2E-2</v>
      </c>
      <c r="I6" s="1296"/>
      <c r="J6" s="1025">
        <v>150</v>
      </c>
      <c r="K6" s="1029">
        <v>0.23</v>
      </c>
      <c r="L6" s="1029">
        <v>0.23</v>
      </c>
      <c r="M6" s="1026">
        <v>0.15</v>
      </c>
      <c r="N6" s="1027">
        <f t="shared" ref="N6:N11" si="1">0.5*(MAX(K6:M6)-MIN(K6:M6))</f>
        <v>4.0000000000000008E-2</v>
      </c>
      <c r="O6" s="1028">
        <v>1.8</v>
      </c>
      <c r="P6" s="1024">
        <f>1.2/100</f>
        <v>1.2E-2</v>
      </c>
      <c r="Q6" s="1296"/>
      <c r="R6" s="1030">
        <v>150</v>
      </c>
      <c r="S6" s="1029">
        <v>-7.0000000000000007E-2</v>
      </c>
      <c r="T6" s="1029">
        <v>-1.6</v>
      </c>
      <c r="U6" s="1029">
        <v>-1.43</v>
      </c>
      <c r="V6" s="1027">
        <f t="shared" ref="V6:V11" si="2">0.5*(MAX(S6:U6)-MIN(S6:U6))</f>
        <v>0.76500000000000001</v>
      </c>
      <c r="W6" s="1028">
        <v>1.8</v>
      </c>
      <c r="X6" s="1018">
        <f>1.2/100</f>
        <v>1.2E-2</v>
      </c>
    </row>
    <row r="7" spans="1:25" ht="12.75" customHeight="1">
      <c r="A7" s="1296"/>
      <c r="B7" s="1025">
        <v>180</v>
      </c>
      <c r="C7" s="1032">
        <v>-0.13</v>
      </c>
      <c r="D7" s="1032">
        <v>-0.13</v>
      </c>
      <c r="E7" s="1032">
        <v>0.1</v>
      </c>
      <c r="F7" s="1027">
        <f t="shared" si="0"/>
        <v>0.115</v>
      </c>
      <c r="G7" s="1028">
        <v>2.16</v>
      </c>
      <c r="H7" s="1024"/>
      <c r="I7" s="1296"/>
      <c r="J7" s="1025">
        <v>180</v>
      </c>
      <c r="K7" s="1029">
        <v>-0.06</v>
      </c>
      <c r="L7" s="1029">
        <v>-0.06</v>
      </c>
      <c r="M7" s="1032">
        <v>0.12</v>
      </c>
      <c r="N7" s="1027">
        <f t="shared" si="1"/>
        <v>0.09</v>
      </c>
      <c r="O7" s="1028">
        <v>2.16</v>
      </c>
      <c r="P7" s="1024"/>
      <c r="Q7" s="1296"/>
      <c r="R7" s="1033">
        <v>180</v>
      </c>
      <c r="S7" s="1029">
        <v>-0.13</v>
      </c>
      <c r="T7" s="1029">
        <v>-1.9</v>
      </c>
      <c r="U7" s="1029">
        <v>-1.81</v>
      </c>
      <c r="V7" s="1027">
        <f t="shared" si="2"/>
        <v>0.88500000000000001</v>
      </c>
      <c r="W7" s="1028">
        <v>2.16</v>
      </c>
    </row>
    <row r="8" spans="1:25" ht="12.75" customHeight="1">
      <c r="A8" s="1296"/>
      <c r="B8" s="1025">
        <v>200</v>
      </c>
      <c r="C8" s="1032">
        <v>-0.16</v>
      </c>
      <c r="D8" s="1032">
        <v>-0.16</v>
      </c>
      <c r="E8" s="1032">
        <v>-0.04</v>
      </c>
      <c r="F8" s="1027">
        <f t="shared" si="0"/>
        <v>0.06</v>
      </c>
      <c r="G8" s="1028">
        <v>2.4</v>
      </c>
      <c r="H8" s="1024"/>
      <c r="I8" s="1296"/>
      <c r="J8" s="1025">
        <v>200</v>
      </c>
      <c r="K8" s="1029">
        <v>-0.18</v>
      </c>
      <c r="L8" s="1029">
        <v>-0.18</v>
      </c>
      <c r="M8" s="1032">
        <v>0.06</v>
      </c>
      <c r="N8" s="1027">
        <f t="shared" si="1"/>
        <v>0.12</v>
      </c>
      <c r="O8" s="1028">
        <v>2.4</v>
      </c>
      <c r="P8" s="1024"/>
      <c r="Q8" s="1296"/>
      <c r="R8" s="1033">
        <v>200</v>
      </c>
      <c r="S8" s="1029">
        <v>-0.26</v>
      </c>
      <c r="T8" s="1029">
        <v>-2.14</v>
      </c>
      <c r="U8" s="1029">
        <v>-2.0499999999999998</v>
      </c>
      <c r="V8" s="1027">
        <f t="shared" si="2"/>
        <v>0.94000000000000006</v>
      </c>
      <c r="W8" s="1028">
        <v>2.4</v>
      </c>
    </row>
    <row r="9" spans="1:25" ht="12.75" customHeight="1">
      <c r="A9" s="1296"/>
      <c r="B9" s="1025">
        <v>220</v>
      </c>
      <c r="C9" s="1032">
        <v>-0.18</v>
      </c>
      <c r="D9" s="1032">
        <v>-0.18</v>
      </c>
      <c r="E9" s="1032">
        <v>-0.28000000000000003</v>
      </c>
      <c r="F9" s="1027">
        <f t="shared" si="0"/>
        <v>5.0000000000000017E-2</v>
      </c>
      <c r="G9" s="1028">
        <v>2.64</v>
      </c>
      <c r="H9" s="1024"/>
      <c r="I9" s="1296"/>
      <c r="J9" s="1025">
        <v>220</v>
      </c>
      <c r="K9" s="1029">
        <v>-0.03</v>
      </c>
      <c r="L9" s="1029">
        <v>-0.03</v>
      </c>
      <c r="M9" s="1032">
        <v>0.05</v>
      </c>
      <c r="N9" s="1027">
        <f t="shared" si="1"/>
        <v>0.04</v>
      </c>
      <c r="O9" s="1028">
        <v>2.64</v>
      </c>
      <c r="P9" s="1024"/>
      <c r="Q9" s="1296"/>
      <c r="R9" s="1033">
        <v>220</v>
      </c>
      <c r="S9" s="1029">
        <v>-0.28999999999999998</v>
      </c>
      <c r="T9" s="1029">
        <v>-3.44</v>
      </c>
      <c r="U9" s="1029">
        <v>-2.29</v>
      </c>
      <c r="V9" s="1027">
        <f t="shared" si="2"/>
        <v>1.575</v>
      </c>
      <c r="W9" s="1028">
        <v>2.64</v>
      </c>
    </row>
    <row r="10" spans="1:25" ht="12.75" customHeight="1">
      <c r="A10" s="1296"/>
      <c r="B10" s="1025">
        <v>230</v>
      </c>
      <c r="C10" s="1032">
        <v>-0.26</v>
      </c>
      <c r="D10" s="1032">
        <v>-0.26</v>
      </c>
      <c r="E10" s="1032">
        <v>-0.2</v>
      </c>
      <c r="F10" s="1027">
        <f t="shared" si="0"/>
        <v>0.03</v>
      </c>
      <c r="G10" s="1028">
        <v>2.7629999999999999</v>
      </c>
      <c r="H10" s="1024"/>
      <c r="I10" s="1296"/>
      <c r="J10" s="1025">
        <v>230</v>
      </c>
      <c r="K10" s="1029">
        <v>-10.02</v>
      </c>
      <c r="L10" s="1029">
        <v>-10.02</v>
      </c>
      <c r="M10" s="1032">
        <v>0.05</v>
      </c>
      <c r="N10" s="1027">
        <f t="shared" si="1"/>
        <v>5.0350000000000001</v>
      </c>
      <c r="O10" s="1028">
        <v>2.7629999999999999</v>
      </c>
      <c r="P10" s="1024"/>
      <c r="Q10" s="1296"/>
      <c r="R10" s="1033">
        <v>230</v>
      </c>
      <c r="S10" s="1029">
        <v>-0.23</v>
      </c>
      <c r="T10" s="1029">
        <v>-2.52</v>
      </c>
      <c r="U10" s="1029">
        <v>-11.79</v>
      </c>
      <c r="V10" s="1027">
        <f t="shared" si="2"/>
        <v>5.7799999999999994</v>
      </c>
      <c r="W10" s="1028">
        <v>2.7629999999999999</v>
      </c>
    </row>
    <row r="11" spans="1:25" ht="12.75" customHeight="1">
      <c r="A11" s="1296"/>
      <c r="B11" s="1025">
        <v>250</v>
      </c>
      <c r="C11" s="1032">
        <v>9.9999999999999995E-7</v>
      </c>
      <c r="D11" s="1032">
        <v>9.9999999999999995E-7</v>
      </c>
      <c r="E11" s="1032">
        <v>9.9999999999999995E-7</v>
      </c>
      <c r="F11" s="1027">
        <f t="shared" si="0"/>
        <v>0</v>
      </c>
      <c r="G11" s="1028">
        <v>3</v>
      </c>
      <c r="H11" s="1024"/>
      <c r="I11" s="1296"/>
      <c r="J11" s="1025">
        <v>250</v>
      </c>
      <c r="K11" s="1029">
        <v>9.9999999999999995E-7</v>
      </c>
      <c r="L11" s="1029">
        <v>9.9999999999999995E-7</v>
      </c>
      <c r="M11" s="1032">
        <v>9.9999999999999995E-7</v>
      </c>
      <c r="N11" s="1027">
        <f t="shared" si="1"/>
        <v>0</v>
      </c>
      <c r="O11" s="1028">
        <v>3</v>
      </c>
      <c r="P11" s="1024"/>
      <c r="Q11" s="1296"/>
      <c r="R11" s="1033">
        <v>250</v>
      </c>
      <c r="S11" s="1029">
        <v>9.9999999999999995E-7</v>
      </c>
      <c r="T11" s="1034">
        <v>9.9999999999999995E-7</v>
      </c>
      <c r="U11" s="1034">
        <v>9.9999999999999995E-7</v>
      </c>
      <c r="V11" s="1027">
        <f t="shared" si="2"/>
        <v>0</v>
      </c>
      <c r="W11" s="1028">
        <v>3</v>
      </c>
    </row>
    <row r="12" spans="1:25" ht="12.75" customHeight="1">
      <c r="A12" s="1296"/>
      <c r="B12" s="1292" t="s">
        <v>408</v>
      </c>
      <c r="C12" s="1293"/>
      <c r="D12" s="1293"/>
      <c r="E12" s="1294"/>
      <c r="F12" s="1023" t="s">
        <v>404</v>
      </c>
      <c r="G12" s="1023" t="s">
        <v>77</v>
      </c>
      <c r="H12" s="1024"/>
      <c r="I12" s="1296"/>
      <c r="J12" s="1292" t="s">
        <v>408</v>
      </c>
      <c r="K12" s="1293"/>
      <c r="L12" s="1293"/>
      <c r="M12" s="1294"/>
      <c r="N12" s="1023" t="s">
        <v>404</v>
      </c>
      <c r="O12" s="1023" t="s">
        <v>77</v>
      </c>
      <c r="P12" s="1024"/>
      <c r="Q12" s="1296"/>
      <c r="R12" s="1292" t="s">
        <v>408</v>
      </c>
      <c r="S12" s="1293"/>
      <c r="T12" s="1293"/>
      <c r="U12" s="1294"/>
      <c r="V12" s="1023" t="s">
        <v>404</v>
      </c>
      <c r="W12" s="1023" t="s">
        <v>77</v>
      </c>
    </row>
    <row r="13" spans="1:25" ht="15" customHeight="1">
      <c r="A13" s="1296"/>
      <c r="B13" s="1022" t="s">
        <v>410</v>
      </c>
      <c r="C13" s="1023">
        <f>C5</f>
        <v>2019</v>
      </c>
      <c r="D13" s="1023">
        <f>D5</f>
        <v>2019</v>
      </c>
      <c r="E13" s="1023">
        <f>E5</f>
        <v>2020</v>
      </c>
      <c r="F13" s="1023"/>
      <c r="G13" s="1023"/>
      <c r="H13" s="1024"/>
      <c r="I13" s="1296"/>
      <c r="J13" s="1022" t="s">
        <v>410</v>
      </c>
      <c r="K13" s="1023">
        <f>K5</f>
        <v>2017</v>
      </c>
      <c r="L13" s="1023">
        <f>L5</f>
        <v>2017</v>
      </c>
      <c r="M13" s="1023">
        <f>M5</f>
        <v>2019</v>
      </c>
      <c r="N13" s="1023"/>
      <c r="O13" s="1023"/>
      <c r="P13" s="1024"/>
      <c r="Q13" s="1296"/>
      <c r="R13" s="1022" t="s">
        <v>410</v>
      </c>
      <c r="S13" s="1023">
        <f>S5</f>
        <v>2018</v>
      </c>
      <c r="T13" s="1023">
        <f>T5</f>
        <v>2021</v>
      </c>
      <c r="U13" s="1023">
        <f>U5</f>
        <v>2022</v>
      </c>
      <c r="V13" s="1023"/>
      <c r="W13" s="1023"/>
    </row>
    <row r="14" spans="1:25" ht="12.75" customHeight="1">
      <c r="A14" s="1296"/>
      <c r="B14" s="1035">
        <v>9.9999999999999995E-7</v>
      </c>
      <c r="C14" s="1035">
        <v>9.9999999999999995E-7</v>
      </c>
      <c r="D14" s="1035">
        <v>9.9999999999999995E-7</v>
      </c>
      <c r="E14" s="1036">
        <v>0</v>
      </c>
      <c r="F14" s="1027">
        <f t="shared" ref="F14:F19" si="3">0.5*(MAX(C14:E14)-MIN(C14:E14))</f>
        <v>4.9999999999999998E-7</v>
      </c>
      <c r="G14" s="1037">
        <v>5.8999999999999999E-9</v>
      </c>
      <c r="H14" s="1024">
        <f>0.59/100</f>
        <v>5.8999999999999999E-3</v>
      </c>
      <c r="I14" s="1296"/>
      <c r="J14" s="1038">
        <v>9.9999999999999995E-7</v>
      </c>
      <c r="K14" s="1029">
        <v>9.9999999999999995E-7</v>
      </c>
      <c r="L14" s="1029">
        <v>9.9999999999999995E-7</v>
      </c>
      <c r="M14" s="1032">
        <v>9.9999999999999995E-7</v>
      </c>
      <c r="N14" s="1027">
        <f t="shared" ref="N14:N19" si="4">0.5*(MAX(K14:M14)-MIN(K14:M14))</f>
        <v>0</v>
      </c>
      <c r="O14" s="1037">
        <v>5.8999999999999999E-9</v>
      </c>
      <c r="P14" s="1024">
        <f>0.59/100</f>
        <v>5.8999999999999999E-3</v>
      </c>
      <c r="Q14" s="1296"/>
      <c r="R14" s="1029">
        <v>9.9999999999999995E-7</v>
      </c>
      <c r="S14" s="1028">
        <v>9.9999999999999995E-7</v>
      </c>
      <c r="T14" s="1032">
        <v>9.9999999999999995E-7</v>
      </c>
      <c r="U14" s="1032">
        <v>9.9999999999999995E-7</v>
      </c>
      <c r="V14" s="1027">
        <f t="shared" ref="V14:V19" si="5">0.5*(MAX(S14:U14)-MIN(S14:U14))</f>
        <v>0</v>
      </c>
      <c r="W14" s="1037">
        <v>5.8999999999999999E-9</v>
      </c>
      <c r="X14" s="1018">
        <f>0.59/100</f>
        <v>5.8999999999999999E-3</v>
      </c>
    </row>
    <row r="15" spans="1:25" ht="12.75" customHeight="1">
      <c r="A15" s="1296"/>
      <c r="B15" s="1033">
        <v>50</v>
      </c>
      <c r="C15" s="1032">
        <v>-0.06</v>
      </c>
      <c r="D15" s="1032">
        <v>-0.06</v>
      </c>
      <c r="E15" s="1032">
        <v>0.1</v>
      </c>
      <c r="F15" s="1027">
        <f t="shared" si="3"/>
        <v>0.08</v>
      </c>
      <c r="G15" s="1037">
        <v>0.29499999999999998</v>
      </c>
      <c r="H15" s="1024"/>
      <c r="I15" s="1296"/>
      <c r="J15" s="1033">
        <v>50</v>
      </c>
      <c r="K15" s="1029">
        <v>0.1</v>
      </c>
      <c r="L15" s="1029">
        <v>0.1</v>
      </c>
      <c r="M15" s="1032">
        <v>0.1</v>
      </c>
      <c r="N15" s="1027">
        <f t="shared" si="4"/>
        <v>0</v>
      </c>
      <c r="O15" s="1037">
        <v>0.29499999999999998</v>
      </c>
      <c r="P15" s="1024"/>
      <c r="Q15" s="1296"/>
      <c r="R15" s="1033">
        <v>50</v>
      </c>
      <c r="S15" s="1029">
        <v>2</v>
      </c>
      <c r="T15" s="1029">
        <v>2.1</v>
      </c>
      <c r="U15" s="1029">
        <v>9.1</v>
      </c>
      <c r="V15" s="1027">
        <f t="shared" si="5"/>
        <v>3.55</v>
      </c>
      <c r="W15" s="1037">
        <v>0.29499999999999998</v>
      </c>
    </row>
    <row r="16" spans="1:25" ht="12.75" customHeight="1">
      <c r="A16" s="1296"/>
      <c r="B16" s="1033">
        <v>100</v>
      </c>
      <c r="C16" s="1032">
        <v>-0.06</v>
      </c>
      <c r="D16" s="1032">
        <v>-0.06</v>
      </c>
      <c r="E16" s="1032">
        <v>0.2</v>
      </c>
      <c r="F16" s="1027">
        <f t="shared" si="3"/>
        <v>0.13</v>
      </c>
      <c r="G16" s="1037">
        <v>0.59</v>
      </c>
      <c r="H16" s="1024"/>
      <c r="I16" s="1296"/>
      <c r="J16" s="1033">
        <v>100</v>
      </c>
      <c r="K16" s="1029">
        <v>2.2000000000000002</v>
      </c>
      <c r="L16" s="1029">
        <v>2.2000000000000002</v>
      </c>
      <c r="M16" s="1032">
        <v>0.4</v>
      </c>
      <c r="N16" s="1027">
        <f t="shared" si="4"/>
        <v>0.90000000000000013</v>
      </c>
      <c r="O16" s="1037">
        <v>0.59</v>
      </c>
      <c r="P16" s="1024"/>
      <c r="Q16" s="1296"/>
      <c r="R16" s="1033">
        <v>100</v>
      </c>
      <c r="S16" s="1029">
        <v>2</v>
      </c>
      <c r="T16" s="1029">
        <v>2.2999999999999998</v>
      </c>
      <c r="U16" s="1029">
        <v>6</v>
      </c>
      <c r="V16" s="1027">
        <f t="shared" si="5"/>
        <v>2</v>
      </c>
      <c r="W16" s="1037">
        <v>0.59</v>
      </c>
    </row>
    <row r="17" spans="1:24" ht="12.75" customHeight="1">
      <c r="A17" s="1296"/>
      <c r="B17" s="1033">
        <v>200</v>
      </c>
      <c r="C17" s="1032">
        <v>0</v>
      </c>
      <c r="D17" s="1032">
        <v>0</v>
      </c>
      <c r="E17" s="1032">
        <v>0.4</v>
      </c>
      <c r="F17" s="1027">
        <f t="shared" si="3"/>
        <v>0.2</v>
      </c>
      <c r="G17" s="1037">
        <v>1.18</v>
      </c>
      <c r="H17" s="1024"/>
      <c r="I17" s="1296"/>
      <c r="J17" s="1033">
        <v>200</v>
      </c>
      <c r="K17" s="1029">
        <v>3.3</v>
      </c>
      <c r="L17" s="1029">
        <v>3.3</v>
      </c>
      <c r="M17" s="1032">
        <v>0.7</v>
      </c>
      <c r="N17" s="1027">
        <f t="shared" si="4"/>
        <v>1.2999999999999998</v>
      </c>
      <c r="O17" s="1037">
        <v>1.18</v>
      </c>
      <c r="P17" s="1024"/>
      <c r="Q17" s="1296"/>
      <c r="R17" s="1033">
        <v>200</v>
      </c>
      <c r="S17" s="1029">
        <v>3.6</v>
      </c>
      <c r="T17" s="1029">
        <v>2.5</v>
      </c>
      <c r="U17" s="1029">
        <v>-3.6</v>
      </c>
      <c r="V17" s="1027">
        <f t="shared" si="5"/>
        <v>3.6</v>
      </c>
      <c r="W17" s="1037">
        <v>1.18</v>
      </c>
    </row>
    <row r="18" spans="1:24" ht="12.75" customHeight="1">
      <c r="A18" s="1296"/>
      <c r="B18" s="1033">
        <v>500</v>
      </c>
      <c r="C18" s="1032">
        <v>-0.9</v>
      </c>
      <c r="D18" s="1032">
        <v>-0.9</v>
      </c>
      <c r="E18" s="1032">
        <v>3.8</v>
      </c>
      <c r="F18" s="1027">
        <f t="shared" si="3"/>
        <v>2.35</v>
      </c>
      <c r="G18" s="1037">
        <v>2.95</v>
      </c>
      <c r="H18" s="1024"/>
      <c r="I18" s="1296"/>
      <c r="J18" s="1033">
        <v>500</v>
      </c>
      <c r="K18" s="1029">
        <v>20</v>
      </c>
      <c r="L18" s="1029">
        <v>20</v>
      </c>
      <c r="M18" s="1032">
        <v>0.8</v>
      </c>
      <c r="N18" s="1027">
        <f t="shared" si="4"/>
        <v>9.6</v>
      </c>
      <c r="O18" s="1037">
        <v>2.95</v>
      </c>
      <c r="P18" s="1024"/>
      <c r="Q18" s="1296"/>
      <c r="R18" s="1033">
        <v>500</v>
      </c>
      <c r="S18" s="1029">
        <v>2.9</v>
      </c>
      <c r="T18" s="1029">
        <v>4.3</v>
      </c>
      <c r="U18" s="1029">
        <v>-18.8</v>
      </c>
      <c r="V18" s="1027">
        <f t="shared" si="5"/>
        <v>11.55</v>
      </c>
      <c r="W18" s="1037">
        <v>2.95</v>
      </c>
    </row>
    <row r="19" spans="1:24" ht="12.75" customHeight="1">
      <c r="A19" s="1296"/>
      <c r="B19" s="1033">
        <v>1000</v>
      </c>
      <c r="C19" s="1032">
        <v>-3.0000000000000001E-3</v>
      </c>
      <c r="D19" s="1032">
        <v>-3.0000000000000001E-3</v>
      </c>
      <c r="E19" s="1032">
        <v>9</v>
      </c>
      <c r="F19" s="1027">
        <f t="shared" si="3"/>
        <v>4.5015000000000001</v>
      </c>
      <c r="G19" s="1037">
        <v>5.9</v>
      </c>
      <c r="H19" s="1024"/>
      <c r="I19" s="1296"/>
      <c r="J19" s="1033">
        <v>1000</v>
      </c>
      <c r="K19" s="1039">
        <v>2</v>
      </c>
      <c r="L19" s="1039">
        <v>2</v>
      </c>
      <c r="M19" s="1032">
        <v>8.0000000000000002E-3</v>
      </c>
      <c r="N19" s="1027">
        <f t="shared" si="4"/>
        <v>0.996</v>
      </c>
      <c r="O19" s="1037">
        <v>5.9</v>
      </c>
      <c r="P19" s="1024"/>
      <c r="Q19" s="1296"/>
      <c r="R19" s="1033">
        <v>1000</v>
      </c>
      <c r="S19" s="1029">
        <v>3</v>
      </c>
      <c r="T19" s="1029">
        <v>2</v>
      </c>
      <c r="U19" s="1029">
        <v>-47</v>
      </c>
      <c r="V19" s="1027">
        <f t="shared" si="5"/>
        <v>25</v>
      </c>
      <c r="W19" s="1037">
        <v>5.9</v>
      </c>
    </row>
    <row r="20" spans="1:24" ht="12.75" customHeight="1">
      <c r="A20" s="1296"/>
      <c r="B20" s="1292" t="s">
        <v>411</v>
      </c>
      <c r="C20" s="1293"/>
      <c r="D20" s="1293"/>
      <c r="E20" s="1294"/>
      <c r="F20" s="1023" t="s">
        <v>404</v>
      </c>
      <c r="G20" s="1023" t="s">
        <v>77</v>
      </c>
      <c r="H20" s="1024"/>
      <c r="I20" s="1296"/>
      <c r="J20" s="1292" t="str">
        <f>B20</f>
        <v>Main-PE</v>
      </c>
      <c r="K20" s="1293"/>
      <c r="L20" s="1293"/>
      <c r="M20" s="1294"/>
      <c r="N20" s="1023" t="s">
        <v>404</v>
      </c>
      <c r="O20" s="1023" t="s">
        <v>77</v>
      </c>
      <c r="P20" s="1024"/>
      <c r="Q20" s="1296"/>
      <c r="R20" s="1292" t="str">
        <f>B20</f>
        <v>Main-PE</v>
      </c>
      <c r="S20" s="1293"/>
      <c r="T20" s="1293"/>
      <c r="U20" s="1294"/>
      <c r="V20" s="1023" t="s">
        <v>404</v>
      </c>
      <c r="W20" s="1023" t="s">
        <v>77</v>
      </c>
    </row>
    <row r="21" spans="1:24" ht="15" customHeight="1">
      <c r="A21" s="1296"/>
      <c r="B21" s="1022" t="s">
        <v>412</v>
      </c>
      <c r="C21" s="1023">
        <v>2019</v>
      </c>
      <c r="D21" s="1023">
        <v>2019</v>
      </c>
      <c r="E21" s="1023">
        <v>2015</v>
      </c>
      <c r="F21" s="1023"/>
      <c r="G21" s="1023"/>
      <c r="H21" s="1024"/>
      <c r="I21" s="1296"/>
      <c r="J21" s="1022" t="s">
        <v>412</v>
      </c>
      <c r="K21" s="1023">
        <f>K5</f>
        <v>2017</v>
      </c>
      <c r="L21" s="1023">
        <f>L5</f>
        <v>2017</v>
      </c>
      <c r="M21" s="1023">
        <f>M5</f>
        <v>2019</v>
      </c>
      <c r="N21" s="1023"/>
      <c r="O21" s="1023"/>
      <c r="P21" s="1024"/>
      <c r="Q21" s="1296"/>
      <c r="R21" s="1022" t="s">
        <v>412</v>
      </c>
      <c r="S21" s="1023">
        <f>S5</f>
        <v>2018</v>
      </c>
      <c r="T21" s="1023">
        <f>T5</f>
        <v>2021</v>
      </c>
      <c r="U21" s="1023">
        <f>U5</f>
        <v>2022</v>
      </c>
      <c r="V21" s="1023"/>
      <c r="W21" s="1023"/>
    </row>
    <row r="22" spans="1:24" ht="12.75" customHeight="1">
      <c r="A22" s="1296"/>
      <c r="B22" s="1033">
        <v>10</v>
      </c>
      <c r="C22" s="1029" t="s">
        <v>62</v>
      </c>
      <c r="D22" s="1029" t="s">
        <v>62</v>
      </c>
      <c r="E22" s="1029">
        <v>9.9999999999999995E-7</v>
      </c>
      <c r="F22" s="1027">
        <f t="shared" ref="F22:F25" si="6">0.5*(MAX(C22:E22)-MIN(C22:E22))</f>
        <v>0</v>
      </c>
      <c r="G22" s="1038">
        <v>0.06</v>
      </c>
      <c r="H22" s="1024">
        <v>5.8999999999999999E-3</v>
      </c>
      <c r="I22" s="1296"/>
      <c r="J22" s="1033">
        <v>10</v>
      </c>
      <c r="K22" s="1029">
        <v>9.9999999999999995E-7</v>
      </c>
      <c r="L22" s="1029">
        <v>9.9999999999999995E-7</v>
      </c>
      <c r="M22" s="1032">
        <v>0.1</v>
      </c>
      <c r="N22" s="1027">
        <f t="shared" ref="N22:N25" si="7">0.5*(MAX(K22:M22)-MIN(K22:M22))</f>
        <v>4.9999500000000002E-2</v>
      </c>
      <c r="O22" s="1038">
        <v>0.06</v>
      </c>
      <c r="P22" s="1024">
        <f>0.59/100</f>
        <v>5.8999999999999999E-3</v>
      </c>
      <c r="Q22" s="1296"/>
      <c r="R22" s="1033">
        <v>10</v>
      </c>
      <c r="S22" s="1029">
        <v>9.9999999999999995E-7</v>
      </c>
      <c r="T22" s="1029">
        <v>0.26</v>
      </c>
      <c r="U22" s="1029">
        <v>9.9999999999999995E-7</v>
      </c>
      <c r="V22" s="1027">
        <f t="shared" ref="V22:V25" si="8">0.5*(MAX(S22:U22)-MIN(S22:U22))</f>
        <v>0.12999950000000002</v>
      </c>
      <c r="W22" s="1038">
        <v>0.06</v>
      </c>
      <c r="X22" s="1018">
        <f>1.7/100</f>
        <v>1.7000000000000001E-2</v>
      </c>
    </row>
    <row r="23" spans="1:24" ht="12.75" customHeight="1">
      <c r="A23" s="1296"/>
      <c r="B23" s="1033">
        <v>20</v>
      </c>
      <c r="C23" s="1029" t="s">
        <v>62</v>
      </c>
      <c r="D23" s="1029" t="s">
        <v>62</v>
      </c>
      <c r="E23" s="1029">
        <v>9.9999999999999995E-7</v>
      </c>
      <c r="F23" s="1027">
        <f t="shared" si="6"/>
        <v>0</v>
      </c>
      <c r="G23" s="1038">
        <v>0.12</v>
      </c>
      <c r="H23" s="1024"/>
      <c r="I23" s="1296"/>
      <c r="J23" s="1033">
        <v>20</v>
      </c>
      <c r="K23" s="1029">
        <v>0.1</v>
      </c>
      <c r="L23" s="1029">
        <v>0.1</v>
      </c>
      <c r="M23" s="1032">
        <v>0.2</v>
      </c>
      <c r="N23" s="1027">
        <f t="shared" si="7"/>
        <v>0.05</v>
      </c>
      <c r="O23" s="1038">
        <v>0.12</v>
      </c>
      <c r="P23" s="1024"/>
      <c r="Q23" s="1296"/>
      <c r="R23" s="1033">
        <v>20</v>
      </c>
      <c r="S23" s="1029">
        <v>9.9999999999999995E-7</v>
      </c>
      <c r="T23" s="1034">
        <v>9.9999999999999995E-7</v>
      </c>
      <c r="U23" s="1034">
        <v>9.9999999999999995E-7</v>
      </c>
      <c r="V23" s="1027">
        <f t="shared" si="8"/>
        <v>0</v>
      </c>
      <c r="W23" s="1038">
        <v>0.12</v>
      </c>
    </row>
    <row r="24" spans="1:24" ht="12.75" customHeight="1">
      <c r="A24" s="1296"/>
      <c r="B24" s="1033">
        <v>50</v>
      </c>
      <c r="C24" s="1029" t="s">
        <v>62</v>
      </c>
      <c r="D24" s="1029" t="s">
        <v>62</v>
      </c>
      <c r="E24" s="1029">
        <v>9.9999999999999995E-7</v>
      </c>
      <c r="F24" s="1027">
        <f t="shared" si="6"/>
        <v>0</v>
      </c>
      <c r="G24" s="1038">
        <v>0.3</v>
      </c>
      <c r="H24" s="1024"/>
      <c r="I24" s="1296"/>
      <c r="J24" s="1033">
        <v>50</v>
      </c>
      <c r="K24" s="1029">
        <v>0.1</v>
      </c>
      <c r="L24" s="1029">
        <v>0.1</v>
      </c>
      <c r="M24" s="1032">
        <v>0.3</v>
      </c>
      <c r="N24" s="1027">
        <f t="shared" si="7"/>
        <v>9.9999999999999992E-2</v>
      </c>
      <c r="O24" s="1038">
        <v>0.3</v>
      </c>
      <c r="P24" s="1024"/>
      <c r="Q24" s="1296"/>
      <c r="R24" s="1033">
        <v>50</v>
      </c>
      <c r="S24" s="1029">
        <v>0.3</v>
      </c>
      <c r="T24" s="1029">
        <v>0.16</v>
      </c>
      <c r="U24" s="1029">
        <v>0.1</v>
      </c>
      <c r="V24" s="1027">
        <f t="shared" si="8"/>
        <v>9.9999999999999992E-2</v>
      </c>
      <c r="W24" s="1038">
        <v>0.3</v>
      </c>
    </row>
    <row r="25" spans="1:24" ht="12.75" customHeight="1">
      <c r="A25" s="1296"/>
      <c r="B25" s="1033">
        <v>100</v>
      </c>
      <c r="C25" s="1029" t="s">
        <v>62</v>
      </c>
      <c r="D25" s="1029" t="s">
        <v>62</v>
      </c>
      <c r="E25" s="1029">
        <v>-0.3</v>
      </c>
      <c r="F25" s="1027">
        <f t="shared" si="6"/>
        <v>0</v>
      </c>
      <c r="G25" s="1038">
        <v>0.59</v>
      </c>
      <c r="H25" s="1024"/>
      <c r="I25" s="1296"/>
      <c r="J25" s="1033">
        <v>100</v>
      </c>
      <c r="K25" s="1029">
        <v>9.9999999999999995E-7</v>
      </c>
      <c r="L25" s="1029">
        <v>9.9999999999999995E-7</v>
      </c>
      <c r="M25" s="1032">
        <v>0.3</v>
      </c>
      <c r="N25" s="1027">
        <f t="shared" si="7"/>
        <v>0.14999950000000001</v>
      </c>
      <c r="O25" s="1038">
        <v>0.59</v>
      </c>
      <c r="P25" s="1024"/>
      <c r="Q25" s="1296"/>
      <c r="R25" s="1033">
        <v>100</v>
      </c>
      <c r="S25" s="1029">
        <v>0.6</v>
      </c>
      <c r="T25" s="1029">
        <v>0.06</v>
      </c>
      <c r="U25" s="1029">
        <v>0.1</v>
      </c>
      <c r="V25" s="1027">
        <f t="shared" si="8"/>
        <v>0.27</v>
      </c>
      <c r="W25" s="1038">
        <v>0.59</v>
      </c>
    </row>
    <row r="26" spans="1:24" ht="12.75" customHeight="1">
      <c r="A26" s="1296"/>
      <c r="B26" s="1292" t="s">
        <v>413</v>
      </c>
      <c r="C26" s="1293"/>
      <c r="D26" s="1293"/>
      <c r="E26" s="1294"/>
      <c r="F26" s="1023" t="s">
        <v>404</v>
      </c>
      <c r="G26" s="1023" t="s">
        <v>77</v>
      </c>
      <c r="H26" s="1024"/>
      <c r="I26" s="1296"/>
      <c r="J26" s="1292" t="str">
        <f>B26</f>
        <v>Resistance</v>
      </c>
      <c r="K26" s="1293"/>
      <c r="L26" s="1293"/>
      <c r="M26" s="1294"/>
      <c r="N26" s="1023" t="s">
        <v>404</v>
      </c>
      <c r="O26" s="1023" t="s">
        <v>77</v>
      </c>
      <c r="P26" s="1024"/>
      <c r="Q26" s="1296"/>
      <c r="R26" s="1292" t="str">
        <f>B26</f>
        <v>Resistance</v>
      </c>
      <c r="S26" s="1293"/>
      <c r="T26" s="1293"/>
      <c r="U26" s="1294"/>
      <c r="V26" s="1023" t="s">
        <v>404</v>
      </c>
      <c r="W26" s="1023" t="s">
        <v>77</v>
      </c>
    </row>
    <row r="27" spans="1:24" ht="15" customHeight="1">
      <c r="A27" s="1296"/>
      <c r="B27" s="1022" t="s">
        <v>414</v>
      </c>
      <c r="C27" s="1023">
        <f>C5</f>
        <v>2019</v>
      </c>
      <c r="D27" s="1023">
        <f>D5</f>
        <v>2019</v>
      </c>
      <c r="E27" s="1023">
        <f>E5</f>
        <v>2020</v>
      </c>
      <c r="F27" s="1023"/>
      <c r="G27" s="1023"/>
      <c r="H27" s="1024"/>
      <c r="I27" s="1296"/>
      <c r="J27" s="1022" t="s">
        <v>414</v>
      </c>
      <c r="K27" s="1023">
        <f>K5</f>
        <v>2017</v>
      </c>
      <c r="L27" s="1023">
        <f>L5</f>
        <v>2017</v>
      </c>
      <c r="M27" s="1023">
        <f>M5</f>
        <v>2019</v>
      </c>
      <c r="N27" s="1023"/>
      <c r="O27" s="1023"/>
      <c r="P27" s="1024"/>
      <c r="Q27" s="1296"/>
      <c r="R27" s="1022" t="s">
        <v>414</v>
      </c>
      <c r="S27" s="1023">
        <f>S5</f>
        <v>2018</v>
      </c>
      <c r="T27" s="1023">
        <f>T5</f>
        <v>2021</v>
      </c>
      <c r="U27" s="1023">
        <f>U5</f>
        <v>2022</v>
      </c>
      <c r="V27" s="1023"/>
      <c r="W27" s="1023"/>
    </row>
    <row r="28" spans="1:24" ht="12.75" customHeight="1">
      <c r="A28" s="1296"/>
      <c r="B28" s="1033">
        <v>0.01</v>
      </c>
      <c r="C28" s="1034">
        <v>9.9999999999999995E-7</v>
      </c>
      <c r="D28" s="1034">
        <v>9.9999999999999995E-7</v>
      </c>
      <c r="E28" s="1034">
        <v>9.9999999999999995E-7</v>
      </c>
      <c r="F28" s="1027">
        <f t="shared" ref="F28:F31" si="9">0.5*(MAX(C28:E28)-MIN(C28:E28))</f>
        <v>0</v>
      </c>
      <c r="G28" s="1033">
        <v>1.2E-4</v>
      </c>
      <c r="H28" s="1024">
        <f>1.2/100</f>
        <v>1.2E-2</v>
      </c>
      <c r="I28" s="1296"/>
      <c r="J28" s="1033">
        <v>0.01</v>
      </c>
      <c r="K28" s="1039">
        <v>9.9999999999999995E-7</v>
      </c>
      <c r="L28" s="1039">
        <v>9.9999999999999995E-7</v>
      </c>
      <c r="M28" s="1034">
        <v>9.9999999999999995E-7</v>
      </c>
      <c r="N28" s="1027">
        <f t="shared" ref="N28:N31" si="10">0.5*(MAX(K28:M28)-MIN(K28:M28))</f>
        <v>0</v>
      </c>
      <c r="O28" s="1033">
        <v>1.2E-4</v>
      </c>
      <c r="P28" s="1040">
        <f>1.2/100</f>
        <v>1.2E-2</v>
      </c>
      <c r="Q28" s="1296"/>
      <c r="R28" s="1033">
        <v>0.01</v>
      </c>
      <c r="S28" s="1039">
        <v>9.9999999999999995E-7</v>
      </c>
      <c r="T28" s="1034">
        <v>9.9999999999999995E-7</v>
      </c>
      <c r="U28" s="1034">
        <v>0</v>
      </c>
      <c r="V28" s="1027">
        <f t="shared" ref="V28:V31" si="11">0.5*(MAX(S28:U28)-MIN(S28:U28))</f>
        <v>4.9999999999999998E-7</v>
      </c>
      <c r="W28" s="1033">
        <v>1.2E-4</v>
      </c>
      <c r="X28" s="1018">
        <f>1.2/100</f>
        <v>1.2E-2</v>
      </c>
    </row>
    <row r="29" spans="1:24" ht="12.75" customHeight="1">
      <c r="A29" s="1296"/>
      <c r="B29" s="1033">
        <v>0.1</v>
      </c>
      <c r="C29" s="1034">
        <v>2E-3</v>
      </c>
      <c r="D29" s="1034">
        <v>2E-3</v>
      </c>
      <c r="E29" s="1034">
        <v>-1E-3</v>
      </c>
      <c r="F29" s="1027">
        <f t="shared" si="9"/>
        <v>1.5E-3</v>
      </c>
      <c r="G29" s="1033">
        <v>1.1999999999999999E-3</v>
      </c>
      <c r="H29" s="1024"/>
      <c r="I29" s="1296"/>
      <c r="J29" s="1033">
        <v>0.1</v>
      </c>
      <c r="K29" s="1039">
        <v>5.0000000000000001E-3</v>
      </c>
      <c r="L29" s="1039">
        <v>5.0000000000000001E-3</v>
      </c>
      <c r="M29" s="1034">
        <v>6.0000000000000001E-3</v>
      </c>
      <c r="N29" s="1027">
        <f t="shared" si="10"/>
        <v>5.0000000000000001E-4</v>
      </c>
      <c r="O29" s="1033">
        <v>1.1999999999999999E-3</v>
      </c>
      <c r="P29" s="1024"/>
      <c r="Q29" s="1296"/>
      <c r="R29" s="1033">
        <v>0.1</v>
      </c>
      <c r="S29" s="1039">
        <v>9.9999999999999995E-7</v>
      </c>
      <c r="T29" s="1034">
        <v>9.9999999999999995E-7</v>
      </c>
      <c r="U29" s="1034">
        <v>-2E-3</v>
      </c>
      <c r="V29" s="1027">
        <f t="shared" si="11"/>
        <v>1.0005000000000001E-3</v>
      </c>
      <c r="W29" s="1033">
        <v>1.1999999999999999E-3</v>
      </c>
    </row>
    <row r="30" spans="1:24" ht="12.75" customHeight="1">
      <c r="A30" s="1296"/>
      <c r="B30" s="1033">
        <v>1</v>
      </c>
      <c r="C30" s="1034">
        <v>1.2E-2</v>
      </c>
      <c r="D30" s="1034">
        <v>1.2E-2</v>
      </c>
      <c r="E30" s="1034">
        <v>4.0000000000000001E-3</v>
      </c>
      <c r="F30" s="1027">
        <f t="shared" si="9"/>
        <v>4.0000000000000001E-3</v>
      </c>
      <c r="G30" s="1033">
        <v>1.2E-2</v>
      </c>
      <c r="H30" s="1024"/>
      <c r="I30" s="1296"/>
      <c r="J30" s="1033">
        <v>1</v>
      </c>
      <c r="K30" s="1039">
        <v>5.5E-2</v>
      </c>
      <c r="L30" s="1039">
        <v>5.5E-2</v>
      </c>
      <c r="M30" s="1034">
        <v>4.4999999999999998E-2</v>
      </c>
      <c r="N30" s="1027">
        <f t="shared" si="10"/>
        <v>5.000000000000001E-3</v>
      </c>
      <c r="O30" s="1033">
        <v>1.2E-2</v>
      </c>
      <c r="P30" s="1024"/>
      <c r="Q30" s="1296"/>
      <c r="R30" s="1033">
        <v>1</v>
      </c>
      <c r="S30" s="1039">
        <v>9.9999999999999995E-7</v>
      </c>
      <c r="T30" s="1039">
        <v>6.0000000000000001E-3</v>
      </c>
      <c r="U30" s="1039">
        <v>-1.2E-2</v>
      </c>
      <c r="V30" s="1027">
        <f t="shared" si="11"/>
        <v>9.0000000000000011E-3</v>
      </c>
      <c r="W30" s="1033">
        <v>1.2E-2</v>
      </c>
    </row>
    <row r="31" spans="1:24" ht="12.75" customHeight="1">
      <c r="A31" s="1297"/>
      <c r="B31" s="1033">
        <v>2</v>
      </c>
      <c r="C31" s="1034">
        <v>9.9999999999999995E-7</v>
      </c>
      <c r="D31" s="1034">
        <v>9.9999999999999995E-7</v>
      </c>
      <c r="E31" s="1034">
        <v>7.0000000000000001E-3</v>
      </c>
      <c r="F31" s="1027">
        <f t="shared" si="9"/>
        <v>3.4995E-3</v>
      </c>
      <c r="G31" s="1033">
        <v>2.4E-2</v>
      </c>
      <c r="H31" s="1024"/>
      <c r="I31" s="1297"/>
      <c r="J31" s="1033">
        <v>2</v>
      </c>
      <c r="K31" s="1039">
        <v>9.9999999999999995E-7</v>
      </c>
      <c r="L31" s="1039">
        <v>9.9999999999999995E-7</v>
      </c>
      <c r="M31" s="1034">
        <v>9.9999999999999995E-7</v>
      </c>
      <c r="N31" s="1027">
        <f t="shared" si="10"/>
        <v>0</v>
      </c>
      <c r="O31" s="1033">
        <v>2.4E-2</v>
      </c>
      <c r="P31" s="1024"/>
      <c r="Q31" s="1297"/>
      <c r="R31" s="1033">
        <v>2</v>
      </c>
      <c r="S31" s="1039">
        <v>9.9999999999999995E-7</v>
      </c>
      <c r="T31" s="1039">
        <v>1.2999999999999999E-2</v>
      </c>
      <c r="U31" s="1039">
        <v>-8.0000000000000002E-3</v>
      </c>
      <c r="V31" s="1027">
        <f t="shared" si="11"/>
        <v>1.0499999999999999E-2</v>
      </c>
      <c r="W31" s="1033">
        <v>2.4E-2</v>
      </c>
    </row>
    <row r="32" spans="1:24" s="668" customFormat="1" ht="19.5" customHeight="1">
      <c r="A32" s="1041"/>
      <c r="B32" s="669"/>
      <c r="C32" s="669"/>
      <c r="E32" s="669"/>
      <c r="F32" s="669"/>
      <c r="G32" s="669"/>
      <c r="H32" s="1042"/>
      <c r="I32" s="669"/>
      <c r="J32" s="669"/>
      <c r="K32" s="669"/>
      <c r="M32" s="669"/>
      <c r="N32" s="669"/>
      <c r="O32" s="669"/>
      <c r="P32" s="1042"/>
      <c r="Q32" s="669"/>
      <c r="R32" s="669"/>
      <c r="S32" s="669"/>
      <c r="U32" s="669"/>
      <c r="V32" s="669"/>
      <c r="W32" s="1043"/>
      <c r="X32" s="1044"/>
    </row>
    <row r="33" spans="1:24" ht="30" customHeight="1">
      <c r="A33" s="1295">
        <v>4</v>
      </c>
      <c r="B33" s="1298" t="str">
        <f>A169</f>
        <v>Electrical Safety Analyzer, Merek : Fluke, Model : ESA 615, SN : 2853078</v>
      </c>
      <c r="C33" s="1298"/>
      <c r="D33" s="1298"/>
      <c r="E33" s="1298"/>
      <c r="F33" s="1298"/>
      <c r="G33" s="1298"/>
      <c r="H33" s="1045"/>
      <c r="I33" s="1295">
        <v>5</v>
      </c>
      <c r="J33" s="1302" t="str">
        <f>A170</f>
        <v>Electrical Safety Analyzer, Merek : Fluke, Model : ESA 615, SN : 3148907</v>
      </c>
      <c r="K33" s="1302"/>
      <c r="L33" s="1302"/>
      <c r="M33" s="1302"/>
      <c r="N33" s="1302"/>
      <c r="O33" s="1302"/>
      <c r="P33" s="1019"/>
      <c r="Q33" s="1295">
        <v>6</v>
      </c>
      <c r="R33" s="1298" t="str">
        <f>A171</f>
        <v>Electrical Safety Analyzer, Merek : Fluke, Model : ESA 615, SN : 3148908</v>
      </c>
      <c r="S33" s="1298"/>
      <c r="T33" s="1298"/>
      <c r="U33" s="1298"/>
      <c r="V33" s="1298"/>
      <c r="W33" s="1298"/>
    </row>
    <row r="34" spans="1:24" ht="15" customHeight="1">
      <c r="A34" s="1296"/>
      <c r="B34" s="1300" t="s">
        <v>402</v>
      </c>
      <c r="C34" s="1300"/>
      <c r="D34" s="1300"/>
      <c r="E34" s="1300"/>
      <c r="F34" s="1046"/>
      <c r="G34" s="1046"/>
      <c r="H34" s="1021"/>
      <c r="I34" s="1296"/>
      <c r="J34" s="1300" t="s">
        <v>402</v>
      </c>
      <c r="K34" s="1300"/>
      <c r="L34" s="1300"/>
      <c r="M34" s="1300"/>
      <c r="N34" s="1046"/>
      <c r="O34" s="1046"/>
      <c r="P34" s="1021"/>
      <c r="Q34" s="1296"/>
      <c r="R34" s="1300" t="s">
        <v>402</v>
      </c>
      <c r="S34" s="1300"/>
      <c r="T34" s="1300"/>
      <c r="U34" s="1300"/>
      <c r="V34" s="1046"/>
      <c r="W34" s="1046"/>
    </row>
    <row r="35" spans="1:24" ht="12.75" customHeight="1">
      <c r="A35" s="1296"/>
      <c r="B35" s="1289" t="s">
        <v>403</v>
      </c>
      <c r="C35" s="1290"/>
      <c r="D35" s="1290"/>
      <c r="E35" s="1291"/>
      <c r="F35" s="1023" t="s">
        <v>404</v>
      </c>
      <c r="G35" s="1023" t="s">
        <v>77</v>
      </c>
      <c r="H35" s="1024"/>
      <c r="I35" s="1296"/>
      <c r="J35" s="1289" t="s">
        <v>403</v>
      </c>
      <c r="K35" s="1290"/>
      <c r="L35" s="1290"/>
      <c r="M35" s="1291"/>
      <c r="N35" s="1023" t="s">
        <v>404</v>
      </c>
      <c r="O35" s="1023" t="s">
        <v>77</v>
      </c>
      <c r="P35" s="1024"/>
      <c r="Q35" s="1296"/>
      <c r="R35" s="1289" t="s">
        <v>403</v>
      </c>
      <c r="S35" s="1290"/>
      <c r="T35" s="1290"/>
      <c r="U35" s="1291"/>
      <c r="V35" s="1023" t="s">
        <v>404</v>
      </c>
      <c r="W35" s="1023" t="s">
        <v>77</v>
      </c>
    </row>
    <row r="36" spans="1:24" ht="15" customHeight="1">
      <c r="A36" s="1296"/>
      <c r="B36" s="1022" t="s">
        <v>406</v>
      </c>
      <c r="C36" s="1023">
        <v>2019</v>
      </c>
      <c r="D36" s="1023">
        <v>2021</v>
      </c>
      <c r="E36" s="1023">
        <v>2022</v>
      </c>
      <c r="F36" s="1023"/>
      <c r="G36" s="1023"/>
      <c r="H36" s="1024"/>
      <c r="I36" s="1296"/>
      <c r="J36" s="1022" t="s">
        <v>406</v>
      </c>
      <c r="K36" s="1023">
        <v>2019</v>
      </c>
      <c r="L36" s="1023">
        <v>2019</v>
      </c>
      <c r="M36" s="1023">
        <v>2021</v>
      </c>
      <c r="N36" s="1023"/>
      <c r="O36" s="1023"/>
      <c r="P36" s="1024"/>
      <c r="Q36" s="1296"/>
      <c r="R36" s="1047" t="s">
        <v>406</v>
      </c>
      <c r="S36" s="1048">
        <v>2018</v>
      </c>
      <c r="T36" s="1048">
        <v>2019</v>
      </c>
      <c r="U36" s="1048">
        <v>2022</v>
      </c>
      <c r="V36" s="1023"/>
      <c r="W36" s="1023"/>
    </row>
    <row r="37" spans="1:24" ht="12.75" customHeight="1">
      <c r="A37" s="1296"/>
      <c r="B37" s="1033">
        <v>150</v>
      </c>
      <c r="C37" s="1029">
        <v>0.11</v>
      </c>
      <c r="D37" s="1029">
        <v>-0.05</v>
      </c>
      <c r="E37" s="1029">
        <v>0.08</v>
      </c>
      <c r="F37" s="1027">
        <f>0.5*(MAX(C37:E37)-MIN(C37:E37))</f>
        <v>0.08</v>
      </c>
      <c r="G37" s="1028">
        <v>1.8</v>
      </c>
      <c r="H37" s="1024">
        <f>1.2/100</f>
        <v>1.2E-2</v>
      </c>
      <c r="I37" s="1296"/>
      <c r="J37" s="1049">
        <v>150</v>
      </c>
      <c r="K37" s="1029">
        <v>0.02</v>
      </c>
      <c r="L37" s="1029">
        <v>0.02</v>
      </c>
      <c r="M37" s="1029">
        <v>0.25</v>
      </c>
      <c r="N37" s="1027">
        <f t="shared" ref="N37:N42" si="12">0.5*(MAX(K37:M37)-MIN(K37:M37))</f>
        <v>0.115</v>
      </c>
      <c r="O37" s="1028">
        <v>1.8</v>
      </c>
      <c r="P37" s="1024">
        <f>1.2/100</f>
        <v>1.2E-2</v>
      </c>
      <c r="Q37" s="1296"/>
      <c r="R37" s="1025">
        <v>150</v>
      </c>
      <c r="S37" s="1029">
        <v>0.03</v>
      </c>
      <c r="T37" s="1029">
        <v>-0.15</v>
      </c>
      <c r="U37" s="1029">
        <v>0.15</v>
      </c>
      <c r="V37" s="1027">
        <f t="shared" ref="V37:V42" si="13">0.5*(MAX(S37:U37)-MIN(S37:U37))</f>
        <v>0.15</v>
      </c>
      <c r="W37" s="1028">
        <v>1.8</v>
      </c>
      <c r="X37" s="1018">
        <f>1.2/100</f>
        <v>1.2E-2</v>
      </c>
    </row>
    <row r="38" spans="1:24" ht="12.75" customHeight="1">
      <c r="A38" s="1296"/>
      <c r="B38" s="1033">
        <v>180</v>
      </c>
      <c r="C38" s="1029">
        <v>0.03</v>
      </c>
      <c r="D38" s="1029">
        <v>-0.04</v>
      </c>
      <c r="E38" s="1029">
        <v>0.11</v>
      </c>
      <c r="F38" s="1027">
        <f t="shared" ref="F38:F42" si="14">0.5*(MAX(C38:E38)-MIN(C38:E38))</f>
        <v>7.4999999999999997E-2</v>
      </c>
      <c r="G38" s="1028">
        <v>2.16</v>
      </c>
      <c r="H38" s="1024"/>
      <c r="I38" s="1296"/>
      <c r="J38" s="1049">
        <v>180</v>
      </c>
      <c r="K38" s="1029">
        <v>0.1</v>
      </c>
      <c r="L38" s="1029">
        <v>0.1</v>
      </c>
      <c r="M38" s="1029">
        <v>0.09</v>
      </c>
      <c r="N38" s="1027">
        <f t="shared" si="12"/>
        <v>5.0000000000000044E-3</v>
      </c>
      <c r="O38" s="1028">
        <v>2.16</v>
      </c>
      <c r="P38" s="1024"/>
      <c r="Q38" s="1296"/>
      <c r="R38" s="1025">
        <v>180</v>
      </c>
      <c r="S38" s="1029">
        <v>0</v>
      </c>
      <c r="T38" s="1029">
        <v>-0.11</v>
      </c>
      <c r="U38" s="1029">
        <v>0.17</v>
      </c>
      <c r="V38" s="1027">
        <f t="shared" si="13"/>
        <v>0.14000000000000001</v>
      </c>
      <c r="W38" s="1028">
        <v>2.16</v>
      </c>
    </row>
    <row r="39" spans="1:24" ht="12.75" customHeight="1">
      <c r="A39" s="1296"/>
      <c r="B39" s="1033">
        <v>200</v>
      </c>
      <c r="C39" s="1029">
        <v>0.05</v>
      </c>
      <c r="D39" s="1029">
        <v>-6.7000000000000004E-2</v>
      </c>
      <c r="E39" s="1029">
        <v>0.11</v>
      </c>
      <c r="F39" s="1027">
        <f t="shared" si="14"/>
        <v>8.8499999999999995E-2</v>
      </c>
      <c r="G39" s="1028">
        <v>2.4</v>
      </c>
      <c r="H39" s="1024"/>
      <c r="I39" s="1296"/>
      <c r="J39" s="1049">
        <v>200</v>
      </c>
      <c r="K39" s="1029">
        <v>-0.03</v>
      </c>
      <c r="L39" s="1029">
        <v>-0.03</v>
      </c>
      <c r="M39" s="1029">
        <v>0.18</v>
      </c>
      <c r="N39" s="1027">
        <f t="shared" si="12"/>
        <v>0.105</v>
      </c>
      <c r="O39" s="1028">
        <v>2.4</v>
      </c>
      <c r="P39" s="1024"/>
      <c r="Q39" s="1296"/>
      <c r="R39" s="1025">
        <v>200</v>
      </c>
      <c r="S39" s="1029">
        <v>0.05</v>
      </c>
      <c r="T39" s="1029">
        <v>-0.1</v>
      </c>
      <c r="U39" s="1029">
        <v>0.1</v>
      </c>
      <c r="V39" s="1027">
        <f t="shared" si="13"/>
        <v>0.1</v>
      </c>
      <c r="W39" s="1028">
        <v>2.4</v>
      </c>
    </row>
    <row r="40" spans="1:24" ht="12.75" customHeight="1">
      <c r="A40" s="1296"/>
      <c r="B40" s="1033">
        <v>220</v>
      </c>
      <c r="C40" s="1029">
        <v>0.1</v>
      </c>
      <c r="D40" s="1029">
        <v>9.9999999999999995E-7</v>
      </c>
      <c r="E40" s="1029">
        <v>0.13</v>
      </c>
      <c r="F40" s="1027">
        <f t="shared" si="14"/>
        <v>6.4999500000000002E-2</v>
      </c>
      <c r="G40" s="1028">
        <v>2.64</v>
      </c>
      <c r="H40" s="1024"/>
      <c r="I40" s="1296"/>
      <c r="J40" s="1049">
        <v>220</v>
      </c>
      <c r="K40" s="1029">
        <v>0.38</v>
      </c>
      <c r="L40" s="1029">
        <v>0.38</v>
      </c>
      <c r="M40" s="1029">
        <v>0.56000000000000005</v>
      </c>
      <c r="N40" s="1027">
        <f t="shared" si="12"/>
        <v>9.0000000000000024E-2</v>
      </c>
      <c r="O40" s="1028">
        <v>2.64</v>
      </c>
      <c r="P40" s="1024"/>
      <c r="Q40" s="1296"/>
      <c r="R40" s="1025">
        <v>220</v>
      </c>
      <c r="S40" s="1029">
        <v>0.05</v>
      </c>
      <c r="T40" s="1029">
        <v>-0.13</v>
      </c>
      <c r="U40" s="1029">
        <v>7.0000000000000007E-2</v>
      </c>
      <c r="V40" s="1027">
        <f t="shared" si="13"/>
        <v>0.1</v>
      </c>
      <c r="W40" s="1028">
        <v>2.64</v>
      </c>
    </row>
    <row r="41" spans="1:24" ht="12.75" customHeight="1">
      <c r="A41" s="1296"/>
      <c r="B41" s="1033">
        <v>230</v>
      </c>
      <c r="C41" s="1029">
        <v>0.36799999999999999</v>
      </c>
      <c r="D41" s="1029">
        <v>-0.11</v>
      </c>
      <c r="E41" s="1029">
        <v>0.11</v>
      </c>
      <c r="F41" s="1027">
        <f t="shared" si="14"/>
        <v>0.23899999999999999</v>
      </c>
      <c r="G41" s="1028">
        <v>2.7629999999999999</v>
      </c>
      <c r="H41" s="1024"/>
      <c r="I41" s="1296"/>
      <c r="J41" s="1049">
        <v>230</v>
      </c>
      <c r="K41" s="1029">
        <v>-0.16</v>
      </c>
      <c r="L41" s="1029">
        <v>-0.16</v>
      </c>
      <c r="M41" s="1029">
        <v>0.73</v>
      </c>
      <c r="N41" s="1027">
        <f t="shared" si="12"/>
        <v>0.44500000000000001</v>
      </c>
      <c r="O41" s="1028">
        <v>2.7629999999999999</v>
      </c>
      <c r="P41" s="1024"/>
      <c r="Q41" s="1296"/>
      <c r="R41" s="1025">
        <v>230</v>
      </c>
      <c r="S41" s="1029">
        <v>-0.05</v>
      </c>
      <c r="T41" s="1029">
        <v>-0.15</v>
      </c>
      <c r="U41" s="1029">
        <v>0.08</v>
      </c>
      <c r="V41" s="1027">
        <f t="shared" si="13"/>
        <v>0.11499999999999999</v>
      </c>
      <c r="W41" s="1028">
        <v>2.7629999999999999</v>
      </c>
    </row>
    <row r="42" spans="1:24" ht="12.75" customHeight="1">
      <c r="A42" s="1296"/>
      <c r="B42" s="1033">
        <v>250</v>
      </c>
      <c r="C42" s="1029">
        <v>9.9999999999999995E-7</v>
      </c>
      <c r="D42" s="1034">
        <v>9.9999999999999995E-7</v>
      </c>
      <c r="E42" s="1034">
        <v>9.9999999999999995E-7</v>
      </c>
      <c r="F42" s="1027">
        <f t="shared" si="14"/>
        <v>0</v>
      </c>
      <c r="G42" s="1028">
        <v>3</v>
      </c>
      <c r="H42" s="1024"/>
      <c r="I42" s="1296"/>
      <c r="J42" s="1049">
        <v>250</v>
      </c>
      <c r="K42" s="1029">
        <v>9.9999999999999995E-7</v>
      </c>
      <c r="L42" s="1029">
        <v>9.9999999999999995E-7</v>
      </c>
      <c r="M42" s="1029">
        <v>9.9999999999999995E-7</v>
      </c>
      <c r="N42" s="1027">
        <f t="shared" si="12"/>
        <v>0</v>
      </c>
      <c r="O42" s="1028">
        <v>3</v>
      </c>
      <c r="P42" s="1024"/>
      <c r="Q42" s="1296"/>
      <c r="R42" s="1025">
        <v>250</v>
      </c>
      <c r="S42" s="1029">
        <v>9.9999999999999995E-7</v>
      </c>
      <c r="T42" s="1029">
        <v>9.9999999999999995E-7</v>
      </c>
      <c r="U42" s="1029">
        <v>9.9999999999999995E-7</v>
      </c>
      <c r="V42" s="1027">
        <f t="shared" si="13"/>
        <v>0</v>
      </c>
      <c r="W42" s="1028">
        <v>3</v>
      </c>
    </row>
    <row r="43" spans="1:24" ht="12.75" customHeight="1">
      <c r="A43" s="1296"/>
      <c r="B43" s="1292" t="s">
        <v>408</v>
      </c>
      <c r="C43" s="1293"/>
      <c r="D43" s="1293"/>
      <c r="E43" s="1294"/>
      <c r="F43" s="1023" t="s">
        <v>404</v>
      </c>
      <c r="G43" s="1023" t="s">
        <v>77</v>
      </c>
      <c r="H43" s="1024"/>
      <c r="I43" s="1296"/>
      <c r="J43" s="1292" t="s">
        <v>408</v>
      </c>
      <c r="K43" s="1293"/>
      <c r="L43" s="1293"/>
      <c r="M43" s="1294"/>
      <c r="N43" s="1023" t="s">
        <v>404</v>
      </c>
      <c r="O43" s="1023" t="s">
        <v>77</v>
      </c>
      <c r="P43" s="1024"/>
      <c r="Q43" s="1296"/>
      <c r="R43" s="1292" t="s">
        <v>408</v>
      </c>
      <c r="S43" s="1293"/>
      <c r="T43" s="1293"/>
      <c r="U43" s="1294"/>
      <c r="V43" s="1023" t="s">
        <v>404</v>
      </c>
      <c r="W43" s="1023" t="s">
        <v>77</v>
      </c>
    </row>
    <row r="44" spans="1:24" ht="15" customHeight="1">
      <c r="A44" s="1296"/>
      <c r="B44" s="1022" t="s">
        <v>410</v>
      </c>
      <c r="C44" s="1023">
        <f>C36</f>
        <v>2019</v>
      </c>
      <c r="D44" s="1023">
        <f>D36</f>
        <v>2021</v>
      </c>
      <c r="E44" s="1023">
        <f>E36</f>
        <v>2022</v>
      </c>
      <c r="F44" s="1023"/>
      <c r="G44" s="1023"/>
      <c r="H44" s="1024"/>
      <c r="I44" s="1296"/>
      <c r="J44" s="1022" t="s">
        <v>410</v>
      </c>
      <c r="K44" s="1023">
        <f>K36</f>
        <v>2019</v>
      </c>
      <c r="L44" s="1023">
        <f>L36</f>
        <v>2019</v>
      </c>
      <c r="M44" s="1023">
        <f>M36</f>
        <v>2021</v>
      </c>
      <c r="N44" s="1023"/>
      <c r="O44" s="1023"/>
      <c r="P44" s="1024"/>
      <c r="Q44" s="1296"/>
      <c r="R44" s="1022" t="s">
        <v>410</v>
      </c>
      <c r="S44" s="1023">
        <f>S36</f>
        <v>2018</v>
      </c>
      <c r="T44" s="1023">
        <f>T36</f>
        <v>2019</v>
      </c>
      <c r="U44" s="1023">
        <f>U36</f>
        <v>2022</v>
      </c>
      <c r="V44" s="1023"/>
      <c r="W44" s="1023"/>
    </row>
    <row r="45" spans="1:24" ht="12.75" customHeight="1">
      <c r="A45" s="1296"/>
      <c r="B45" s="1033">
        <v>0</v>
      </c>
      <c r="C45" s="1028">
        <v>9.9999999999999995E-7</v>
      </c>
      <c r="D45" s="1032">
        <v>9.9999999999999995E-7</v>
      </c>
      <c r="E45" s="1032">
        <v>9.9999999999999995E-7</v>
      </c>
      <c r="F45" s="1027">
        <f>0.5*(MAX(C45:E45)-MIN(C45:E45))</f>
        <v>0</v>
      </c>
      <c r="G45" s="1037">
        <v>5.8999999999999999E-9</v>
      </c>
      <c r="H45" s="1024">
        <f>0.59/100</f>
        <v>5.8999999999999999E-3</v>
      </c>
      <c r="I45" s="1296"/>
      <c r="J45" s="1050">
        <v>1.0000000000000001E-5</v>
      </c>
      <c r="K45" s="1031">
        <v>9.9999999999999995E-7</v>
      </c>
      <c r="L45" s="1031">
        <v>9.9999999999999995E-7</v>
      </c>
      <c r="M45" s="1031">
        <v>9.9999999999999995E-7</v>
      </c>
      <c r="N45" s="1027">
        <f t="shared" ref="N45:N50" si="15">0.5*(MAX(K45:M45)-MIN(K45:M45))</f>
        <v>0</v>
      </c>
      <c r="O45" s="1037">
        <v>5.8999999999999999E-9</v>
      </c>
      <c r="P45" s="1024">
        <f>0.59/100</f>
        <v>5.8999999999999999E-3</v>
      </c>
      <c r="Q45" s="1296"/>
      <c r="R45" s="1038">
        <v>9.9999999999999995E-7</v>
      </c>
      <c r="S45" s="1031">
        <v>9.9999999999999995E-7</v>
      </c>
      <c r="T45" s="1031">
        <v>9.9999999999999995E-7</v>
      </c>
      <c r="U45" s="1031">
        <v>9.9999999999999995E-7</v>
      </c>
      <c r="V45" s="1027">
        <f t="shared" ref="V45:V50" si="16">0.5*(MAX(S45:U45)-MIN(S45:U45))</f>
        <v>0</v>
      </c>
      <c r="W45" s="1037">
        <v>5.8999999999999999E-9</v>
      </c>
      <c r="X45" s="1018">
        <f>0.59/100</f>
        <v>5.8999999999999999E-3</v>
      </c>
    </row>
    <row r="46" spans="1:24" ht="12.75" customHeight="1">
      <c r="A46" s="1296"/>
      <c r="B46" s="1033">
        <v>50</v>
      </c>
      <c r="C46" s="1029">
        <v>0.2</v>
      </c>
      <c r="D46" s="1029">
        <v>0.4</v>
      </c>
      <c r="E46" s="1029">
        <v>9.9999999999999995E-7</v>
      </c>
      <c r="F46" s="1027">
        <f t="shared" ref="F46:F50" si="17">0.5*(MAX(C46:E46)-MIN(C46:E46))</f>
        <v>0.19999950000000002</v>
      </c>
      <c r="G46" s="1037">
        <v>0.29499999999999998</v>
      </c>
      <c r="H46" s="1024"/>
      <c r="I46" s="1296"/>
      <c r="J46" s="1049">
        <v>50</v>
      </c>
      <c r="K46" s="1029">
        <v>-0.33</v>
      </c>
      <c r="L46" s="1029">
        <v>-0.33</v>
      </c>
      <c r="M46" s="1029">
        <v>1.2</v>
      </c>
      <c r="N46" s="1027">
        <f t="shared" si="15"/>
        <v>0.76500000000000001</v>
      </c>
      <c r="O46" s="1037">
        <v>0.29499999999999998</v>
      </c>
      <c r="P46" s="1024"/>
      <c r="Q46" s="1296"/>
      <c r="R46" s="1033">
        <v>50</v>
      </c>
      <c r="S46" s="1029">
        <v>2.1</v>
      </c>
      <c r="T46" s="1029">
        <v>2.6</v>
      </c>
      <c r="U46" s="1038">
        <v>19.100000000000001</v>
      </c>
      <c r="V46" s="1027">
        <f t="shared" si="16"/>
        <v>8.5</v>
      </c>
      <c r="W46" s="1037">
        <v>0.29499999999999998</v>
      </c>
    </row>
    <row r="47" spans="1:24" ht="12.75" customHeight="1">
      <c r="A47" s="1296"/>
      <c r="B47" s="1033">
        <v>100</v>
      </c>
      <c r="C47" s="1029">
        <v>0.3</v>
      </c>
      <c r="D47" s="1029">
        <v>0.4</v>
      </c>
      <c r="E47" s="1029">
        <v>4.0999999999999996</v>
      </c>
      <c r="F47" s="1027">
        <f t="shared" si="17"/>
        <v>1.9</v>
      </c>
      <c r="G47" s="1037">
        <v>0.59</v>
      </c>
      <c r="H47" s="1024"/>
      <c r="I47" s="1296"/>
      <c r="J47" s="1049">
        <v>100</v>
      </c>
      <c r="K47" s="1029">
        <v>-0.42</v>
      </c>
      <c r="L47" s="1029">
        <v>-0.42</v>
      </c>
      <c r="M47" s="1029">
        <v>3.9</v>
      </c>
      <c r="N47" s="1027">
        <f t="shared" si="15"/>
        <v>2.16</v>
      </c>
      <c r="O47" s="1037">
        <v>0.59</v>
      </c>
      <c r="P47" s="1024"/>
      <c r="Q47" s="1296"/>
      <c r="R47" s="1033">
        <v>100</v>
      </c>
      <c r="S47" s="1029">
        <v>2.2999999999999998</v>
      </c>
      <c r="T47" s="1029">
        <v>2.6</v>
      </c>
      <c r="U47" s="1038">
        <v>18.399999999999999</v>
      </c>
      <c r="V47" s="1027">
        <f t="shared" si="16"/>
        <v>8.0499999999999989</v>
      </c>
      <c r="W47" s="1037">
        <v>0.59</v>
      </c>
    </row>
    <row r="48" spans="1:24" ht="12.75" customHeight="1">
      <c r="A48" s="1296"/>
      <c r="B48" s="1033">
        <v>200</v>
      </c>
      <c r="C48" s="1029">
        <v>1.4</v>
      </c>
      <c r="D48" s="1034">
        <v>9.9999999999999995E-7</v>
      </c>
      <c r="E48" s="1034">
        <v>5</v>
      </c>
      <c r="F48" s="1027">
        <f t="shared" si="17"/>
        <v>2.4999994999999999</v>
      </c>
      <c r="G48" s="1037">
        <v>1.18</v>
      </c>
      <c r="H48" s="1024"/>
      <c r="I48" s="1296"/>
      <c r="J48" s="1049">
        <v>200</v>
      </c>
      <c r="K48" s="1029">
        <v>1.3</v>
      </c>
      <c r="L48" s="1029">
        <v>1.3</v>
      </c>
      <c r="M48" s="1034">
        <v>9.9999999999999995E-7</v>
      </c>
      <c r="N48" s="1027">
        <f t="shared" si="15"/>
        <v>0.64999950000000006</v>
      </c>
      <c r="O48" s="1037">
        <v>1.18</v>
      </c>
      <c r="P48" s="1024"/>
      <c r="Q48" s="1296"/>
      <c r="R48" s="1033">
        <v>200</v>
      </c>
      <c r="S48" s="1029">
        <v>0.2</v>
      </c>
      <c r="T48" s="1029">
        <v>3.1</v>
      </c>
      <c r="U48" s="1038">
        <v>14.4</v>
      </c>
      <c r="V48" s="1027">
        <f t="shared" si="16"/>
        <v>7.1000000000000005</v>
      </c>
      <c r="W48" s="1037">
        <v>1.18</v>
      </c>
    </row>
    <row r="49" spans="1:24" ht="12.75" customHeight="1">
      <c r="A49" s="1296"/>
      <c r="B49" s="1033">
        <v>500</v>
      </c>
      <c r="C49" s="1029">
        <v>2.8</v>
      </c>
      <c r="D49" s="1029">
        <v>1.5</v>
      </c>
      <c r="E49" s="1029">
        <v>3.5</v>
      </c>
      <c r="F49" s="1027">
        <f t="shared" si="17"/>
        <v>1</v>
      </c>
      <c r="G49" s="1037">
        <v>2.95</v>
      </c>
      <c r="H49" s="1024"/>
      <c r="I49" s="1296"/>
      <c r="J49" s="1049">
        <v>500</v>
      </c>
      <c r="K49" s="1029">
        <v>0.7</v>
      </c>
      <c r="L49" s="1029">
        <v>0.7</v>
      </c>
      <c r="M49" s="1029">
        <v>9.3000000000000007</v>
      </c>
      <c r="N49" s="1027">
        <f t="shared" si="15"/>
        <v>4.3000000000000007</v>
      </c>
      <c r="O49" s="1037">
        <v>2.95</v>
      </c>
      <c r="P49" s="1024"/>
      <c r="Q49" s="1296"/>
      <c r="R49" s="1033">
        <v>500</v>
      </c>
      <c r="S49" s="1029">
        <v>2.8</v>
      </c>
      <c r="T49" s="1029">
        <v>3.9</v>
      </c>
      <c r="U49" s="1038">
        <v>6.2</v>
      </c>
      <c r="V49" s="1027">
        <f t="shared" si="16"/>
        <v>1.7000000000000002</v>
      </c>
      <c r="W49" s="1037">
        <v>2.95</v>
      </c>
    </row>
    <row r="50" spans="1:24" ht="12.75" customHeight="1">
      <c r="A50" s="1296"/>
      <c r="B50" s="1033">
        <v>1000</v>
      </c>
      <c r="C50" s="1029">
        <v>1.2E-2</v>
      </c>
      <c r="D50" s="1029">
        <v>2</v>
      </c>
      <c r="E50" s="1029">
        <v>10</v>
      </c>
      <c r="F50" s="1027">
        <f t="shared" si="17"/>
        <v>4.9939999999999998</v>
      </c>
      <c r="G50" s="1037">
        <v>5.9</v>
      </c>
      <c r="H50" s="1024"/>
      <c r="I50" s="1296"/>
      <c r="J50" s="1049">
        <v>1000</v>
      </c>
      <c r="K50" s="1029">
        <v>9.9999999999999995E-7</v>
      </c>
      <c r="L50" s="1029">
        <v>9.9999999999999995E-7</v>
      </c>
      <c r="M50" s="1029">
        <v>-110</v>
      </c>
      <c r="N50" s="1027">
        <f t="shared" si="15"/>
        <v>55.000000499999999</v>
      </c>
      <c r="O50" s="1037">
        <v>5.9</v>
      </c>
      <c r="P50" s="1024"/>
      <c r="Q50" s="1296"/>
      <c r="R50" s="1033">
        <v>1000</v>
      </c>
      <c r="S50" s="1039">
        <v>13</v>
      </c>
      <c r="T50" s="1039">
        <v>5.0000000000000001E-3</v>
      </c>
      <c r="U50" s="1038">
        <v>-11</v>
      </c>
      <c r="V50" s="1027">
        <f t="shared" si="16"/>
        <v>12</v>
      </c>
      <c r="W50" s="1037">
        <v>5.9</v>
      </c>
    </row>
    <row r="51" spans="1:24" ht="12.75" customHeight="1">
      <c r="A51" s="1296"/>
      <c r="B51" s="1292" t="str">
        <f>B20</f>
        <v>Main-PE</v>
      </c>
      <c r="C51" s="1293"/>
      <c r="D51" s="1293"/>
      <c r="E51" s="1294"/>
      <c r="F51" s="1023" t="s">
        <v>404</v>
      </c>
      <c r="G51" s="1023" t="s">
        <v>77</v>
      </c>
      <c r="H51" s="1024"/>
      <c r="I51" s="1296"/>
      <c r="J51" s="1292" t="str">
        <f>B51</f>
        <v>Main-PE</v>
      </c>
      <c r="K51" s="1293"/>
      <c r="L51" s="1293"/>
      <c r="M51" s="1294"/>
      <c r="N51" s="1023" t="s">
        <v>404</v>
      </c>
      <c r="O51" s="1023" t="s">
        <v>77</v>
      </c>
      <c r="P51" s="1024"/>
      <c r="Q51" s="1296"/>
      <c r="R51" s="1292" t="str">
        <f>J51</f>
        <v>Main-PE</v>
      </c>
      <c r="S51" s="1293"/>
      <c r="T51" s="1293"/>
      <c r="U51" s="1294"/>
      <c r="V51" s="1023" t="s">
        <v>404</v>
      </c>
      <c r="W51" s="1023" t="s">
        <v>77</v>
      </c>
    </row>
    <row r="52" spans="1:24" ht="15" customHeight="1">
      <c r="A52" s="1296"/>
      <c r="B52" s="1022" t="s">
        <v>412</v>
      </c>
      <c r="C52" s="1023">
        <f>C36</f>
        <v>2019</v>
      </c>
      <c r="D52" s="1023">
        <f>D36</f>
        <v>2021</v>
      </c>
      <c r="E52" s="1023">
        <f>E36</f>
        <v>2022</v>
      </c>
      <c r="F52" s="1023"/>
      <c r="G52" s="1023"/>
      <c r="H52" s="1024"/>
      <c r="I52" s="1296"/>
      <c r="J52" s="1022" t="s">
        <v>412</v>
      </c>
      <c r="K52" s="1023">
        <f>K36</f>
        <v>2019</v>
      </c>
      <c r="L52" s="1023">
        <f>L36</f>
        <v>2019</v>
      </c>
      <c r="M52" s="1023">
        <f>M36</f>
        <v>2021</v>
      </c>
      <c r="N52" s="1023"/>
      <c r="O52" s="1023"/>
      <c r="P52" s="1024"/>
      <c r="Q52" s="1296"/>
      <c r="R52" s="1022" t="s">
        <v>412</v>
      </c>
      <c r="S52" s="1023">
        <f>S36</f>
        <v>2018</v>
      </c>
      <c r="T52" s="1023">
        <f>T36</f>
        <v>2019</v>
      </c>
      <c r="U52" s="1023">
        <f>U36</f>
        <v>2022</v>
      </c>
      <c r="V52" s="1023"/>
      <c r="W52" s="1023"/>
    </row>
    <row r="53" spans="1:24" ht="12.75" customHeight="1">
      <c r="A53" s="1296"/>
      <c r="B53" s="1033">
        <v>10</v>
      </c>
      <c r="C53" s="1029">
        <v>0.1</v>
      </c>
      <c r="D53" s="1034">
        <v>9.9999999999999995E-7</v>
      </c>
      <c r="E53" s="1034">
        <v>9.9999999999999995E-7</v>
      </c>
      <c r="F53" s="1027">
        <f>0.5*(MAX(C53:E53)-MIN(C53:E53))</f>
        <v>4.9999500000000002E-2</v>
      </c>
      <c r="G53" s="1038">
        <v>0.06</v>
      </c>
      <c r="H53" s="1024">
        <f>1.7/100</f>
        <v>1.7000000000000001E-2</v>
      </c>
      <c r="I53" s="1296"/>
      <c r="J53" s="1033">
        <v>10</v>
      </c>
      <c r="K53" s="1029">
        <v>0.1</v>
      </c>
      <c r="L53" s="1029">
        <v>0.1</v>
      </c>
      <c r="M53" s="1029">
        <v>9.9999999999999995E-7</v>
      </c>
      <c r="N53" s="1027">
        <f>0.5*(MAX(K53:M53)-MIN(K53:M53))</f>
        <v>4.9999500000000002E-2</v>
      </c>
      <c r="O53" s="1038">
        <v>0.06</v>
      </c>
      <c r="P53" s="1024">
        <f>1.7/100</f>
        <v>1.7000000000000001E-2</v>
      </c>
      <c r="Q53" s="1296"/>
      <c r="R53" s="1033">
        <v>9.9999999999999995E-7</v>
      </c>
      <c r="S53" s="1029">
        <v>9.9999999999999995E-7</v>
      </c>
      <c r="T53" s="1029">
        <v>0.1</v>
      </c>
      <c r="U53" s="1029">
        <v>0.1</v>
      </c>
      <c r="V53" s="1027">
        <f t="shared" ref="V53:V56" si="18">0.5*(MAX(S53:U53)-MIN(S53:U53))</f>
        <v>4.9999500000000002E-2</v>
      </c>
      <c r="W53" s="1038">
        <v>0.06</v>
      </c>
      <c r="X53" s="1018">
        <f>1.7/100</f>
        <v>1.7000000000000001E-2</v>
      </c>
    </row>
    <row r="54" spans="1:24" ht="12.75" customHeight="1">
      <c r="A54" s="1296"/>
      <c r="B54" s="1033">
        <v>20</v>
      </c>
      <c r="C54" s="1029">
        <v>0.2</v>
      </c>
      <c r="D54" s="1029">
        <v>0.1</v>
      </c>
      <c r="E54" s="1029">
        <v>0.1</v>
      </c>
      <c r="F54" s="1027">
        <f t="shared" ref="F54:F56" si="19">0.5*(MAX(C54:E54)-MIN(C54:E54))</f>
        <v>0.05</v>
      </c>
      <c r="G54" s="1038">
        <v>0.12</v>
      </c>
      <c r="H54" s="1024"/>
      <c r="I54" s="1296"/>
      <c r="J54" s="1033">
        <v>20</v>
      </c>
      <c r="K54" s="1029">
        <v>0.1</v>
      </c>
      <c r="L54" s="1029">
        <v>0.1</v>
      </c>
      <c r="M54" s="1029">
        <v>0.1</v>
      </c>
      <c r="N54" s="1027">
        <f>0.5*(MAX(K54:M54)-MIN(K54:M54))</f>
        <v>0</v>
      </c>
      <c r="O54" s="1038">
        <v>0.12</v>
      </c>
      <c r="P54" s="1024"/>
      <c r="Q54" s="1296"/>
      <c r="R54" s="1033">
        <v>20</v>
      </c>
      <c r="S54" s="1029">
        <v>0.1</v>
      </c>
      <c r="T54" s="1029">
        <v>0.1</v>
      </c>
      <c r="U54" s="1029">
        <v>0.1</v>
      </c>
      <c r="V54" s="1027">
        <f t="shared" si="18"/>
        <v>0</v>
      </c>
      <c r="W54" s="1038">
        <v>0.12</v>
      </c>
    </row>
    <row r="55" spans="1:24" ht="12.75" customHeight="1">
      <c r="A55" s="1296"/>
      <c r="B55" s="1033">
        <v>50</v>
      </c>
      <c r="C55" s="1029">
        <v>0.5</v>
      </c>
      <c r="D55" s="1029">
        <v>0.4</v>
      </c>
      <c r="E55" s="1029">
        <v>0.4</v>
      </c>
      <c r="F55" s="1027">
        <f t="shared" si="19"/>
        <v>4.9999999999999989E-2</v>
      </c>
      <c r="G55" s="1038">
        <v>0.3</v>
      </c>
      <c r="H55" s="1024"/>
      <c r="I55" s="1296"/>
      <c r="J55" s="1033">
        <v>50</v>
      </c>
      <c r="K55" s="1029">
        <v>0.4</v>
      </c>
      <c r="L55" s="1029">
        <v>0.4</v>
      </c>
      <c r="M55" s="1029">
        <v>0.6</v>
      </c>
      <c r="N55" s="1027">
        <f>0.5*(MAX(K55:M55)-MIN(K55:M55))</f>
        <v>9.9999999999999978E-2</v>
      </c>
      <c r="O55" s="1038">
        <v>0.3</v>
      </c>
      <c r="P55" s="1024"/>
      <c r="Q55" s="1296"/>
      <c r="R55" s="1033">
        <v>50</v>
      </c>
      <c r="S55" s="1029">
        <v>0.3</v>
      </c>
      <c r="T55" s="1029">
        <v>0.3</v>
      </c>
      <c r="U55" s="1029">
        <v>0.3</v>
      </c>
      <c r="V55" s="1027">
        <f t="shared" si="18"/>
        <v>0</v>
      </c>
      <c r="W55" s="1038">
        <v>0.3</v>
      </c>
    </row>
    <row r="56" spans="1:24" ht="12.75" customHeight="1">
      <c r="A56" s="1296"/>
      <c r="B56" s="1033">
        <v>100</v>
      </c>
      <c r="C56" s="1029">
        <v>1</v>
      </c>
      <c r="D56" s="1029">
        <v>1.4</v>
      </c>
      <c r="E56" s="1029">
        <v>0.8</v>
      </c>
      <c r="F56" s="1027">
        <f t="shared" si="19"/>
        <v>0.29999999999999993</v>
      </c>
      <c r="G56" s="1038">
        <v>0.59</v>
      </c>
      <c r="H56" s="1024"/>
      <c r="I56" s="1296"/>
      <c r="J56" s="1033">
        <v>100</v>
      </c>
      <c r="K56" s="1029">
        <v>0.8</v>
      </c>
      <c r="L56" s="1029">
        <v>0.8</v>
      </c>
      <c r="M56" s="1029">
        <v>1.5</v>
      </c>
      <c r="N56" s="1027">
        <f>0.5*(MAX(K56:M56)-MIN(K56:M56))</f>
        <v>0.35</v>
      </c>
      <c r="O56" s="1038">
        <v>0.59</v>
      </c>
      <c r="P56" s="1024"/>
      <c r="Q56" s="1296"/>
      <c r="R56" s="1033">
        <v>100</v>
      </c>
      <c r="S56" s="1029">
        <v>0.9</v>
      </c>
      <c r="T56" s="1029">
        <v>0.6</v>
      </c>
      <c r="U56" s="1029">
        <v>0.6</v>
      </c>
      <c r="V56" s="1027">
        <f t="shared" si="18"/>
        <v>0.15000000000000002</v>
      </c>
      <c r="W56" s="1038">
        <v>0.59</v>
      </c>
    </row>
    <row r="57" spans="1:24" ht="12.75" customHeight="1">
      <c r="A57" s="1296"/>
      <c r="B57" s="1292" t="str">
        <f>B26</f>
        <v>Resistance</v>
      </c>
      <c r="C57" s="1293"/>
      <c r="D57" s="1293"/>
      <c r="E57" s="1294"/>
      <c r="F57" s="1023" t="s">
        <v>404</v>
      </c>
      <c r="G57" s="1023" t="s">
        <v>77</v>
      </c>
      <c r="H57" s="1024"/>
      <c r="I57" s="1296"/>
      <c r="J57" s="1292" t="str">
        <f>B57</f>
        <v>Resistance</v>
      </c>
      <c r="K57" s="1293"/>
      <c r="L57" s="1293"/>
      <c r="M57" s="1294"/>
      <c r="N57" s="1023" t="s">
        <v>404</v>
      </c>
      <c r="O57" s="1023" t="s">
        <v>77</v>
      </c>
      <c r="P57" s="1024"/>
      <c r="Q57" s="1296"/>
      <c r="R57" s="1292" t="str">
        <f>J57</f>
        <v>Resistance</v>
      </c>
      <c r="S57" s="1293"/>
      <c r="T57" s="1293"/>
      <c r="U57" s="1294"/>
      <c r="V57" s="1023" t="s">
        <v>404</v>
      </c>
      <c r="W57" s="1023" t="s">
        <v>77</v>
      </c>
    </row>
    <row r="58" spans="1:24" ht="15" customHeight="1">
      <c r="A58" s="1296"/>
      <c r="B58" s="1022" t="s">
        <v>414</v>
      </c>
      <c r="C58" s="1023">
        <f>C36</f>
        <v>2019</v>
      </c>
      <c r="D58" s="1023">
        <f>D36</f>
        <v>2021</v>
      </c>
      <c r="E58" s="1023">
        <f>E36</f>
        <v>2022</v>
      </c>
      <c r="F58" s="1023"/>
      <c r="G58" s="1023"/>
      <c r="H58" s="1024"/>
      <c r="I58" s="1296"/>
      <c r="J58" s="1022" t="s">
        <v>414</v>
      </c>
      <c r="K58" s="1023">
        <f>K36</f>
        <v>2019</v>
      </c>
      <c r="L58" s="1023">
        <f>L36</f>
        <v>2019</v>
      </c>
      <c r="M58" s="1023">
        <f>M36</f>
        <v>2021</v>
      </c>
      <c r="N58" s="1023"/>
      <c r="O58" s="1023"/>
      <c r="P58" s="1024"/>
      <c r="Q58" s="1296"/>
      <c r="R58" s="1022" t="s">
        <v>414</v>
      </c>
      <c r="S58" s="1023">
        <f>S36</f>
        <v>2018</v>
      </c>
      <c r="T58" s="1023">
        <f>T36</f>
        <v>2019</v>
      </c>
      <c r="U58" s="1023">
        <f>U36</f>
        <v>2022</v>
      </c>
      <c r="V58" s="1023"/>
      <c r="W58" s="1023"/>
    </row>
    <row r="59" spans="1:24" ht="12.75" customHeight="1">
      <c r="A59" s="1296"/>
      <c r="B59" s="1033">
        <v>0.01</v>
      </c>
      <c r="C59" s="1039">
        <v>9.9999999999999995E-7</v>
      </c>
      <c r="D59" s="1034">
        <v>9.9999999999999995E-7</v>
      </c>
      <c r="E59" s="1034">
        <v>9.9999999999999995E-7</v>
      </c>
      <c r="F59" s="1027">
        <f>0.5*(MAX(C59:E59)-MIN(C59:E59))</f>
        <v>0</v>
      </c>
      <c r="G59" s="1033">
        <v>1.2E-4</v>
      </c>
      <c r="H59" s="1024">
        <f>1.2/100</f>
        <v>1.2E-2</v>
      </c>
      <c r="I59" s="1296"/>
      <c r="J59" s="1049">
        <v>0.01</v>
      </c>
      <c r="K59" s="1039">
        <v>9.9999999999999995E-7</v>
      </c>
      <c r="L59" s="1039">
        <v>9.9999999999999995E-7</v>
      </c>
      <c r="M59" s="1039">
        <v>9.9999999999999995E-7</v>
      </c>
      <c r="N59" s="1027">
        <f>0.5*(MAX(K59:M59)-MIN(K59:M59))</f>
        <v>0</v>
      </c>
      <c r="O59" s="1033">
        <v>1.2E-4</v>
      </c>
      <c r="P59" s="1024">
        <f>1.2/100</f>
        <v>1.2E-2</v>
      </c>
      <c r="Q59" s="1296"/>
      <c r="R59" s="1033">
        <v>0.01</v>
      </c>
      <c r="S59" s="1039">
        <v>9.9999999999999995E-7</v>
      </c>
      <c r="T59" s="1039">
        <v>9.9999999999999995E-7</v>
      </c>
      <c r="U59" s="1039">
        <v>9.9999999999999995E-7</v>
      </c>
      <c r="V59" s="1027">
        <f t="shared" ref="V59:V62" si="20">0.5*(MAX(S59:U59)-MIN(S59:U59))</f>
        <v>0</v>
      </c>
      <c r="W59" s="1033">
        <v>1.2E-4</v>
      </c>
      <c r="X59" s="1051">
        <f>1.2/100</f>
        <v>1.2E-2</v>
      </c>
    </row>
    <row r="60" spans="1:24" ht="12.75" customHeight="1">
      <c r="A60" s="1296"/>
      <c r="B60" s="1033">
        <v>0.1</v>
      </c>
      <c r="C60" s="1039">
        <v>9.9999999999999995E-7</v>
      </c>
      <c r="D60" s="1039">
        <v>-2E-3</v>
      </c>
      <c r="E60" s="1039">
        <v>1E-3</v>
      </c>
      <c r="F60" s="1027">
        <f t="shared" ref="F60:F62" si="21">0.5*(MAX(C60:E60)-MIN(C60:E60))</f>
        <v>1.5E-3</v>
      </c>
      <c r="G60" s="1033">
        <v>1.1999999999999999E-3</v>
      </c>
      <c r="H60" s="1024"/>
      <c r="I60" s="1296"/>
      <c r="J60" s="1049">
        <v>0.1</v>
      </c>
      <c r="K60" s="1039">
        <v>2E-3</v>
      </c>
      <c r="L60" s="1039">
        <v>2E-3</v>
      </c>
      <c r="M60" s="1039">
        <v>5.0000000000000001E-3</v>
      </c>
      <c r="N60" s="1027">
        <f>0.5*(MAX(K60:M60)-MIN(K60:M60))</f>
        <v>1.5E-3</v>
      </c>
      <c r="O60" s="1033">
        <v>1.1999999999999999E-3</v>
      </c>
      <c r="P60" s="1024"/>
      <c r="Q60" s="1296"/>
      <c r="R60" s="1033">
        <v>0.1</v>
      </c>
      <c r="S60" s="1039">
        <v>1E-3</v>
      </c>
      <c r="T60" s="1039">
        <v>-2E-3</v>
      </c>
      <c r="U60" s="1039">
        <v>-3.0000000000000001E-3</v>
      </c>
      <c r="V60" s="1027">
        <f t="shared" si="20"/>
        <v>2E-3</v>
      </c>
      <c r="W60" s="1033">
        <v>1.1999999999999999E-3</v>
      </c>
    </row>
    <row r="61" spans="1:24" ht="12.75" customHeight="1">
      <c r="A61" s="1296"/>
      <c r="B61" s="1033">
        <v>1</v>
      </c>
      <c r="C61" s="1039">
        <v>-1E-3</v>
      </c>
      <c r="D61" s="1039">
        <v>-8.0000000000000002E-3</v>
      </c>
      <c r="E61" s="1039">
        <v>2E-3</v>
      </c>
      <c r="F61" s="1027">
        <f t="shared" si="21"/>
        <v>5.0000000000000001E-3</v>
      </c>
      <c r="G61" s="1033">
        <v>1.2E-2</v>
      </c>
      <c r="H61" s="1024"/>
      <c r="I61" s="1296"/>
      <c r="J61" s="1049">
        <v>1</v>
      </c>
      <c r="K61" s="1039">
        <v>1.2E-2</v>
      </c>
      <c r="L61" s="1039">
        <v>1.2E-2</v>
      </c>
      <c r="M61" s="1039">
        <v>1.7999999999999999E-2</v>
      </c>
      <c r="N61" s="1027">
        <f t="shared" ref="N61:N62" si="22">0.5*(MAX(K61:M61)-MIN(K61:M61))</f>
        <v>2.9999999999999992E-3</v>
      </c>
      <c r="O61" s="1033">
        <v>1.2E-2</v>
      </c>
      <c r="P61" s="1024"/>
      <c r="Q61" s="1296"/>
      <c r="R61" s="1033">
        <v>1</v>
      </c>
      <c r="S61" s="1039">
        <v>2E-3</v>
      </c>
      <c r="T61" s="1039">
        <v>-1E-3</v>
      </c>
      <c r="U61" s="1039">
        <v>-7.0000000000000001E-3</v>
      </c>
      <c r="V61" s="1027">
        <f t="shared" si="20"/>
        <v>4.5000000000000005E-3</v>
      </c>
      <c r="W61" s="1033">
        <v>1.2E-2</v>
      </c>
    </row>
    <row r="62" spans="1:24" ht="12.75" customHeight="1">
      <c r="A62" s="1297"/>
      <c r="B62" s="1033">
        <v>2</v>
      </c>
      <c r="C62" s="1039">
        <v>9.9999999999999995E-7</v>
      </c>
      <c r="D62" s="1039">
        <v>-7.0000000000000001E-3</v>
      </c>
      <c r="E62" s="1039">
        <v>-5.0000000000000001E-3</v>
      </c>
      <c r="F62" s="1027">
        <f t="shared" si="21"/>
        <v>3.5005000000000001E-3</v>
      </c>
      <c r="G62" s="1033">
        <v>2.4E-2</v>
      </c>
      <c r="H62" s="1024" t="s">
        <v>81</v>
      </c>
      <c r="I62" s="1297"/>
      <c r="J62" s="1049">
        <v>2</v>
      </c>
      <c r="K62" s="1039">
        <v>9.9999999999999995E-7</v>
      </c>
      <c r="L62" s="1039">
        <v>9.9999999999999995E-7</v>
      </c>
      <c r="M62" s="1039">
        <v>0.113</v>
      </c>
      <c r="N62" s="1027">
        <f t="shared" si="22"/>
        <v>5.6499500000000001E-2</v>
      </c>
      <c r="O62" s="1033">
        <v>2.4E-2</v>
      </c>
      <c r="P62" s="1024"/>
      <c r="Q62" s="1297"/>
      <c r="R62" s="1033">
        <v>2</v>
      </c>
      <c r="S62" s="1039">
        <v>0</v>
      </c>
      <c r="T62" s="1034">
        <v>9.9999999999999995E-7</v>
      </c>
      <c r="U62" s="1034">
        <v>-7.0000000000000001E-3</v>
      </c>
      <c r="V62" s="1027">
        <f t="shared" si="20"/>
        <v>3.5005000000000001E-3</v>
      </c>
      <c r="W62" s="1033">
        <v>2.4E-2</v>
      </c>
    </row>
    <row r="63" spans="1:24" s="668" customFormat="1" ht="15.5">
      <c r="A63" s="1052"/>
      <c r="B63" s="1053"/>
      <c r="C63" s="1054"/>
      <c r="E63" s="1054"/>
      <c r="F63" s="1054"/>
      <c r="G63" s="1054"/>
      <c r="H63" s="1042"/>
      <c r="I63" s="1055"/>
      <c r="J63" s="1056"/>
      <c r="K63" s="1054"/>
      <c r="M63" s="1054"/>
      <c r="N63" s="1054"/>
      <c r="O63" s="1054"/>
      <c r="P63" s="1042"/>
      <c r="Q63" s="1055"/>
      <c r="R63" s="1053"/>
      <c r="S63" s="1054"/>
      <c r="U63" s="669"/>
      <c r="V63" s="669"/>
      <c r="W63" s="1043"/>
      <c r="X63" s="1044"/>
    </row>
    <row r="64" spans="1:24" ht="30" customHeight="1">
      <c r="A64" s="1295">
        <v>7</v>
      </c>
      <c r="B64" s="1298" t="str">
        <f>A172</f>
        <v>Electrical Safety Analyzer, Merek : Fluke, Model : ESA 615, SN : 3699030</v>
      </c>
      <c r="C64" s="1298"/>
      <c r="D64" s="1298"/>
      <c r="E64" s="1298"/>
      <c r="F64" s="1298"/>
      <c r="G64" s="1298"/>
      <c r="H64" s="1019"/>
      <c r="I64" s="1295">
        <v>8</v>
      </c>
      <c r="J64" s="1302" t="str">
        <f>A173</f>
        <v>Electrical Safety Analyzer, Merek : Fluke, Model : ESA 615, SN : 4670010</v>
      </c>
      <c r="K64" s="1302"/>
      <c r="L64" s="1302"/>
      <c r="M64" s="1302"/>
      <c r="N64" s="1302"/>
      <c r="O64" s="1302"/>
      <c r="P64" s="1019"/>
      <c r="Q64" s="1295">
        <v>9</v>
      </c>
      <c r="R64" s="1302" t="str">
        <f>A174</f>
        <v>Electrical Safety Analyzer, Merek : Fluke, Model : ESA 615, SN : 4669058</v>
      </c>
      <c r="S64" s="1302"/>
      <c r="T64" s="1302"/>
      <c r="U64" s="1302"/>
      <c r="V64" s="1302"/>
      <c r="W64" s="1302"/>
    </row>
    <row r="65" spans="1:26" ht="15" customHeight="1">
      <c r="A65" s="1296"/>
      <c r="B65" s="1300" t="s">
        <v>402</v>
      </c>
      <c r="C65" s="1300"/>
      <c r="D65" s="1300"/>
      <c r="E65" s="1300"/>
      <c r="F65" s="1046"/>
      <c r="G65" s="1046"/>
      <c r="H65" s="1021"/>
      <c r="I65" s="1296"/>
      <c r="J65" s="1303" t="s">
        <v>402</v>
      </c>
      <c r="K65" s="1304"/>
      <c r="L65" s="1304"/>
      <c r="M65" s="1305"/>
      <c r="N65" s="1047"/>
      <c r="O65" s="1047"/>
      <c r="P65" s="1021"/>
      <c r="Q65" s="1296"/>
      <c r="R65" s="1300" t="s">
        <v>402</v>
      </c>
      <c r="S65" s="1300"/>
      <c r="T65" s="1300"/>
      <c r="U65" s="1300"/>
      <c r="V65" s="1047"/>
      <c r="W65" s="1047"/>
    </row>
    <row r="66" spans="1:26" ht="12.75" customHeight="1">
      <c r="A66" s="1296"/>
      <c r="B66" s="1289" t="s">
        <v>403</v>
      </c>
      <c r="C66" s="1290"/>
      <c r="D66" s="1290"/>
      <c r="E66" s="1291"/>
      <c r="F66" s="1023" t="s">
        <v>404</v>
      </c>
      <c r="G66" s="1023" t="s">
        <v>77</v>
      </c>
      <c r="H66" s="1024"/>
      <c r="I66" s="1296"/>
      <c r="J66" s="1289" t="s">
        <v>403</v>
      </c>
      <c r="K66" s="1290"/>
      <c r="L66" s="1290"/>
      <c r="M66" s="1291"/>
      <c r="N66" s="1023" t="s">
        <v>404</v>
      </c>
      <c r="O66" s="1023" t="s">
        <v>77</v>
      </c>
      <c r="P66" s="1024"/>
      <c r="Q66" s="1296"/>
      <c r="R66" s="1289" t="s">
        <v>403</v>
      </c>
      <c r="S66" s="1290"/>
      <c r="T66" s="1290"/>
      <c r="U66" s="1291"/>
      <c r="V66" s="1023" t="s">
        <v>404</v>
      </c>
      <c r="W66" s="1023" t="s">
        <v>77</v>
      </c>
    </row>
    <row r="67" spans="1:26" ht="15" customHeight="1">
      <c r="A67" s="1296"/>
      <c r="B67" s="1022" t="s">
        <v>406</v>
      </c>
      <c r="C67" s="1023">
        <v>2019</v>
      </c>
      <c r="D67" s="1023">
        <v>2020</v>
      </c>
      <c r="E67" s="1023">
        <v>2022</v>
      </c>
      <c r="F67" s="1023"/>
      <c r="G67" s="1023"/>
      <c r="H67" s="1024"/>
      <c r="I67" s="1296"/>
      <c r="J67" s="1022" t="s">
        <v>406</v>
      </c>
      <c r="K67" s="1023">
        <v>2019</v>
      </c>
      <c r="L67" s="1023">
        <v>2020</v>
      </c>
      <c r="M67" s="1023">
        <v>2022</v>
      </c>
      <c r="N67" s="1023"/>
      <c r="O67" s="1023"/>
      <c r="P67" s="1024"/>
      <c r="Q67" s="1296"/>
      <c r="R67" s="1022" t="s">
        <v>406</v>
      </c>
      <c r="S67" s="1023">
        <v>2019</v>
      </c>
      <c r="T67" s="1023">
        <v>2020</v>
      </c>
      <c r="U67" s="1023">
        <v>2022</v>
      </c>
      <c r="V67" s="1023"/>
      <c r="W67" s="1023"/>
    </row>
    <row r="68" spans="1:26" ht="12.75" customHeight="1">
      <c r="A68" s="1296"/>
      <c r="B68" s="1025">
        <v>150</v>
      </c>
      <c r="C68" s="1026">
        <v>0.21</v>
      </c>
      <c r="D68" s="1026">
        <v>0.21</v>
      </c>
      <c r="E68" s="1026">
        <v>0.36</v>
      </c>
      <c r="F68" s="1027">
        <f t="shared" ref="F68:F73" si="23">0.5*(MAX(C68:E68)-MIN(C68:E68))</f>
        <v>7.4999999999999997E-2</v>
      </c>
      <c r="G68" s="1028">
        <v>1.8</v>
      </c>
      <c r="H68" s="1024">
        <f>1.2/100</f>
        <v>1.2E-2</v>
      </c>
      <c r="I68" s="1296"/>
      <c r="J68" s="1025">
        <v>150</v>
      </c>
      <c r="K68" s="1028">
        <v>9.9999999999999995E-7</v>
      </c>
      <c r="L68" s="1026">
        <v>-0.17</v>
      </c>
      <c r="M68" s="1026">
        <v>-0.08</v>
      </c>
      <c r="N68" s="1027">
        <f>0.5*(MAX(K68:M68)-MIN(K68:M68))</f>
        <v>8.5000500000000007E-2</v>
      </c>
      <c r="O68" s="1028">
        <v>1.8</v>
      </c>
      <c r="P68" s="1024">
        <f>1.2/100</f>
        <v>1.2E-2</v>
      </c>
      <c r="Q68" s="1296"/>
      <c r="R68" s="1025">
        <v>150</v>
      </c>
      <c r="S68" s="1028">
        <v>9.9999999999999995E-7</v>
      </c>
      <c r="T68" s="1026">
        <v>-0.24</v>
      </c>
      <c r="U68" s="1026">
        <v>-0.17</v>
      </c>
      <c r="V68" s="1027">
        <f t="shared" ref="V68:V73" si="24">0.5*(MAX(S68:U68)-MIN(S68:U68))</f>
        <v>0.1200005</v>
      </c>
      <c r="W68" s="1028">
        <v>1.8</v>
      </c>
      <c r="X68" s="1018">
        <f>1.2/100</f>
        <v>1.2E-2</v>
      </c>
    </row>
    <row r="69" spans="1:26" ht="12.75" customHeight="1">
      <c r="A69" s="1296"/>
      <c r="B69" s="1025">
        <v>180</v>
      </c>
      <c r="C69" s="1032">
        <v>0.33</v>
      </c>
      <c r="D69" s="1032">
        <v>0.33</v>
      </c>
      <c r="E69" s="1032">
        <v>0.46</v>
      </c>
      <c r="F69" s="1027">
        <f t="shared" si="23"/>
        <v>6.5000000000000002E-2</v>
      </c>
      <c r="G69" s="1028">
        <v>2.16</v>
      </c>
      <c r="H69" s="1024"/>
      <c r="I69" s="1296"/>
      <c r="J69" s="1025">
        <v>180</v>
      </c>
      <c r="K69" s="1028">
        <v>9.9999999999999995E-7</v>
      </c>
      <c r="L69" s="1032">
        <v>-0.22</v>
      </c>
      <c r="M69" s="1032">
        <v>-0.2</v>
      </c>
      <c r="N69" s="1027">
        <f t="shared" ref="N69:N73" si="25">0.5*(MAX(K69:M69)-MIN(K69:M69))</f>
        <v>0.1100005</v>
      </c>
      <c r="O69" s="1028">
        <v>2.16</v>
      </c>
      <c r="P69" s="1024"/>
      <c r="Q69" s="1296"/>
      <c r="R69" s="1025">
        <v>180</v>
      </c>
      <c r="S69" s="1028">
        <v>9.9999999999999995E-7</v>
      </c>
      <c r="T69" s="1032">
        <v>-0.14000000000000001</v>
      </c>
      <c r="U69" s="1032">
        <v>-0.39</v>
      </c>
      <c r="V69" s="1027">
        <f t="shared" si="24"/>
        <v>0.19500049999999999</v>
      </c>
      <c r="W69" s="1028">
        <v>2.16</v>
      </c>
    </row>
    <row r="70" spans="1:26" ht="12.75" customHeight="1">
      <c r="A70" s="1296"/>
      <c r="B70" s="1025">
        <v>200</v>
      </c>
      <c r="C70" s="1032">
        <v>0.34</v>
      </c>
      <c r="D70" s="1032">
        <v>0.34</v>
      </c>
      <c r="E70" s="1032">
        <v>0.52</v>
      </c>
      <c r="F70" s="1027">
        <f t="shared" si="23"/>
        <v>0.09</v>
      </c>
      <c r="G70" s="1028">
        <v>2.4</v>
      </c>
      <c r="H70" s="1024"/>
      <c r="I70" s="1296"/>
      <c r="J70" s="1025">
        <v>200</v>
      </c>
      <c r="K70" s="1028">
        <v>9.9999999999999995E-7</v>
      </c>
      <c r="L70" s="1057">
        <v>-0.33</v>
      </c>
      <c r="M70" s="1057">
        <v>-0.25</v>
      </c>
      <c r="N70" s="1027">
        <f t="shared" si="25"/>
        <v>0.16500049999999999</v>
      </c>
      <c r="O70" s="1028">
        <v>2.4</v>
      </c>
      <c r="P70" s="1024"/>
      <c r="Q70" s="1296"/>
      <c r="R70" s="1025">
        <v>200</v>
      </c>
      <c r="S70" s="1028">
        <v>9.9999999999999995E-7</v>
      </c>
      <c r="T70" s="1032">
        <v>-0.33</v>
      </c>
      <c r="U70" s="1032">
        <v>-0.23</v>
      </c>
      <c r="V70" s="1027">
        <f t="shared" si="24"/>
        <v>0.16500049999999999</v>
      </c>
      <c r="W70" s="1028">
        <v>2.4</v>
      </c>
    </row>
    <row r="71" spans="1:26" ht="12.75" customHeight="1">
      <c r="A71" s="1296"/>
      <c r="B71" s="1025">
        <v>220</v>
      </c>
      <c r="C71" s="1032">
        <v>0.37</v>
      </c>
      <c r="D71" s="1032">
        <v>0.37</v>
      </c>
      <c r="E71" s="1032">
        <v>0.57999999999999996</v>
      </c>
      <c r="F71" s="1027">
        <f t="shared" si="23"/>
        <v>0.10499999999999998</v>
      </c>
      <c r="G71" s="1028">
        <v>2.64</v>
      </c>
      <c r="H71" s="1024"/>
      <c r="I71" s="1296"/>
      <c r="J71" s="1025">
        <v>220</v>
      </c>
      <c r="K71" s="1028">
        <v>9.9999999999999995E-7</v>
      </c>
      <c r="L71" s="1032">
        <v>-0.39</v>
      </c>
      <c r="M71" s="1032">
        <v>-0.28999999999999998</v>
      </c>
      <c r="N71" s="1027">
        <f t="shared" si="25"/>
        <v>0.19500049999999999</v>
      </c>
      <c r="O71" s="1028">
        <v>2.64</v>
      </c>
      <c r="P71" s="1024"/>
      <c r="Q71" s="1296"/>
      <c r="R71" s="1025">
        <v>220</v>
      </c>
      <c r="S71" s="1028">
        <v>9.9999999999999995E-7</v>
      </c>
      <c r="T71" s="1032">
        <v>-0.45</v>
      </c>
      <c r="U71" s="1032">
        <v>-0.16</v>
      </c>
      <c r="V71" s="1027">
        <f t="shared" si="24"/>
        <v>0.22500049999999999</v>
      </c>
      <c r="W71" s="1028">
        <v>2.64</v>
      </c>
    </row>
    <row r="72" spans="1:26" ht="12.75" customHeight="1">
      <c r="A72" s="1296"/>
      <c r="B72" s="1025">
        <v>230</v>
      </c>
      <c r="C72" s="1032">
        <v>0.47</v>
      </c>
      <c r="D72" s="1032">
        <v>0.47</v>
      </c>
      <c r="E72" s="1032">
        <v>0.47</v>
      </c>
      <c r="F72" s="1027">
        <f t="shared" si="23"/>
        <v>0</v>
      </c>
      <c r="G72" s="1028">
        <v>2.7629999999999999</v>
      </c>
      <c r="H72" s="1024"/>
      <c r="I72" s="1296"/>
      <c r="J72" s="1025">
        <v>230</v>
      </c>
      <c r="K72" s="1028">
        <v>9.9999999999999995E-7</v>
      </c>
      <c r="L72" s="1058">
        <v>-0.39</v>
      </c>
      <c r="M72" s="1058">
        <v>-0.34</v>
      </c>
      <c r="N72" s="1027">
        <f t="shared" si="25"/>
        <v>0.19500049999999999</v>
      </c>
      <c r="O72" s="1028">
        <v>2.7629999999999999</v>
      </c>
      <c r="P72" s="1024"/>
      <c r="Q72" s="1296"/>
      <c r="R72" s="1025">
        <v>230</v>
      </c>
      <c r="S72" s="1028">
        <v>9.9999999999999995E-7</v>
      </c>
      <c r="T72" s="1032">
        <v>-0.54</v>
      </c>
      <c r="U72" s="1032">
        <v>-0.15</v>
      </c>
      <c r="V72" s="1027">
        <f t="shared" si="24"/>
        <v>0.27000050000000003</v>
      </c>
      <c r="W72" s="1028">
        <v>2.7629999999999999</v>
      </c>
    </row>
    <row r="73" spans="1:26" ht="12.75" customHeight="1">
      <c r="A73" s="1296"/>
      <c r="B73" s="1025">
        <v>250</v>
      </c>
      <c r="C73" s="1032">
        <v>9.9999999999999995E-7</v>
      </c>
      <c r="D73" s="1032">
        <v>9.9999999999999995E-7</v>
      </c>
      <c r="E73" s="1032">
        <v>9.9999999999999995E-7</v>
      </c>
      <c r="F73" s="1027">
        <f t="shared" si="23"/>
        <v>0</v>
      </c>
      <c r="G73" s="1028">
        <v>3</v>
      </c>
      <c r="H73" s="1024"/>
      <c r="I73" s="1296"/>
      <c r="J73" s="1025">
        <v>250</v>
      </c>
      <c r="K73" s="1028">
        <v>9.9999999999999995E-7</v>
      </c>
      <c r="L73" s="1032">
        <v>9.9999999999999995E-7</v>
      </c>
      <c r="M73" s="1032">
        <v>9.9999999999999995E-7</v>
      </c>
      <c r="N73" s="1027">
        <f t="shared" si="25"/>
        <v>0</v>
      </c>
      <c r="O73" s="1028">
        <v>3</v>
      </c>
      <c r="P73" s="1024"/>
      <c r="Q73" s="1296"/>
      <c r="R73" s="1025">
        <v>250</v>
      </c>
      <c r="S73" s="1028">
        <v>9.9999999999999995E-7</v>
      </c>
      <c r="T73" s="1032">
        <v>9.9999999999999995E-7</v>
      </c>
      <c r="U73" s="1032">
        <v>9.9999999999999995E-7</v>
      </c>
      <c r="V73" s="1027">
        <f t="shared" si="24"/>
        <v>0</v>
      </c>
      <c r="W73" s="1028">
        <v>3</v>
      </c>
    </row>
    <row r="74" spans="1:26" ht="12.75" customHeight="1">
      <c r="A74" s="1296"/>
      <c r="B74" s="1292" t="s">
        <v>408</v>
      </c>
      <c r="C74" s="1293"/>
      <c r="D74" s="1293"/>
      <c r="E74" s="1294"/>
      <c r="F74" s="1023" t="s">
        <v>404</v>
      </c>
      <c r="G74" s="1023" t="s">
        <v>77</v>
      </c>
      <c r="H74" s="1024"/>
      <c r="I74" s="1296"/>
      <c r="J74" s="1292" t="s">
        <v>408</v>
      </c>
      <c r="K74" s="1293"/>
      <c r="L74" s="1293"/>
      <c r="M74" s="1294"/>
      <c r="N74" s="1023" t="s">
        <v>404</v>
      </c>
      <c r="O74" s="1023" t="s">
        <v>77</v>
      </c>
      <c r="P74" s="1024"/>
      <c r="Q74" s="1296"/>
      <c r="R74" s="1292" t="s">
        <v>408</v>
      </c>
      <c r="S74" s="1293"/>
      <c r="T74" s="1293"/>
      <c r="U74" s="1294"/>
      <c r="V74" s="1023" t="s">
        <v>404</v>
      </c>
      <c r="W74" s="1023" t="s">
        <v>77</v>
      </c>
      <c r="Z74" s="1059"/>
    </row>
    <row r="75" spans="1:26" ht="15" customHeight="1">
      <c r="A75" s="1296"/>
      <c r="B75" s="1022" t="s">
        <v>410</v>
      </c>
      <c r="C75" s="1023">
        <f>C67</f>
        <v>2019</v>
      </c>
      <c r="D75" s="1023">
        <f>D67</f>
        <v>2020</v>
      </c>
      <c r="E75" s="1023">
        <f>E67</f>
        <v>2022</v>
      </c>
      <c r="F75" s="1023"/>
      <c r="G75" s="1023"/>
      <c r="H75" s="1024"/>
      <c r="I75" s="1296"/>
      <c r="J75" s="1022" t="s">
        <v>410</v>
      </c>
      <c r="K75" s="1023">
        <f>K67</f>
        <v>2019</v>
      </c>
      <c r="L75" s="1023">
        <f>L67</f>
        <v>2020</v>
      </c>
      <c r="M75" s="1023">
        <f>M67</f>
        <v>2022</v>
      </c>
      <c r="N75" s="1023"/>
      <c r="O75" s="1023"/>
      <c r="P75" s="1024"/>
      <c r="Q75" s="1296"/>
      <c r="R75" s="1022" t="s">
        <v>410</v>
      </c>
      <c r="S75" s="1023">
        <f>S67</f>
        <v>2019</v>
      </c>
      <c r="T75" s="1023">
        <f>T67</f>
        <v>2020</v>
      </c>
      <c r="U75" s="1023">
        <f>U67</f>
        <v>2022</v>
      </c>
      <c r="V75" s="1023"/>
      <c r="W75" s="1023"/>
    </row>
    <row r="76" spans="1:26" ht="12.75" customHeight="1">
      <c r="A76" s="1296"/>
      <c r="B76" s="1038">
        <v>9.9999999999999995E-7</v>
      </c>
      <c r="C76" s="1060">
        <v>9.9999999999999995E-7</v>
      </c>
      <c r="D76" s="1060">
        <v>9.9999999999999995E-7</v>
      </c>
      <c r="E76" s="1060">
        <v>9.9999999999999995E-7</v>
      </c>
      <c r="F76" s="1027">
        <f t="shared" ref="F76:F81" si="26">0.5*(MAX(C76:E76)-MIN(C76:E76))</f>
        <v>0</v>
      </c>
      <c r="G76" s="1037">
        <v>5.8999999999999999E-9</v>
      </c>
      <c r="H76" s="1024">
        <f>0.59/100</f>
        <v>5.8999999999999999E-3</v>
      </c>
      <c r="I76" s="1296"/>
      <c r="J76" s="1038">
        <v>9.9999999999999995E-7</v>
      </c>
      <c r="K76" s="1029">
        <v>9.9999999999999995E-7</v>
      </c>
      <c r="L76" s="1034">
        <v>9.9999999999999995E-7</v>
      </c>
      <c r="M76" s="1034">
        <v>9.9999999999999995E-7</v>
      </c>
      <c r="N76" s="1027">
        <f t="shared" ref="N76:N81" si="27">0.5*(MAX(K76:M76)-MIN(K76:M76))</f>
        <v>0</v>
      </c>
      <c r="O76" s="1037">
        <v>5.8999999999999999E-9</v>
      </c>
      <c r="P76" s="1024">
        <f>0.59/100</f>
        <v>5.8999999999999999E-3</v>
      </c>
      <c r="Q76" s="1296"/>
      <c r="R76" s="1038">
        <v>9.9999999999999995E-7</v>
      </c>
      <c r="S76" s="1029">
        <v>9.9999999999999995E-7</v>
      </c>
      <c r="T76" s="1034">
        <v>9.9999999999999995E-7</v>
      </c>
      <c r="U76" s="1034">
        <v>9.9999999999999995E-7</v>
      </c>
      <c r="V76" s="1027">
        <f t="shared" ref="V76:V81" si="28">0.5*(MAX(S76:U76)-MIN(S76:U76))</f>
        <v>0</v>
      </c>
      <c r="W76" s="1037">
        <v>5.8999999999999999E-9</v>
      </c>
      <c r="X76" s="1018">
        <f>0.59/100</f>
        <v>5.8999999999999999E-3</v>
      </c>
    </row>
    <row r="77" spans="1:26" ht="12.75" customHeight="1">
      <c r="A77" s="1296"/>
      <c r="B77" s="1033">
        <v>50</v>
      </c>
      <c r="C77" s="1032">
        <v>1.7</v>
      </c>
      <c r="D77" s="1032">
        <v>1.7</v>
      </c>
      <c r="E77" s="1032">
        <v>1.9</v>
      </c>
      <c r="F77" s="1027">
        <f t="shared" si="26"/>
        <v>9.9999999999999978E-2</v>
      </c>
      <c r="G77" s="1037">
        <v>0.29499999999999998</v>
      </c>
      <c r="H77" s="1024"/>
      <c r="I77" s="1296"/>
      <c r="J77" s="1033">
        <v>50</v>
      </c>
      <c r="K77" s="1029">
        <v>9.9999999999999995E-7</v>
      </c>
      <c r="L77" s="1032">
        <v>1.7</v>
      </c>
      <c r="M77" s="1032">
        <v>9.1999999999999993</v>
      </c>
      <c r="N77" s="1027">
        <f t="shared" si="27"/>
        <v>4.5999995</v>
      </c>
      <c r="O77" s="1037">
        <v>0.29499999999999998</v>
      </c>
      <c r="P77" s="1024"/>
      <c r="Q77" s="1296"/>
      <c r="R77" s="1033">
        <v>50</v>
      </c>
      <c r="S77" s="1029">
        <v>9.9999999999999995E-7</v>
      </c>
      <c r="T77" s="1032">
        <v>2.1</v>
      </c>
      <c r="U77" s="1032">
        <v>5</v>
      </c>
      <c r="V77" s="1027">
        <f t="shared" si="28"/>
        <v>2.4999994999999999</v>
      </c>
      <c r="W77" s="1037">
        <v>0.29499999999999998</v>
      </c>
    </row>
    <row r="78" spans="1:26" ht="12.75" customHeight="1">
      <c r="A78" s="1296"/>
      <c r="B78" s="1033">
        <v>100</v>
      </c>
      <c r="C78" s="1032">
        <v>1.7</v>
      </c>
      <c r="D78" s="1032">
        <v>1.7</v>
      </c>
      <c r="E78" s="1032">
        <v>1.7</v>
      </c>
      <c r="F78" s="1027">
        <f t="shared" si="26"/>
        <v>0</v>
      </c>
      <c r="G78" s="1037">
        <v>0.59</v>
      </c>
      <c r="H78" s="1024"/>
      <c r="I78" s="1296"/>
      <c r="J78" s="1033">
        <v>100</v>
      </c>
      <c r="K78" s="1029">
        <v>9.9999999999999995E-7</v>
      </c>
      <c r="L78" s="1032">
        <v>3.4</v>
      </c>
      <c r="M78" s="1032">
        <v>7.7</v>
      </c>
      <c r="N78" s="1027">
        <f t="shared" si="27"/>
        <v>3.8499995</v>
      </c>
      <c r="O78" s="1037">
        <v>0.59</v>
      </c>
      <c r="P78" s="1024"/>
      <c r="Q78" s="1296"/>
      <c r="R78" s="1033">
        <v>100</v>
      </c>
      <c r="S78" s="1029">
        <v>9.9999999999999995E-7</v>
      </c>
      <c r="T78" s="1032">
        <v>3.7</v>
      </c>
      <c r="U78" s="1032">
        <v>0.7</v>
      </c>
      <c r="V78" s="1027">
        <f t="shared" si="28"/>
        <v>1.8499995</v>
      </c>
      <c r="W78" s="1037">
        <v>0.59</v>
      </c>
    </row>
    <row r="79" spans="1:26" ht="12.75" customHeight="1">
      <c r="A79" s="1296"/>
      <c r="B79" s="1033">
        <v>200</v>
      </c>
      <c r="C79" s="1032">
        <v>0.4</v>
      </c>
      <c r="D79" s="1032">
        <v>0.4</v>
      </c>
      <c r="E79" s="1032">
        <v>1.5</v>
      </c>
      <c r="F79" s="1027">
        <f t="shared" si="26"/>
        <v>0.55000000000000004</v>
      </c>
      <c r="G79" s="1037">
        <v>1.18</v>
      </c>
      <c r="H79" s="1024"/>
      <c r="I79" s="1296"/>
      <c r="J79" s="1033">
        <v>500</v>
      </c>
      <c r="K79" s="1029">
        <v>9.9999999999999995E-7</v>
      </c>
      <c r="L79" s="1032">
        <v>7.2</v>
      </c>
      <c r="M79" s="1032">
        <v>-0.2</v>
      </c>
      <c r="N79" s="1027">
        <f t="shared" si="27"/>
        <v>3.7</v>
      </c>
      <c r="O79" s="1037">
        <v>1.18</v>
      </c>
      <c r="P79" s="1024"/>
      <c r="Q79" s="1296"/>
      <c r="R79" s="1033">
        <v>500</v>
      </c>
      <c r="S79" s="1029">
        <v>9.9999999999999995E-7</v>
      </c>
      <c r="T79" s="1032">
        <v>8.3000000000000007</v>
      </c>
      <c r="U79" s="1032">
        <v>-31.8</v>
      </c>
      <c r="V79" s="1027">
        <f t="shared" si="28"/>
        <v>20.05</v>
      </c>
      <c r="W79" s="1037">
        <v>1.18</v>
      </c>
    </row>
    <row r="80" spans="1:26" ht="12.75" customHeight="1">
      <c r="A80" s="1296"/>
      <c r="B80" s="1033">
        <v>500</v>
      </c>
      <c r="C80" s="1032">
        <v>3</v>
      </c>
      <c r="D80" s="1032">
        <v>3</v>
      </c>
      <c r="E80" s="1032">
        <v>0.9</v>
      </c>
      <c r="F80" s="1027">
        <f t="shared" si="26"/>
        <v>1.05</v>
      </c>
      <c r="G80" s="1037">
        <v>2.95</v>
      </c>
      <c r="H80" s="1024"/>
      <c r="I80" s="1296"/>
      <c r="J80" s="1033">
        <v>500</v>
      </c>
      <c r="K80" s="1029">
        <v>9.9999999999999995E-7</v>
      </c>
      <c r="L80" s="1032">
        <v>7.2</v>
      </c>
      <c r="M80" s="1032">
        <v>-25.1</v>
      </c>
      <c r="N80" s="1027">
        <f t="shared" si="27"/>
        <v>16.150000000000002</v>
      </c>
      <c r="O80" s="1037">
        <v>2.95</v>
      </c>
      <c r="P80" s="1024"/>
      <c r="Q80" s="1296"/>
      <c r="R80" s="1033">
        <v>500</v>
      </c>
      <c r="S80" s="1029">
        <v>9.9999999999999995E-7</v>
      </c>
      <c r="T80" s="1032">
        <v>8.3000000000000007</v>
      </c>
      <c r="U80" s="1032">
        <v>-31.8</v>
      </c>
      <c r="V80" s="1027">
        <f t="shared" si="28"/>
        <v>20.05</v>
      </c>
      <c r="W80" s="1037">
        <v>2.95</v>
      </c>
    </row>
    <row r="81" spans="1:24" ht="12.75" customHeight="1">
      <c r="A81" s="1296"/>
      <c r="B81" s="1033">
        <v>1000</v>
      </c>
      <c r="C81" s="1032">
        <v>5</v>
      </c>
      <c r="D81" s="1032">
        <v>4</v>
      </c>
      <c r="E81" s="1061">
        <v>-1</v>
      </c>
      <c r="F81" s="1027">
        <f t="shared" si="26"/>
        <v>3</v>
      </c>
      <c r="G81" s="1037">
        <v>5.9</v>
      </c>
      <c r="H81" s="1024"/>
      <c r="I81" s="1296"/>
      <c r="J81" s="1033">
        <v>1000</v>
      </c>
      <c r="K81" s="1029">
        <v>9.9999999999999995E-7</v>
      </c>
      <c r="L81" s="1032">
        <v>80</v>
      </c>
      <c r="M81" s="1032">
        <v>66</v>
      </c>
      <c r="N81" s="1027">
        <f t="shared" si="27"/>
        <v>39.999999500000001</v>
      </c>
      <c r="O81" s="1037">
        <v>5.9</v>
      </c>
      <c r="P81" s="1024"/>
      <c r="Q81" s="1296"/>
      <c r="R81" s="1033">
        <v>1000</v>
      </c>
      <c r="S81" s="1029">
        <v>9.9999999999999995E-7</v>
      </c>
      <c r="T81" s="1032">
        <v>-97</v>
      </c>
      <c r="U81" s="1032">
        <v>-74</v>
      </c>
      <c r="V81" s="1027">
        <f t="shared" si="28"/>
        <v>48.500000499999999</v>
      </c>
      <c r="W81" s="1037">
        <v>5.9</v>
      </c>
    </row>
    <row r="82" spans="1:24" ht="12.75" customHeight="1">
      <c r="A82" s="1296"/>
      <c r="B82" s="1292" t="s">
        <v>411</v>
      </c>
      <c r="C82" s="1293"/>
      <c r="D82" s="1293"/>
      <c r="E82" s="1294"/>
      <c r="F82" s="1023" t="s">
        <v>404</v>
      </c>
      <c r="G82" s="1023" t="s">
        <v>77</v>
      </c>
      <c r="H82" s="1024"/>
      <c r="I82" s="1296"/>
      <c r="J82" s="1292" t="s">
        <v>411</v>
      </c>
      <c r="K82" s="1293"/>
      <c r="L82" s="1293"/>
      <c r="M82" s="1294"/>
      <c r="N82" s="1023" t="s">
        <v>404</v>
      </c>
      <c r="O82" s="1023" t="s">
        <v>77</v>
      </c>
      <c r="P82" s="1024"/>
      <c r="Q82" s="1296"/>
      <c r="R82" s="1292" t="str">
        <f>B82</f>
        <v>Main-PE</v>
      </c>
      <c r="S82" s="1293"/>
      <c r="T82" s="1293"/>
      <c r="U82" s="1294"/>
      <c r="V82" s="1023" t="s">
        <v>404</v>
      </c>
      <c r="W82" s="1023" t="s">
        <v>77</v>
      </c>
    </row>
    <row r="83" spans="1:24" ht="15" customHeight="1">
      <c r="A83" s="1296"/>
      <c r="B83" s="1022" t="s">
        <v>412</v>
      </c>
      <c r="C83" s="1023">
        <f>C75</f>
        <v>2019</v>
      </c>
      <c r="D83" s="1023">
        <f>D75</f>
        <v>2020</v>
      </c>
      <c r="E83" s="1023">
        <f>E75</f>
        <v>2022</v>
      </c>
      <c r="F83" s="1023"/>
      <c r="G83" s="1023"/>
      <c r="H83" s="1024"/>
      <c r="I83" s="1296"/>
      <c r="J83" s="1022" t="s">
        <v>412</v>
      </c>
      <c r="K83" s="1023">
        <f>K67</f>
        <v>2019</v>
      </c>
      <c r="L83" s="1023">
        <f>L67</f>
        <v>2020</v>
      </c>
      <c r="M83" s="1023">
        <f>M67</f>
        <v>2022</v>
      </c>
      <c r="N83" s="1023"/>
      <c r="O83" s="1023"/>
      <c r="P83" s="1024"/>
      <c r="Q83" s="1296"/>
      <c r="R83" s="1022" t="s">
        <v>412</v>
      </c>
      <c r="S83" s="1023">
        <f>S67</f>
        <v>2019</v>
      </c>
      <c r="T83" s="1023">
        <f>T67</f>
        <v>2020</v>
      </c>
      <c r="U83" s="1023">
        <f>U67</f>
        <v>2022</v>
      </c>
      <c r="V83" s="1023"/>
      <c r="W83" s="1023"/>
    </row>
    <row r="84" spans="1:24" ht="12.75" customHeight="1">
      <c r="A84" s="1296"/>
      <c r="B84" s="1033">
        <v>10</v>
      </c>
      <c r="C84" s="1029" t="s">
        <v>62</v>
      </c>
      <c r="D84" s="1034">
        <v>9.9999999999999995E-7</v>
      </c>
      <c r="E84" s="1034">
        <v>9.9999999999999995E-7</v>
      </c>
      <c r="F84" s="1027">
        <f t="shared" ref="F84:F87" si="29">0.5*(MAX(C84:E84)-MIN(C84:E84))</f>
        <v>0</v>
      </c>
      <c r="G84" s="1038">
        <v>0.06</v>
      </c>
      <c r="H84" s="1024">
        <f>1.7/100</f>
        <v>1.7000000000000001E-2</v>
      </c>
      <c r="I84" s="1296"/>
      <c r="J84" s="1033">
        <v>10</v>
      </c>
      <c r="K84" s="1029">
        <v>9.9999999999999995E-7</v>
      </c>
      <c r="L84" s="1029">
        <v>9.9999999999999995E-7</v>
      </c>
      <c r="M84" s="1062">
        <v>9.9999999999999995E-7</v>
      </c>
      <c r="N84" s="1027">
        <f t="shared" ref="N84:N87" si="30">0.5*(MAX(K84:M84)-MIN(K84:M84))</f>
        <v>0</v>
      </c>
      <c r="O84" s="1038">
        <v>0.06</v>
      </c>
      <c r="P84" s="1024">
        <f>1.7/100</f>
        <v>1.7000000000000001E-2</v>
      </c>
      <c r="Q84" s="1296"/>
      <c r="R84" s="1033">
        <v>10</v>
      </c>
      <c r="S84" s="1029">
        <v>9.9999999999999995E-7</v>
      </c>
      <c r="T84" s="1034">
        <v>9.9999999999999995E-7</v>
      </c>
      <c r="U84" s="1034">
        <v>9.9999999999999995E-7</v>
      </c>
      <c r="V84" s="1027">
        <f t="shared" ref="V84:V87" si="31">0.5*(MAX(S84:U84)-MIN(S84:U84))</f>
        <v>0</v>
      </c>
      <c r="W84" s="1038">
        <v>0.06</v>
      </c>
      <c r="X84" s="1018">
        <v>1.7000000000000001E-2</v>
      </c>
    </row>
    <row r="85" spans="1:24" ht="12.75" customHeight="1">
      <c r="A85" s="1296"/>
      <c r="B85" s="1033">
        <v>20</v>
      </c>
      <c r="C85" s="1029" t="s">
        <v>62</v>
      </c>
      <c r="D85" s="1029">
        <v>0.1</v>
      </c>
      <c r="E85" s="1029">
        <v>0.1</v>
      </c>
      <c r="F85" s="1027">
        <f t="shared" si="29"/>
        <v>0</v>
      </c>
      <c r="G85" s="1038">
        <v>0.12</v>
      </c>
      <c r="H85" s="1024"/>
      <c r="I85" s="1296"/>
      <c r="J85" s="1033">
        <v>20</v>
      </c>
      <c r="K85" s="1029">
        <v>9.9999999999999995E-7</v>
      </c>
      <c r="L85" s="1029">
        <v>9.9999999999999995E-7</v>
      </c>
      <c r="M85" s="1062">
        <v>9.9999999999999995E-7</v>
      </c>
      <c r="N85" s="1027">
        <f t="shared" si="30"/>
        <v>0</v>
      </c>
      <c r="O85" s="1038">
        <v>0.12</v>
      </c>
      <c r="P85" s="1024"/>
      <c r="Q85" s="1296"/>
      <c r="R85" s="1033">
        <v>20</v>
      </c>
      <c r="S85" s="1029">
        <v>9.9999999999999995E-7</v>
      </c>
      <c r="T85" s="1034">
        <v>9.9999999999999995E-7</v>
      </c>
      <c r="U85" s="1034">
        <v>9.9999999999999995E-7</v>
      </c>
      <c r="V85" s="1027">
        <f t="shared" si="31"/>
        <v>0</v>
      </c>
      <c r="W85" s="1038">
        <v>0.12</v>
      </c>
    </row>
    <row r="86" spans="1:24" ht="12.75" customHeight="1">
      <c r="A86" s="1296"/>
      <c r="B86" s="1033">
        <v>50</v>
      </c>
      <c r="C86" s="1029" t="s">
        <v>62</v>
      </c>
      <c r="D86" s="1029">
        <v>0.4</v>
      </c>
      <c r="E86" s="1029">
        <v>0.5</v>
      </c>
      <c r="F86" s="1027">
        <f t="shared" si="29"/>
        <v>4.9999999999999989E-2</v>
      </c>
      <c r="G86" s="1038">
        <v>0.3</v>
      </c>
      <c r="H86" s="1024"/>
      <c r="I86" s="1296"/>
      <c r="J86" s="1033">
        <v>50</v>
      </c>
      <c r="K86" s="1029">
        <v>9.9999999999999995E-7</v>
      </c>
      <c r="L86" s="1029">
        <v>9.9999999999999995E-7</v>
      </c>
      <c r="M86" s="1062">
        <v>0.2</v>
      </c>
      <c r="N86" s="1027">
        <f t="shared" si="30"/>
        <v>9.9999500000000005E-2</v>
      </c>
      <c r="O86" s="1038">
        <v>0.3</v>
      </c>
      <c r="P86" s="1024"/>
      <c r="Q86" s="1296"/>
      <c r="R86" s="1033">
        <v>50</v>
      </c>
      <c r="S86" s="1029">
        <v>9.9999999999999995E-7</v>
      </c>
      <c r="T86" s="1034">
        <v>9.9999999999999995E-7</v>
      </c>
      <c r="U86" s="1034">
        <v>0.2</v>
      </c>
      <c r="V86" s="1027">
        <f t="shared" si="31"/>
        <v>9.9999500000000005E-2</v>
      </c>
      <c r="W86" s="1038">
        <v>0.3</v>
      </c>
    </row>
    <row r="87" spans="1:24" ht="12.75" customHeight="1">
      <c r="A87" s="1296"/>
      <c r="B87" s="1033">
        <v>100</v>
      </c>
      <c r="C87" s="1029" t="s">
        <v>62</v>
      </c>
      <c r="D87" s="1029">
        <v>1.4</v>
      </c>
      <c r="E87" s="1029">
        <v>0.9</v>
      </c>
      <c r="F87" s="1027">
        <f t="shared" si="29"/>
        <v>0.24999999999999994</v>
      </c>
      <c r="G87" s="1038">
        <v>0.59</v>
      </c>
      <c r="H87" s="1024"/>
      <c r="I87" s="1296"/>
      <c r="J87" s="1033">
        <v>100</v>
      </c>
      <c r="K87" s="1029">
        <v>9.9999999999999995E-7</v>
      </c>
      <c r="L87" s="1029">
        <v>9.9999999999999995E-7</v>
      </c>
      <c r="M87" s="1062">
        <v>0.6</v>
      </c>
      <c r="N87" s="1027">
        <f t="shared" si="30"/>
        <v>0.29999949999999997</v>
      </c>
      <c r="O87" s="1038">
        <v>0.59</v>
      </c>
      <c r="P87" s="1024"/>
      <c r="Q87" s="1296"/>
      <c r="R87" s="1033">
        <v>100</v>
      </c>
      <c r="S87" s="1029">
        <v>9.9999999999999995E-7</v>
      </c>
      <c r="T87" s="1034">
        <v>9.9999999999999995E-7</v>
      </c>
      <c r="U87" s="1034">
        <v>0.4</v>
      </c>
      <c r="V87" s="1027">
        <f t="shared" si="31"/>
        <v>0.19999950000000002</v>
      </c>
      <c r="W87" s="1038">
        <v>0.59</v>
      </c>
    </row>
    <row r="88" spans="1:24" ht="12.75" customHeight="1">
      <c r="A88" s="1296"/>
      <c r="B88" s="1292" t="s">
        <v>413</v>
      </c>
      <c r="C88" s="1293"/>
      <c r="D88" s="1293"/>
      <c r="E88" s="1294"/>
      <c r="F88" s="1023" t="s">
        <v>404</v>
      </c>
      <c r="G88" s="1023" t="s">
        <v>77</v>
      </c>
      <c r="H88" s="1024"/>
      <c r="I88" s="1296"/>
      <c r="J88" s="1292" t="s">
        <v>413</v>
      </c>
      <c r="K88" s="1293"/>
      <c r="L88" s="1293"/>
      <c r="M88" s="1294"/>
      <c r="N88" s="1023" t="s">
        <v>404</v>
      </c>
      <c r="O88" s="1023" t="s">
        <v>77</v>
      </c>
      <c r="P88" s="1024"/>
      <c r="Q88" s="1296"/>
      <c r="R88" s="1292" t="str">
        <f>B88</f>
        <v>Resistance</v>
      </c>
      <c r="S88" s="1293"/>
      <c r="T88" s="1293"/>
      <c r="U88" s="1294"/>
      <c r="V88" s="1023" t="s">
        <v>404</v>
      </c>
      <c r="W88" s="1023" t="s">
        <v>77</v>
      </c>
    </row>
    <row r="89" spans="1:24" ht="15" customHeight="1">
      <c r="A89" s="1296"/>
      <c r="B89" s="1022" t="s">
        <v>414</v>
      </c>
      <c r="C89" s="1023">
        <f>C67</f>
        <v>2019</v>
      </c>
      <c r="D89" s="1023">
        <f>D67</f>
        <v>2020</v>
      </c>
      <c r="E89" s="1023">
        <f>E67</f>
        <v>2022</v>
      </c>
      <c r="F89" s="1023"/>
      <c r="G89" s="1023"/>
      <c r="H89" s="1024"/>
      <c r="I89" s="1296"/>
      <c r="J89" s="1022" t="s">
        <v>414</v>
      </c>
      <c r="K89" s="1023">
        <f>K67</f>
        <v>2019</v>
      </c>
      <c r="L89" s="1023">
        <f>L67</f>
        <v>2020</v>
      </c>
      <c r="M89" s="1023">
        <f>M67</f>
        <v>2022</v>
      </c>
      <c r="N89" s="1023"/>
      <c r="O89" s="1023"/>
      <c r="P89" s="1024"/>
      <c r="Q89" s="1296"/>
      <c r="R89" s="1022" t="s">
        <v>414</v>
      </c>
      <c r="S89" s="1023">
        <f>S67</f>
        <v>2019</v>
      </c>
      <c r="T89" s="1023">
        <f>T67</f>
        <v>2020</v>
      </c>
      <c r="U89" s="1023">
        <f>U67</f>
        <v>2022</v>
      </c>
      <c r="V89" s="1023"/>
      <c r="W89" s="1023"/>
    </row>
    <row r="90" spans="1:24" ht="12.75" customHeight="1">
      <c r="A90" s="1296"/>
      <c r="B90" s="1033">
        <v>0.01</v>
      </c>
      <c r="C90" s="1034">
        <v>9.9999999999999995E-7</v>
      </c>
      <c r="D90" s="1034">
        <v>9.9999999999999995E-7</v>
      </c>
      <c r="E90" s="1034">
        <v>9.9999999999999995E-7</v>
      </c>
      <c r="F90" s="1027">
        <f t="shared" ref="F90:F93" si="32">0.5*(MAX(C90:E90)-MIN(C90:E90))</f>
        <v>0</v>
      </c>
      <c r="G90" s="1033">
        <v>1.2E-4</v>
      </c>
      <c r="H90" s="1024">
        <f>1.2/100</f>
        <v>1.2E-2</v>
      </c>
      <c r="I90" s="1296"/>
      <c r="J90" s="1033">
        <v>0.01</v>
      </c>
      <c r="K90" s="1033">
        <v>9.9999999999999995E-7</v>
      </c>
      <c r="L90" s="1034">
        <v>9.9999999999999995E-7</v>
      </c>
      <c r="M90" s="1034">
        <v>9.9999999999999995E-7</v>
      </c>
      <c r="N90" s="1027">
        <f t="shared" ref="N90:N93" si="33">0.5*(MAX(K90:M90)-MIN(K90:M90))</f>
        <v>0</v>
      </c>
      <c r="O90" s="1033">
        <v>1.2E-4</v>
      </c>
      <c r="P90" s="1024">
        <f>1.2/100</f>
        <v>1.2E-2</v>
      </c>
      <c r="Q90" s="1296"/>
      <c r="R90" s="1033">
        <v>0.01</v>
      </c>
      <c r="S90" s="1033">
        <v>9.9999999999999995E-7</v>
      </c>
      <c r="T90" s="1034">
        <v>9.9999999999999995E-7</v>
      </c>
      <c r="U90" s="1034">
        <v>9.9999999999999995E-7</v>
      </c>
      <c r="V90" s="1027">
        <f t="shared" ref="V90:V93" si="34">0.5*(MAX(S90:U90)-MIN(S90:U90))</f>
        <v>0</v>
      </c>
      <c r="W90" s="1033">
        <v>1.2E-4</v>
      </c>
      <c r="X90" s="1018">
        <f>1.2/100</f>
        <v>1.2E-2</v>
      </c>
    </row>
    <row r="91" spans="1:24" ht="12.75" customHeight="1">
      <c r="A91" s="1296"/>
      <c r="B91" s="1033">
        <v>0.1</v>
      </c>
      <c r="C91" s="1034">
        <v>9.9999999999999995E-7</v>
      </c>
      <c r="D91" s="1034">
        <v>9.9999999999999995E-7</v>
      </c>
      <c r="E91" s="1034">
        <v>2E-3</v>
      </c>
      <c r="F91" s="1027">
        <f t="shared" si="32"/>
        <v>9.9949999999999995E-4</v>
      </c>
      <c r="G91" s="1033">
        <v>1.1999999999999999E-3</v>
      </c>
      <c r="H91" s="1024"/>
      <c r="I91" s="1296"/>
      <c r="J91" s="1033">
        <v>0.1</v>
      </c>
      <c r="K91" s="1033">
        <v>9.9999999999999995E-7</v>
      </c>
      <c r="L91" s="1034">
        <v>-2E-3</v>
      </c>
      <c r="M91" s="1034">
        <v>1E-3</v>
      </c>
      <c r="N91" s="1027">
        <f t="shared" si="33"/>
        <v>1.5E-3</v>
      </c>
      <c r="O91" s="1033">
        <v>1.1999999999999999E-3</v>
      </c>
      <c r="P91" s="1024"/>
      <c r="Q91" s="1296"/>
      <c r="R91" s="1033">
        <v>0.1</v>
      </c>
      <c r="S91" s="1033">
        <v>9.9999999999999995E-7</v>
      </c>
      <c r="T91" s="1034">
        <v>-3.0000000000000001E-3</v>
      </c>
      <c r="U91" s="1034">
        <v>-1E-3</v>
      </c>
      <c r="V91" s="1027">
        <f t="shared" si="34"/>
        <v>1.5005000000000001E-3</v>
      </c>
      <c r="W91" s="1033">
        <v>1.1999999999999999E-3</v>
      </c>
    </row>
    <row r="92" spans="1:24" ht="12.75" customHeight="1">
      <c r="A92" s="1296"/>
      <c r="B92" s="1033">
        <v>1</v>
      </c>
      <c r="C92" s="1034">
        <v>-2.3E-3</v>
      </c>
      <c r="D92" s="1034">
        <v>-2.3E-3</v>
      </c>
      <c r="E92" s="1034">
        <v>2E-3</v>
      </c>
      <c r="F92" s="1027">
        <f t="shared" si="32"/>
        <v>2.15E-3</v>
      </c>
      <c r="G92" s="1033">
        <v>1.2E-2</v>
      </c>
      <c r="H92" s="1024"/>
      <c r="I92" s="1296"/>
      <c r="J92" s="1033">
        <v>1</v>
      </c>
      <c r="K92" s="1033">
        <v>9.9999999999999995E-7</v>
      </c>
      <c r="L92" s="1034">
        <v>-1E-3</v>
      </c>
      <c r="M92" s="1034">
        <v>9.9999999999999995E-7</v>
      </c>
      <c r="N92" s="1027">
        <f t="shared" si="33"/>
        <v>5.0049999999999997E-4</v>
      </c>
      <c r="O92" s="1033">
        <v>1.2E-2</v>
      </c>
      <c r="P92" s="1024"/>
      <c r="Q92" s="1296"/>
      <c r="R92" s="1033">
        <v>1</v>
      </c>
      <c r="S92" s="1033">
        <v>9.9999999999999995E-7</v>
      </c>
      <c r="T92" s="1034">
        <v>-1E-3</v>
      </c>
      <c r="U92" s="1034">
        <v>5.0000000000000001E-3</v>
      </c>
      <c r="V92" s="1027">
        <f t="shared" si="34"/>
        <v>3.0000000000000001E-3</v>
      </c>
      <c r="W92" s="1033">
        <v>1.2E-2</v>
      </c>
    </row>
    <row r="93" spans="1:24" ht="12.75" customHeight="1">
      <c r="A93" s="1297"/>
      <c r="B93" s="1033">
        <v>2</v>
      </c>
      <c r="C93" s="1034">
        <v>9.9999999999999995E-7</v>
      </c>
      <c r="D93" s="1034">
        <v>9.9999999999999995E-7</v>
      </c>
      <c r="E93" s="1034">
        <v>-1E-3</v>
      </c>
      <c r="F93" s="1027">
        <f t="shared" si="32"/>
        <v>5.0049999999999997E-4</v>
      </c>
      <c r="G93" s="1033">
        <v>2.4E-2</v>
      </c>
      <c r="H93" s="1024"/>
      <c r="I93" s="1297"/>
      <c r="J93" s="1033">
        <v>2</v>
      </c>
      <c r="K93" s="1033">
        <v>9.9999999999999995E-7</v>
      </c>
      <c r="L93" s="1034">
        <v>-6.0000000000000001E-3</v>
      </c>
      <c r="M93" s="1034">
        <v>9.9999999999999995E-7</v>
      </c>
      <c r="N93" s="1027">
        <f t="shared" si="33"/>
        <v>3.0005000000000001E-3</v>
      </c>
      <c r="O93" s="1033">
        <v>2.4E-2</v>
      </c>
      <c r="P93" s="1024"/>
      <c r="Q93" s="1297"/>
      <c r="R93" s="1033">
        <v>2</v>
      </c>
      <c r="S93" s="1033">
        <v>9.9999999999999995E-7</v>
      </c>
      <c r="T93" s="1034">
        <v>-6.0000000000000001E-3</v>
      </c>
      <c r="U93" s="1034">
        <v>5.0000000000000001E-3</v>
      </c>
      <c r="V93" s="1027">
        <f t="shared" si="34"/>
        <v>5.4999999999999997E-3</v>
      </c>
      <c r="W93" s="1033">
        <v>2.4E-2</v>
      </c>
    </row>
    <row r="94" spans="1:24" s="668" customFormat="1" ht="15.5">
      <c r="A94" s="1052"/>
      <c r="B94" s="1053"/>
      <c r="C94" s="1054"/>
      <c r="E94" s="1054"/>
      <c r="F94" s="1054"/>
      <c r="G94" s="1054"/>
      <c r="H94" s="1042"/>
      <c r="I94" s="1055"/>
      <c r="J94" s="1056"/>
      <c r="K94" s="1054"/>
      <c r="M94" s="1054"/>
      <c r="N94" s="1054"/>
      <c r="O94" s="1054"/>
      <c r="P94" s="1042"/>
      <c r="Q94" s="1055"/>
      <c r="R94" s="1053"/>
      <c r="S94" s="1054"/>
      <c r="U94" s="669"/>
      <c r="V94" s="669"/>
      <c r="W94" s="1043"/>
      <c r="X94" s="1044"/>
    </row>
    <row r="95" spans="1:24" ht="30" customHeight="1">
      <c r="A95" s="1295">
        <v>10</v>
      </c>
      <c r="B95" s="1298" t="str">
        <f>A175</f>
        <v>Electrical Safety Analyzer, Merek : Fluke, Model : ESA 615, SN : --</v>
      </c>
      <c r="C95" s="1298"/>
      <c r="D95" s="1298"/>
      <c r="E95" s="1298"/>
      <c r="F95" s="1298"/>
      <c r="G95" s="1298"/>
      <c r="H95" s="1019"/>
      <c r="I95" s="1295">
        <v>11</v>
      </c>
      <c r="J95" s="1299" t="str">
        <f>A176</f>
        <v>Electrical Safety Analyzer 11</v>
      </c>
      <c r="K95" s="1299"/>
      <c r="L95" s="1299"/>
      <c r="M95" s="1299"/>
      <c r="N95" s="1299"/>
      <c r="O95" s="1299"/>
      <c r="P95" s="1019"/>
      <c r="Q95" s="1295">
        <v>12</v>
      </c>
      <c r="R95" s="1299" t="str">
        <f>A177</f>
        <v>Electrical Safety Analyzer 12</v>
      </c>
      <c r="S95" s="1299"/>
      <c r="T95" s="1299"/>
      <c r="U95" s="1299"/>
      <c r="V95" s="1299"/>
      <c r="W95" s="1299"/>
    </row>
    <row r="96" spans="1:24" ht="15" customHeight="1">
      <c r="A96" s="1296"/>
      <c r="B96" s="1300" t="s">
        <v>402</v>
      </c>
      <c r="C96" s="1300"/>
      <c r="D96" s="1300"/>
      <c r="E96" s="1300"/>
      <c r="F96" s="1046"/>
      <c r="G96" s="1046"/>
      <c r="H96" s="1021"/>
      <c r="I96" s="1296"/>
      <c r="J96" s="1301" t="s">
        <v>402</v>
      </c>
      <c r="K96" s="1301"/>
      <c r="L96" s="1301"/>
      <c r="M96" s="1301"/>
      <c r="N96" s="1047"/>
      <c r="O96" s="1047"/>
      <c r="P96" s="1021"/>
      <c r="Q96" s="1296"/>
      <c r="R96" s="1300" t="s">
        <v>402</v>
      </c>
      <c r="S96" s="1300"/>
      <c r="T96" s="1300"/>
      <c r="U96" s="1300"/>
      <c r="V96" s="1047"/>
      <c r="W96" s="1047"/>
    </row>
    <row r="97" spans="1:23" ht="12.75" customHeight="1">
      <c r="A97" s="1296"/>
      <c r="B97" s="1289" t="s">
        <v>403</v>
      </c>
      <c r="C97" s="1290"/>
      <c r="D97" s="1290"/>
      <c r="E97" s="1291"/>
      <c r="F97" s="1023" t="s">
        <v>404</v>
      </c>
      <c r="G97" s="1023" t="s">
        <v>77</v>
      </c>
      <c r="H97" s="1024"/>
      <c r="I97" s="1296"/>
      <c r="J97" s="1286" t="s">
        <v>403</v>
      </c>
      <c r="K97" s="1287"/>
      <c r="L97" s="1287"/>
      <c r="M97" s="1288"/>
      <c r="N97" s="1023" t="s">
        <v>404</v>
      </c>
      <c r="O97" s="1023" t="s">
        <v>77</v>
      </c>
      <c r="P97" s="1024"/>
      <c r="Q97" s="1296"/>
      <c r="R97" s="1289" t="s">
        <v>403</v>
      </c>
      <c r="S97" s="1290"/>
      <c r="T97" s="1290"/>
      <c r="U97" s="1291"/>
      <c r="V97" s="1023" t="s">
        <v>404</v>
      </c>
      <c r="W97" s="1023" t="s">
        <v>77</v>
      </c>
    </row>
    <row r="98" spans="1:23" ht="15" customHeight="1">
      <c r="A98" s="1296"/>
      <c r="B98" s="1022" t="s">
        <v>406</v>
      </c>
      <c r="C98" s="1023">
        <v>2019</v>
      </c>
      <c r="D98" s="1023">
        <v>2019</v>
      </c>
      <c r="E98" s="1023">
        <v>2020</v>
      </c>
      <c r="F98" s="1023"/>
      <c r="G98" s="1023"/>
      <c r="H98" s="1024"/>
      <c r="I98" s="1296"/>
      <c r="J98" s="1022" t="s">
        <v>406</v>
      </c>
      <c r="K98" s="1023">
        <v>2019</v>
      </c>
      <c r="L98" s="1023">
        <v>2019</v>
      </c>
      <c r="M98" s="1023">
        <v>2020</v>
      </c>
      <c r="N98" s="1023"/>
      <c r="O98" s="1023"/>
      <c r="P98" s="1024"/>
      <c r="Q98" s="1296"/>
      <c r="R98" s="1022" t="s">
        <v>406</v>
      </c>
      <c r="S98" s="1023">
        <v>2019</v>
      </c>
      <c r="T98" s="1023">
        <v>2019</v>
      </c>
      <c r="U98" s="1023">
        <v>2020</v>
      </c>
      <c r="V98" s="1023"/>
      <c r="W98" s="1023"/>
    </row>
    <row r="99" spans="1:23" ht="12.75" customHeight="1">
      <c r="A99" s="1296"/>
      <c r="B99" s="1025">
        <v>150</v>
      </c>
      <c r="C99" s="1026">
        <v>0.21</v>
      </c>
      <c r="D99" s="1026">
        <v>0.21</v>
      </c>
      <c r="E99" s="1026">
        <v>0.21</v>
      </c>
      <c r="F99" s="1027">
        <f t="shared" ref="F99:F104" si="35">0.5*(MAX(C99:E99)-MIN(C99:E99))</f>
        <v>0</v>
      </c>
      <c r="G99" s="1028">
        <v>1.8</v>
      </c>
      <c r="H99" s="1024"/>
      <c r="I99" s="1296"/>
      <c r="J99" s="1025">
        <v>150</v>
      </c>
      <c r="K99" s="1028">
        <v>9.9999999999999995E-7</v>
      </c>
      <c r="L99" s="1028">
        <v>9.9999999999999995E-7</v>
      </c>
      <c r="M99" s="1026">
        <v>-0.17</v>
      </c>
      <c r="N99" s="1027">
        <f>0.5*(MAX(K99:M99)-MIN(K99:M99))</f>
        <v>8.5000500000000007E-2</v>
      </c>
      <c r="O99" s="1028">
        <v>1.8</v>
      </c>
      <c r="P99" s="1024"/>
      <c r="Q99" s="1296"/>
      <c r="R99" s="1025">
        <v>150</v>
      </c>
      <c r="S99" s="1028">
        <v>9.9999999999999995E-7</v>
      </c>
      <c r="T99" s="1028">
        <v>9.9999999999999995E-7</v>
      </c>
      <c r="U99" s="1026">
        <v>-0.24</v>
      </c>
      <c r="V99" s="1027">
        <f t="shared" ref="V99:V104" si="36">0.5*(MAX(S99:U99)-MIN(S99:U99))</f>
        <v>0.1200005</v>
      </c>
      <c r="W99" s="1028">
        <v>1.8</v>
      </c>
    </row>
    <row r="100" spans="1:23" ht="12.75" customHeight="1">
      <c r="A100" s="1296"/>
      <c r="B100" s="1025">
        <v>180</v>
      </c>
      <c r="C100" s="1032">
        <v>0.33</v>
      </c>
      <c r="D100" s="1032">
        <v>0.33</v>
      </c>
      <c r="E100" s="1032">
        <v>0.33</v>
      </c>
      <c r="F100" s="1027">
        <f t="shared" si="35"/>
        <v>0</v>
      </c>
      <c r="G100" s="1028">
        <v>2.16</v>
      </c>
      <c r="H100" s="1024"/>
      <c r="I100" s="1296"/>
      <c r="J100" s="1025">
        <v>180</v>
      </c>
      <c r="K100" s="1028">
        <v>9.9999999999999995E-7</v>
      </c>
      <c r="L100" s="1028">
        <v>9.9999999999999995E-7</v>
      </c>
      <c r="M100" s="1032">
        <v>-0.22</v>
      </c>
      <c r="N100" s="1027">
        <f t="shared" ref="N100:N104" si="37">0.5*(MAX(K100:M100)-MIN(K100:M100))</f>
        <v>0.1100005</v>
      </c>
      <c r="O100" s="1028">
        <v>2.16</v>
      </c>
      <c r="P100" s="1024"/>
      <c r="Q100" s="1296"/>
      <c r="R100" s="1025">
        <v>180</v>
      </c>
      <c r="S100" s="1028">
        <v>9.9999999999999995E-7</v>
      </c>
      <c r="T100" s="1028">
        <v>9.9999999999999995E-7</v>
      </c>
      <c r="U100" s="1032">
        <v>-0.14000000000000001</v>
      </c>
      <c r="V100" s="1027">
        <f t="shared" si="36"/>
        <v>7.0000500000000007E-2</v>
      </c>
      <c r="W100" s="1028">
        <v>2.16</v>
      </c>
    </row>
    <row r="101" spans="1:23" ht="12.75" customHeight="1">
      <c r="A101" s="1296"/>
      <c r="B101" s="1025">
        <v>200</v>
      </c>
      <c r="C101" s="1032">
        <v>0.34</v>
      </c>
      <c r="D101" s="1032">
        <v>0.34</v>
      </c>
      <c r="E101" s="1032">
        <v>0.34</v>
      </c>
      <c r="F101" s="1027">
        <f t="shared" si="35"/>
        <v>0</v>
      </c>
      <c r="G101" s="1028">
        <v>2.4</v>
      </c>
      <c r="H101" s="1024"/>
      <c r="I101" s="1296"/>
      <c r="J101" s="1025">
        <v>200</v>
      </c>
      <c r="K101" s="1028">
        <v>9.9999999999999995E-7</v>
      </c>
      <c r="L101" s="1028">
        <v>9.9999999999999995E-7</v>
      </c>
      <c r="M101" s="1032">
        <v>-0.33</v>
      </c>
      <c r="N101" s="1027">
        <f t="shared" si="37"/>
        <v>0.16500049999999999</v>
      </c>
      <c r="O101" s="1028">
        <v>2.4</v>
      </c>
      <c r="P101" s="1024"/>
      <c r="Q101" s="1296"/>
      <c r="R101" s="1025">
        <v>200</v>
      </c>
      <c r="S101" s="1028">
        <v>9.9999999999999995E-7</v>
      </c>
      <c r="T101" s="1028">
        <v>9.9999999999999995E-7</v>
      </c>
      <c r="U101" s="1032">
        <v>-0.33</v>
      </c>
      <c r="V101" s="1027">
        <f t="shared" si="36"/>
        <v>0.16500049999999999</v>
      </c>
      <c r="W101" s="1028">
        <v>2.4</v>
      </c>
    </row>
    <row r="102" spans="1:23" ht="12.75" customHeight="1">
      <c r="A102" s="1296"/>
      <c r="B102" s="1025">
        <v>220</v>
      </c>
      <c r="C102" s="1032">
        <v>0.37</v>
      </c>
      <c r="D102" s="1032">
        <v>0.37</v>
      </c>
      <c r="E102" s="1032">
        <v>0.37</v>
      </c>
      <c r="F102" s="1027">
        <f t="shared" si="35"/>
        <v>0</v>
      </c>
      <c r="G102" s="1028">
        <v>2.64</v>
      </c>
      <c r="H102" s="1024"/>
      <c r="I102" s="1296"/>
      <c r="J102" s="1025">
        <v>220</v>
      </c>
      <c r="K102" s="1028">
        <v>9.9999999999999995E-7</v>
      </c>
      <c r="L102" s="1028">
        <v>9.9999999999999995E-7</v>
      </c>
      <c r="M102" s="1032">
        <v>-0.39</v>
      </c>
      <c r="N102" s="1027">
        <f t="shared" si="37"/>
        <v>0.19500049999999999</v>
      </c>
      <c r="O102" s="1028">
        <v>2.64</v>
      </c>
      <c r="P102" s="1024"/>
      <c r="Q102" s="1296"/>
      <c r="R102" s="1025">
        <v>220</v>
      </c>
      <c r="S102" s="1028">
        <v>9.9999999999999995E-7</v>
      </c>
      <c r="T102" s="1028">
        <v>9.9999999999999995E-7</v>
      </c>
      <c r="U102" s="1032">
        <v>-0.45</v>
      </c>
      <c r="V102" s="1027">
        <f t="shared" si="36"/>
        <v>0.22500049999999999</v>
      </c>
      <c r="W102" s="1028">
        <v>2.64</v>
      </c>
    </row>
    <row r="103" spans="1:23" ht="12.75" customHeight="1">
      <c r="A103" s="1296"/>
      <c r="B103" s="1025">
        <v>230</v>
      </c>
      <c r="C103" s="1032">
        <v>0.47</v>
      </c>
      <c r="D103" s="1032">
        <v>0.47</v>
      </c>
      <c r="E103" s="1032">
        <v>0.47</v>
      </c>
      <c r="F103" s="1027">
        <f t="shared" si="35"/>
        <v>0</v>
      </c>
      <c r="G103" s="1028">
        <v>2.7629999999999999</v>
      </c>
      <c r="H103" s="1024"/>
      <c r="I103" s="1296"/>
      <c r="J103" s="1025">
        <v>230</v>
      </c>
      <c r="K103" s="1028">
        <v>9.9999999999999995E-7</v>
      </c>
      <c r="L103" s="1028">
        <v>9.9999999999999995E-7</v>
      </c>
      <c r="M103" s="1032">
        <v>-0.39</v>
      </c>
      <c r="N103" s="1027">
        <f t="shared" si="37"/>
        <v>0.19500049999999999</v>
      </c>
      <c r="O103" s="1028">
        <v>2.7629999999999999</v>
      </c>
      <c r="P103" s="1024"/>
      <c r="Q103" s="1296"/>
      <c r="R103" s="1025">
        <v>230</v>
      </c>
      <c r="S103" s="1028">
        <v>9.9999999999999995E-7</v>
      </c>
      <c r="T103" s="1028">
        <v>9.9999999999999995E-7</v>
      </c>
      <c r="U103" s="1032">
        <v>-0.54</v>
      </c>
      <c r="V103" s="1027">
        <f t="shared" si="36"/>
        <v>0.27000050000000003</v>
      </c>
      <c r="W103" s="1028">
        <v>2.7629999999999999</v>
      </c>
    </row>
    <row r="104" spans="1:23" ht="12.75" customHeight="1">
      <c r="A104" s="1296"/>
      <c r="B104" s="1025">
        <v>250</v>
      </c>
      <c r="C104" s="1032">
        <v>9.9999999999999995E-7</v>
      </c>
      <c r="D104" s="1032">
        <v>9.9999999999999995E-7</v>
      </c>
      <c r="E104" s="1034">
        <v>9.9999999999999995E-7</v>
      </c>
      <c r="F104" s="1027">
        <f t="shared" si="35"/>
        <v>0</v>
      </c>
      <c r="G104" s="1028">
        <v>3</v>
      </c>
      <c r="H104" s="1024"/>
      <c r="I104" s="1296"/>
      <c r="J104" s="1025">
        <v>250</v>
      </c>
      <c r="K104" s="1028">
        <v>9.9999999999999995E-7</v>
      </c>
      <c r="L104" s="1028">
        <v>9.9999999999999995E-7</v>
      </c>
      <c r="M104" s="1034">
        <v>9.9999999999999995E-7</v>
      </c>
      <c r="N104" s="1027">
        <f t="shared" si="37"/>
        <v>0</v>
      </c>
      <c r="O104" s="1028">
        <v>3</v>
      </c>
      <c r="P104" s="1024"/>
      <c r="Q104" s="1296"/>
      <c r="R104" s="1025">
        <v>250</v>
      </c>
      <c r="S104" s="1028">
        <v>9.9999999999999995E-7</v>
      </c>
      <c r="T104" s="1028">
        <v>9.9999999999999995E-7</v>
      </c>
      <c r="U104" s="1034">
        <v>9.9999999999999995E-7</v>
      </c>
      <c r="V104" s="1027">
        <f t="shared" si="36"/>
        <v>0</v>
      </c>
      <c r="W104" s="1028">
        <v>3</v>
      </c>
    </row>
    <row r="105" spans="1:23" ht="12.75" customHeight="1">
      <c r="A105" s="1296"/>
      <c r="B105" s="1292" t="s">
        <v>408</v>
      </c>
      <c r="C105" s="1293"/>
      <c r="D105" s="1293"/>
      <c r="E105" s="1294"/>
      <c r="F105" s="1023" t="s">
        <v>404</v>
      </c>
      <c r="G105" s="1023" t="s">
        <v>77</v>
      </c>
      <c r="H105" s="1024"/>
      <c r="I105" s="1296"/>
      <c r="J105" s="1292" t="s">
        <v>408</v>
      </c>
      <c r="K105" s="1293"/>
      <c r="L105" s="1293"/>
      <c r="M105" s="1294"/>
      <c r="N105" s="1023" t="s">
        <v>404</v>
      </c>
      <c r="O105" s="1023" t="s">
        <v>77</v>
      </c>
      <c r="P105" s="1024"/>
      <c r="Q105" s="1296"/>
      <c r="R105" s="1292" t="s">
        <v>408</v>
      </c>
      <c r="S105" s="1293"/>
      <c r="T105" s="1293"/>
      <c r="U105" s="1294"/>
      <c r="V105" s="1023" t="s">
        <v>404</v>
      </c>
      <c r="W105" s="1023" t="s">
        <v>77</v>
      </c>
    </row>
    <row r="106" spans="1:23" ht="15" customHeight="1">
      <c r="A106" s="1296"/>
      <c r="B106" s="1022" t="s">
        <v>410</v>
      </c>
      <c r="C106" s="1023">
        <f>C98</f>
        <v>2019</v>
      </c>
      <c r="D106" s="1023">
        <f>D98</f>
        <v>2019</v>
      </c>
      <c r="E106" s="1023">
        <f>E98</f>
        <v>2020</v>
      </c>
      <c r="F106" s="1023"/>
      <c r="G106" s="1023"/>
      <c r="H106" s="1024"/>
      <c r="I106" s="1296"/>
      <c r="J106" s="1022" t="s">
        <v>410</v>
      </c>
      <c r="K106" s="1023">
        <f>K98</f>
        <v>2019</v>
      </c>
      <c r="L106" s="1023">
        <f>L98</f>
        <v>2019</v>
      </c>
      <c r="M106" s="1023">
        <f>M98</f>
        <v>2020</v>
      </c>
      <c r="N106" s="1023"/>
      <c r="O106" s="1023"/>
      <c r="P106" s="1024"/>
      <c r="Q106" s="1296"/>
      <c r="R106" s="1022" t="s">
        <v>410</v>
      </c>
      <c r="S106" s="1023">
        <f>S98</f>
        <v>2019</v>
      </c>
      <c r="T106" s="1023">
        <f>T98</f>
        <v>2019</v>
      </c>
      <c r="U106" s="1023">
        <f>U98</f>
        <v>2020</v>
      </c>
      <c r="V106" s="1023"/>
      <c r="W106" s="1023"/>
    </row>
    <row r="107" spans="1:23" ht="12.75" customHeight="1">
      <c r="A107" s="1296"/>
      <c r="B107" s="1029">
        <v>9.9999999999999995E-7</v>
      </c>
      <c r="C107" s="1026">
        <v>9.9999999999999995E-7</v>
      </c>
      <c r="D107" s="1026">
        <v>9.9999999999999995E-7</v>
      </c>
      <c r="E107" s="1032">
        <v>9.9999999999999995E-7</v>
      </c>
      <c r="F107" s="1027">
        <f t="shared" ref="F107:F112" si="38">0.5*(MAX(C107:E107)-MIN(C107:E107))</f>
        <v>0</v>
      </c>
      <c r="G107" s="1037">
        <v>5.8999999999999999E-9</v>
      </c>
      <c r="H107" s="1024"/>
      <c r="I107" s="1296"/>
      <c r="J107" s="1038">
        <v>9.9999999999999995E-7</v>
      </c>
      <c r="K107" s="1029">
        <v>9.9999999999999995E-7</v>
      </c>
      <c r="L107" s="1029">
        <v>9.9999999999999995E-7</v>
      </c>
      <c r="M107" s="1034">
        <v>9.9999999999999995E-7</v>
      </c>
      <c r="N107" s="1027">
        <f t="shared" ref="N107:N112" si="39">0.5*(MAX(K107:M107)-MIN(K107:M107))</f>
        <v>0</v>
      </c>
      <c r="O107" s="1037">
        <v>5.8999999999999999E-9</v>
      </c>
      <c r="P107" s="1024"/>
      <c r="Q107" s="1296"/>
      <c r="R107" s="1038">
        <v>9.9999999999999995E-7</v>
      </c>
      <c r="S107" s="1029">
        <v>9.9999999999999995E-7</v>
      </c>
      <c r="T107" s="1029">
        <v>9.9999999999999995E-7</v>
      </c>
      <c r="U107" s="1034">
        <v>9.9999999999999995E-7</v>
      </c>
      <c r="V107" s="1027">
        <f t="shared" ref="V107:V112" si="40">0.5*(MAX(S107:U107)-MIN(S107:U107))</f>
        <v>0</v>
      </c>
      <c r="W107" s="1037">
        <v>5.8999999999999999E-9</v>
      </c>
    </row>
    <row r="108" spans="1:23" ht="12.75" customHeight="1">
      <c r="A108" s="1296"/>
      <c r="B108" s="1033">
        <v>50</v>
      </c>
      <c r="C108" s="1032">
        <v>1.7</v>
      </c>
      <c r="D108" s="1032">
        <v>1.7</v>
      </c>
      <c r="E108" s="1032">
        <v>1.7</v>
      </c>
      <c r="F108" s="1027">
        <f t="shared" si="38"/>
        <v>0</v>
      </c>
      <c r="G108" s="1037">
        <v>0.29499999999999998</v>
      </c>
      <c r="H108" s="1024"/>
      <c r="I108" s="1296"/>
      <c r="J108" s="1033">
        <v>50</v>
      </c>
      <c r="K108" s="1029">
        <v>9.9999999999999995E-7</v>
      </c>
      <c r="L108" s="1029">
        <v>9.9999999999999995E-7</v>
      </c>
      <c r="M108" s="1032">
        <v>1.7</v>
      </c>
      <c r="N108" s="1027">
        <f t="shared" si="39"/>
        <v>0.84999950000000002</v>
      </c>
      <c r="O108" s="1037">
        <v>0.29499999999999998</v>
      </c>
      <c r="P108" s="1024"/>
      <c r="Q108" s="1296"/>
      <c r="R108" s="1033">
        <v>50</v>
      </c>
      <c r="S108" s="1029">
        <v>9.9999999999999995E-7</v>
      </c>
      <c r="T108" s="1029">
        <v>9.9999999999999995E-7</v>
      </c>
      <c r="U108" s="1032">
        <v>2.1</v>
      </c>
      <c r="V108" s="1027">
        <f t="shared" si="40"/>
        <v>1.0499995</v>
      </c>
      <c r="W108" s="1037">
        <v>0.29499999999999998</v>
      </c>
    </row>
    <row r="109" spans="1:23" ht="12.75" customHeight="1">
      <c r="A109" s="1296"/>
      <c r="B109" s="1033">
        <v>100</v>
      </c>
      <c r="C109" s="1032">
        <v>1.7</v>
      </c>
      <c r="D109" s="1032">
        <v>1.7</v>
      </c>
      <c r="E109" s="1032">
        <v>1.7</v>
      </c>
      <c r="F109" s="1027">
        <f t="shared" si="38"/>
        <v>0</v>
      </c>
      <c r="G109" s="1037">
        <v>0.59</v>
      </c>
      <c r="H109" s="1024"/>
      <c r="I109" s="1296"/>
      <c r="J109" s="1033">
        <v>100</v>
      </c>
      <c r="K109" s="1029">
        <v>9.9999999999999995E-7</v>
      </c>
      <c r="L109" s="1029">
        <v>9.9999999999999995E-7</v>
      </c>
      <c r="M109" s="1032">
        <v>3.4</v>
      </c>
      <c r="N109" s="1027">
        <f t="shared" si="39"/>
        <v>1.6999994999999999</v>
      </c>
      <c r="O109" s="1037">
        <v>0.59</v>
      </c>
      <c r="P109" s="1024"/>
      <c r="Q109" s="1296"/>
      <c r="R109" s="1033">
        <v>100</v>
      </c>
      <c r="S109" s="1029">
        <v>9.9999999999999995E-7</v>
      </c>
      <c r="T109" s="1029">
        <v>9.9999999999999995E-7</v>
      </c>
      <c r="U109" s="1032">
        <v>3.7</v>
      </c>
      <c r="V109" s="1027">
        <f t="shared" si="40"/>
        <v>1.8499995</v>
      </c>
      <c r="W109" s="1037">
        <v>0.59</v>
      </c>
    </row>
    <row r="110" spans="1:23" ht="12.75" customHeight="1">
      <c r="A110" s="1296"/>
      <c r="B110" s="1033">
        <v>200</v>
      </c>
      <c r="C110" s="1032">
        <v>0.4</v>
      </c>
      <c r="D110" s="1032">
        <v>0.4</v>
      </c>
      <c r="E110" s="1032">
        <v>0.4</v>
      </c>
      <c r="F110" s="1027">
        <f t="shared" si="38"/>
        <v>0</v>
      </c>
      <c r="G110" s="1037">
        <v>1.18</v>
      </c>
      <c r="H110" s="1024"/>
      <c r="I110" s="1296"/>
      <c r="J110" s="1033">
        <v>500</v>
      </c>
      <c r="K110" s="1029">
        <v>9.9999999999999995E-7</v>
      </c>
      <c r="L110" s="1029">
        <v>9.9999999999999995E-7</v>
      </c>
      <c r="M110" s="1032">
        <v>7.2</v>
      </c>
      <c r="N110" s="1027">
        <f t="shared" si="39"/>
        <v>3.5999995</v>
      </c>
      <c r="O110" s="1037">
        <v>1.18</v>
      </c>
      <c r="P110" s="1024"/>
      <c r="Q110" s="1296"/>
      <c r="R110" s="1033">
        <v>500</v>
      </c>
      <c r="S110" s="1029">
        <v>9.9999999999999995E-7</v>
      </c>
      <c r="T110" s="1029">
        <v>9.9999999999999995E-7</v>
      </c>
      <c r="U110" s="1032">
        <v>8.3000000000000007</v>
      </c>
      <c r="V110" s="1027">
        <f t="shared" si="40"/>
        <v>4.1499995000000007</v>
      </c>
      <c r="W110" s="1037">
        <v>1.18</v>
      </c>
    </row>
    <row r="111" spans="1:23" ht="12.75" customHeight="1">
      <c r="A111" s="1296"/>
      <c r="B111" s="1033">
        <v>500</v>
      </c>
      <c r="C111" s="1032">
        <v>3</v>
      </c>
      <c r="D111" s="1032">
        <v>3</v>
      </c>
      <c r="E111" s="1032">
        <v>3</v>
      </c>
      <c r="F111" s="1027">
        <f t="shared" si="38"/>
        <v>0</v>
      </c>
      <c r="G111" s="1037">
        <v>2.95</v>
      </c>
      <c r="H111" s="1024"/>
      <c r="I111" s="1296"/>
      <c r="J111" s="1033">
        <v>500</v>
      </c>
      <c r="K111" s="1029">
        <v>9.9999999999999995E-7</v>
      </c>
      <c r="L111" s="1029">
        <v>9.9999999999999995E-7</v>
      </c>
      <c r="M111" s="1032">
        <v>7.2</v>
      </c>
      <c r="N111" s="1027">
        <f t="shared" si="39"/>
        <v>3.5999995</v>
      </c>
      <c r="O111" s="1037">
        <v>2.95</v>
      </c>
      <c r="P111" s="1024"/>
      <c r="Q111" s="1296"/>
      <c r="R111" s="1033">
        <v>500</v>
      </c>
      <c r="S111" s="1029">
        <v>9.9999999999999995E-7</v>
      </c>
      <c r="T111" s="1029">
        <v>9.9999999999999995E-7</v>
      </c>
      <c r="U111" s="1032">
        <v>8.3000000000000007</v>
      </c>
      <c r="V111" s="1027">
        <f t="shared" si="40"/>
        <v>4.1499995000000007</v>
      </c>
      <c r="W111" s="1037">
        <v>2.95</v>
      </c>
    </row>
    <row r="112" spans="1:23" ht="12.75" customHeight="1">
      <c r="A112" s="1296"/>
      <c r="B112" s="1033">
        <v>1000</v>
      </c>
      <c r="C112" s="1032">
        <v>5</v>
      </c>
      <c r="D112" s="1032">
        <v>5</v>
      </c>
      <c r="E112" s="1032">
        <v>4</v>
      </c>
      <c r="F112" s="1027">
        <f t="shared" si="38"/>
        <v>0.5</v>
      </c>
      <c r="G112" s="1037">
        <v>5.9</v>
      </c>
      <c r="H112" s="1024"/>
      <c r="I112" s="1296"/>
      <c r="J112" s="1033">
        <v>1000</v>
      </c>
      <c r="K112" s="1029">
        <v>9.9999999999999995E-7</v>
      </c>
      <c r="L112" s="1029">
        <v>9.9999999999999995E-7</v>
      </c>
      <c r="M112" s="1032">
        <v>80</v>
      </c>
      <c r="N112" s="1027">
        <f t="shared" si="39"/>
        <v>39.999999500000001</v>
      </c>
      <c r="O112" s="1037">
        <v>5.9</v>
      </c>
      <c r="P112" s="1024"/>
      <c r="Q112" s="1296"/>
      <c r="R112" s="1033">
        <v>1000</v>
      </c>
      <c r="S112" s="1029">
        <v>9.9999999999999995E-7</v>
      </c>
      <c r="T112" s="1029">
        <v>9.9999999999999995E-7</v>
      </c>
      <c r="U112" s="1032">
        <v>-97</v>
      </c>
      <c r="V112" s="1027">
        <f t="shared" si="40"/>
        <v>48.500000499999999</v>
      </c>
      <c r="W112" s="1037">
        <v>5.9</v>
      </c>
    </row>
    <row r="113" spans="1:24" ht="12.75" customHeight="1">
      <c r="A113" s="1296"/>
      <c r="B113" s="1292" t="s">
        <v>411</v>
      </c>
      <c r="C113" s="1293"/>
      <c r="D113" s="1293"/>
      <c r="E113" s="1294"/>
      <c r="F113" s="1023" t="s">
        <v>404</v>
      </c>
      <c r="G113" s="1023" t="s">
        <v>77</v>
      </c>
      <c r="H113" s="1024"/>
      <c r="I113" s="1296"/>
      <c r="J113" s="1292" t="s">
        <v>411</v>
      </c>
      <c r="K113" s="1293"/>
      <c r="L113" s="1293"/>
      <c r="M113" s="1294"/>
      <c r="N113" s="1023" t="s">
        <v>404</v>
      </c>
      <c r="O113" s="1023" t="s">
        <v>77</v>
      </c>
      <c r="P113" s="1024"/>
      <c r="Q113" s="1296"/>
      <c r="R113" s="1292" t="s">
        <v>411</v>
      </c>
      <c r="S113" s="1293"/>
      <c r="T113" s="1293"/>
      <c r="U113" s="1294"/>
      <c r="V113" s="1023" t="s">
        <v>404</v>
      </c>
      <c r="W113" s="1023" t="s">
        <v>77</v>
      </c>
    </row>
    <row r="114" spans="1:24" ht="15" customHeight="1">
      <c r="A114" s="1296"/>
      <c r="B114" s="1022" t="s">
        <v>412</v>
      </c>
      <c r="C114" s="1023">
        <v>2020</v>
      </c>
      <c r="D114" s="1023">
        <v>2021</v>
      </c>
      <c r="E114" s="1023">
        <v>2018</v>
      </c>
      <c r="F114" s="1023"/>
      <c r="G114" s="1023"/>
      <c r="H114" s="1024"/>
      <c r="I114" s="1296"/>
      <c r="J114" s="1022" t="s">
        <v>412</v>
      </c>
      <c r="K114" s="1023">
        <f>K98</f>
        <v>2019</v>
      </c>
      <c r="L114" s="1023">
        <f>L98</f>
        <v>2019</v>
      </c>
      <c r="M114" s="1023">
        <f>M98</f>
        <v>2020</v>
      </c>
      <c r="N114" s="1023"/>
      <c r="O114" s="1023"/>
      <c r="P114" s="1024"/>
      <c r="Q114" s="1296"/>
      <c r="R114" s="1022" t="s">
        <v>412</v>
      </c>
      <c r="S114" s="1023">
        <f>S98</f>
        <v>2019</v>
      </c>
      <c r="T114" s="1023">
        <f>T98</f>
        <v>2019</v>
      </c>
      <c r="U114" s="1023">
        <f>U98</f>
        <v>2020</v>
      </c>
      <c r="V114" s="1023"/>
      <c r="W114" s="1023"/>
    </row>
    <row r="115" spans="1:24" ht="12.75" customHeight="1">
      <c r="A115" s="1296"/>
      <c r="B115" s="1033">
        <v>10</v>
      </c>
      <c r="C115" s="1029" t="s">
        <v>62</v>
      </c>
      <c r="D115" s="1029" t="s">
        <v>62</v>
      </c>
      <c r="E115" s="1034">
        <v>9.9999999999999995E-7</v>
      </c>
      <c r="F115" s="1027">
        <f t="shared" ref="F115:F118" si="41">0.5*(MAX(C115:E115)-MIN(C115:E115))</f>
        <v>0</v>
      </c>
      <c r="G115" s="1038">
        <v>0.06</v>
      </c>
      <c r="H115" s="1024"/>
      <c r="I115" s="1296"/>
      <c r="J115" s="1033">
        <v>10</v>
      </c>
      <c r="K115" s="1029">
        <v>9.9999999999999995E-7</v>
      </c>
      <c r="L115" s="1029">
        <v>9.9999999999999995E-7</v>
      </c>
      <c r="M115" s="1029">
        <v>9.9999999999999995E-7</v>
      </c>
      <c r="N115" s="1027">
        <f t="shared" ref="N115:N118" si="42">0.5*(MAX(K115:M115)-MIN(K115:M115))</f>
        <v>0</v>
      </c>
      <c r="O115" s="1038">
        <v>0.06</v>
      </c>
      <c r="P115" s="1024"/>
      <c r="Q115" s="1296"/>
      <c r="R115" s="1033">
        <v>10</v>
      </c>
      <c r="S115" s="1029">
        <v>9.9999999999999995E-7</v>
      </c>
      <c r="T115" s="1029">
        <v>9.9999999999999995E-7</v>
      </c>
      <c r="U115" s="1029">
        <v>9.9999999999999995E-7</v>
      </c>
      <c r="V115" s="1027">
        <f t="shared" ref="V115:V118" si="43">0.5*(MAX(S115:U115)-MIN(S115:U115))</f>
        <v>0</v>
      </c>
      <c r="W115" s="1038">
        <v>0.06</v>
      </c>
    </row>
    <row r="116" spans="1:24" ht="12.75" customHeight="1">
      <c r="A116" s="1296"/>
      <c r="B116" s="1033">
        <v>20</v>
      </c>
      <c r="C116" s="1029" t="s">
        <v>62</v>
      </c>
      <c r="D116" s="1029" t="s">
        <v>62</v>
      </c>
      <c r="E116" s="1029">
        <v>0.1</v>
      </c>
      <c r="F116" s="1027">
        <f t="shared" si="41"/>
        <v>0</v>
      </c>
      <c r="G116" s="1038">
        <v>0.12</v>
      </c>
      <c r="H116" s="1024"/>
      <c r="I116" s="1296"/>
      <c r="J116" s="1033">
        <v>20</v>
      </c>
      <c r="K116" s="1029">
        <v>9.9999999999999995E-7</v>
      </c>
      <c r="L116" s="1029">
        <v>9.9999999999999995E-7</v>
      </c>
      <c r="M116" s="1029">
        <v>9.9999999999999995E-7</v>
      </c>
      <c r="N116" s="1027">
        <f t="shared" si="42"/>
        <v>0</v>
      </c>
      <c r="O116" s="1038">
        <v>0.12</v>
      </c>
      <c r="P116" s="1024"/>
      <c r="Q116" s="1296"/>
      <c r="R116" s="1033">
        <v>20</v>
      </c>
      <c r="S116" s="1029">
        <v>9.9999999999999995E-7</v>
      </c>
      <c r="T116" s="1029">
        <v>9.9999999999999995E-7</v>
      </c>
      <c r="U116" s="1029">
        <v>9.9999999999999995E-7</v>
      </c>
      <c r="V116" s="1027">
        <f t="shared" si="43"/>
        <v>0</v>
      </c>
      <c r="W116" s="1038">
        <v>0.12</v>
      </c>
    </row>
    <row r="117" spans="1:24" ht="12.75" customHeight="1">
      <c r="A117" s="1296"/>
      <c r="B117" s="1033">
        <v>50</v>
      </c>
      <c r="C117" s="1029" t="s">
        <v>62</v>
      </c>
      <c r="D117" s="1029" t="s">
        <v>62</v>
      </c>
      <c r="E117" s="1029">
        <v>0.4</v>
      </c>
      <c r="F117" s="1027">
        <f t="shared" si="41"/>
        <v>0</v>
      </c>
      <c r="G117" s="1038">
        <v>0.3</v>
      </c>
      <c r="H117" s="1024"/>
      <c r="I117" s="1296"/>
      <c r="J117" s="1033">
        <v>50</v>
      </c>
      <c r="K117" s="1029">
        <v>9.9999999999999995E-7</v>
      </c>
      <c r="L117" s="1029">
        <v>9.9999999999999995E-7</v>
      </c>
      <c r="M117" s="1029">
        <v>9.9999999999999995E-7</v>
      </c>
      <c r="N117" s="1027">
        <f t="shared" si="42"/>
        <v>0</v>
      </c>
      <c r="O117" s="1038">
        <v>0.3</v>
      </c>
      <c r="P117" s="1024"/>
      <c r="Q117" s="1296"/>
      <c r="R117" s="1033">
        <v>50</v>
      </c>
      <c r="S117" s="1029">
        <v>9.9999999999999995E-7</v>
      </c>
      <c r="T117" s="1029">
        <v>9.9999999999999995E-7</v>
      </c>
      <c r="U117" s="1029">
        <v>9.9999999999999995E-7</v>
      </c>
      <c r="V117" s="1027">
        <f t="shared" si="43"/>
        <v>0</v>
      </c>
      <c r="W117" s="1038">
        <v>0.3</v>
      </c>
    </row>
    <row r="118" spans="1:24" ht="12.75" customHeight="1">
      <c r="A118" s="1296"/>
      <c r="B118" s="1033">
        <v>100</v>
      </c>
      <c r="C118" s="1029" t="s">
        <v>62</v>
      </c>
      <c r="D118" s="1029" t="s">
        <v>62</v>
      </c>
      <c r="E118" s="1029">
        <v>1.4</v>
      </c>
      <c r="F118" s="1027">
        <f t="shared" si="41"/>
        <v>0</v>
      </c>
      <c r="G118" s="1038">
        <v>0.59</v>
      </c>
      <c r="H118" s="1024"/>
      <c r="I118" s="1296"/>
      <c r="J118" s="1033">
        <v>100</v>
      </c>
      <c r="K118" s="1029">
        <v>9.9999999999999995E-7</v>
      </c>
      <c r="L118" s="1029">
        <v>9.9999999999999995E-7</v>
      </c>
      <c r="M118" s="1029">
        <v>9.9999999999999995E-7</v>
      </c>
      <c r="N118" s="1027">
        <f t="shared" si="42"/>
        <v>0</v>
      </c>
      <c r="O118" s="1038">
        <v>0.59</v>
      </c>
      <c r="P118" s="1024"/>
      <c r="Q118" s="1296"/>
      <c r="R118" s="1033">
        <v>100</v>
      </c>
      <c r="S118" s="1029">
        <v>9.9999999999999995E-7</v>
      </c>
      <c r="T118" s="1029">
        <v>9.9999999999999995E-7</v>
      </c>
      <c r="U118" s="1029">
        <v>9.9999999999999995E-7</v>
      </c>
      <c r="V118" s="1027">
        <f t="shared" si="43"/>
        <v>0</v>
      </c>
      <c r="W118" s="1038">
        <v>0.59</v>
      </c>
    </row>
    <row r="119" spans="1:24" ht="12.75" customHeight="1">
      <c r="A119" s="1296"/>
      <c r="B119" s="1292" t="s">
        <v>413</v>
      </c>
      <c r="C119" s="1293"/>
      <c r="D119" s="1293"/>
      <c r="E119" s="1294"/>
      <c r="F119" s="1023" t="s">
        <v>404</v>
      </c>
      <c r="G119" s="1023" t="s">
        <v>77</v>
      </c>
      <c r="H119" s="1024"/>
      <c r="I119" s="1296"/>
      <c r="J119" s="1292" t="s">
        <v>413</v>
      </c>
      <c r="K119" s="1293"/>
      <c r="L119" s="1293"/>
      <c r="M119" s="1294"/>
      <c r="N119" s="1023" t="s">
        <v>404</v>
      </c>
      <c r="O119" s="1023" t="s">
        <v>77</v>
      </c>
      <c r="P119" s="1024"/>
      <c r="Q119" s="1296"/>
      <c r="R119" s="1292" t="str">
        <f>B119</f>
        <v>Resistance</v>
      </c>
      <c r="S119" s="1293"/>
      <c r="T119" s="1293"/>
      <c r="U119" s="1294"/>
      <c r="V119" s="1023" t="s">
        <v>404</v>
      </c>
      <c r="W119" s="1023" t="s">
        <v>77</v>
      </c>
    </row>
    <row r="120" spans="1:24" ht="15" customHeight="1">
      <c r="A120" s="1296"/>
      <c r="B120" s="1022" t="s">
        <v>414</v>
      </c>
      <c r="C120" s="1023">
        <f>C98</f>
        <v>2019</v>
      </c>
      <c r="D120" s="1023">
        <f>D98</f>
        <v>2019</v>
      </c>
      <c r="E120" s="1023">
        <f>E98</f>
        <v>2020</v>
      </c>
      <c r="F120" s="1023"/>
      <c r="G120" s="1023"/>
      <c r="H120" s="1024"/>
      <c r="I120" s="1296"/>
      <c r="J120" s="1022" t="s">
        <v>414</v>
      </c>
      <c r="K120" s="1023">
        <f>K98</f>
        <v>2019</v>
      </c>
      <c r="L120" s="1023">
        <f>L98</f>
        <v>2019</v>
      </c>
      <c r="M120" s="1023">
        <f>M98</f>
        <v>2020</v>
      </c>
      <c r="N120" s="1023"/>
      <c r="O120" s="1023"/>
      <c r="P120" s="1024"/>
      <c r="Q120" s="1296"/>
      <c r="R120" s="1022" t="s">
        <v>414</v>
      </c>
      <c r="S120" s="1023">
        <f>S98</f>
        <v>2019</v>
      </c>
      <c r="T120" s="1023">
        <f>T98</f>
        <v>2019</v>
      </c>
      <c r="U120" s="1023">
        <f>U98</f>
        <v>2020</v>
      </c>
      <c r="V120" s="1023"/>
      <c r="W120" s="1023"/>
    </row>
    <row r="121" spans="1:24" ht="12.75" customHeight="1">
      <c r="A121" s="1296"/>
      <c r="B121" s="1033">
        <v>0.01</v>
      </c>
      <c r="C121" s="1034">
        <v>9.9999999999999995E-7</v>
      </c>
      <c r="D121" s="1034">
        <v>9.9999999999999995E-7</v>
      </c>
      <c r="E121" s="1034">
        <v>9.9999999999999995E-7</v>
      </c>
      <c r="F121" s="1027">
        <f t="shared" ref="F121:F124" si="44">0.5*(MAX(C121:E121)-MIN(C121:E121))</f>
        <v>0</v>
      </c>
      <c r="G121" s="1033">
        <v>1.2E-4</v>
      </c>
      <c r="H121" s="1024"/>
      <c r="I121" s="1296"/>
      <c r="J121" s="1033">
        <v>0.01</v>
      </c>
      <c r="K121" s="1033">
        <v>9.9999999999999995E-7</v>
      </c>
      <c r="L121" s="1033">
        <v>9.9999999999999995E-7</v>
      </c>
      <c r="M121" s="1034">
        <v>9.9999999999999995E-7</v>
      </c>
      <c r="N121" s="1027">
        <f t="shared" ref="N121:N124" si="45">0.5*(MAX(K121:M121)-MIN(K121:M121))</f>
        <v>0</v>
      </c>
      <c r="O121" s="1033">
        <v>1.2E-4</v>
      </c>
      <c r="P121" s="1024"/>
      <c r="Q121" s="1296"/>
      <c r="R121" s="1033">
        <v>0.01</v>
      </c>
      <c r="S121" s="1033">
        <v>9.9999999999999995E-7</v>
      </c>
      <c r="T121" s="1033">
        <v>9.9999999999999995E-7</v>
      </c>
      <c r="U121" s="1034">
        <v>9.9999999999999995E-7</v>
      </c>
      <c r="V121" s="1027">
        <f t="shared" ref="V121:V124" si="46">0.5*(MAX(S121:U121)-MIN(S121:U121))</f>
        <v>0</v>
      </c>
      <c r="W121" s="1033">
        <v>1.2E-4</v>
      </c>
    </row>
    <row r="122" spans="1:24" ht="12.75" customHeight="1">
      <c r="A122" s="1296"/>
      <c r="B122" s="1033">
        <v>0.1</v>
      </c>
      <c r="C122" s="1034">
        <v>9.9999999999999995E-7</v>
      </c>
      <c r="D122" s="1034">
        <v>9.9999999999999995E-7</v>
      </c>
      <c r="E122" s="1034">
        <v>9.9999999999999995E-7</v>
      </c>
      <c r="F122" s="1027">
        <f t="shared" si="44"/>
        <v>0</v>
      </c>
      <c r="G122" s="1033">
        <v>1.1999999999999999E-3</v>
      </c>
      <c r="H122" s="1024"/>
      <c r="I122" s="1296"/>
      <c r="J122" s="1033">
        <v>0.1</v>
      </c>
      <c r="K122" s="1039">
        <v>9.9999999999999995E-7</v>
      </c>
      <c r="L122" s="1039">
        <v>9.9999999999999995E-7</v>
      </c>
      <c r="M122" s="1034">
        <v>-2E-3</v>
      </c>
      <c r="N122" s="1027">
        <f t="shared" si="45"/>
        <v>1.0005000000000001E-3</v>
      </c>
      <c r="O122" s="1033">
        <v>1.1999999999999999E-3</v>
      </c>
      <c r="P122" s="1024"/>
      <c r="Q122" s="1296"/>
      <c r="R122" s="1033">
        <v>0.1</v>
      </c>
      <c r="S122" s="1033">
        <v>9.9999999999999995E-7</v>
      </c>
      <c r="T122" s="1033">
        <v>9.9999999999999995E-7</v>
      </c>
      <c r="U122" s="1034">
        <v>-3.0000000000000001E-3</v>
      </c>
      <c r="V122" s="1027">
        <f t="shared" si="46"/>
        <v>1.5005000000000001E-3</v>
      </c>
      <c r="W122" s="1033">
        <v>1.1999999999999999E-3</v>
      </c>
    </row>
    <row r="123" spans="1:24" ht="12.75" customHeight="1">
      <c r="A123" s="1296"/>
      <c r="B123" s="1033">
        <v>1</v>
      </c>
      <c r="C123" s="1034">
        <v>-2.3E-3</v>
      </c>
      <c r="D123" s="1034">
        <v>-2.3E-3</v>
      </c>
      <c r="E123" s="1034">
        <v>-2.3E-3</v>
      </c>
      <c r="F123" s="1027">
        <f t="shared" si="44"/>
        <v>0</v>
      </c>
      <c r="G123" s="1033">
        <v>1.2E-2</v>
      </c>
      <c r="H123" s="1024"/>
      <c r="I123" s="1296"/>
      <c r="J123" s="1033">
        <v>1</v>
      </c>
      <c r="K123" s="1039">
        <v>9.9999999999999995E-7</v>
      </c>
      <c r="L123" s="1039">
        <v>9.9999999999999995E-7</v>
      </c>
      <c r="M123" s="1034">
        <v>-1E-3</v>
      </c>
      <c r="N123" s="1027">
        <f t="shared" si="45"/>
        <v>5.0049999999999997E-4</v>
      </c>
      <c r="O123" s="1033">
        <v>1.2E-2</v>
      </c>
      <c r="P123" s="1024"/>
      <c r="Q123" s="1296"/>
      <c r="R123" s="1033">
        <v>1</v>
      </c>
      <c r="S123" s="1033">
        <v>9.9999999999999995E-7</v>
      </c>
      <c r="T123" s="1033">
        <v>9.9999999999999995E-7</v>
      </c>
      <c r="U123" s="1034">
        <v>-1E-3</v>
      </c>
      <c r="V123" s="1027">
        <f t="shared" si="46"/>
        <v>5.0049999999999997E-4</v>
      </c>
      <c r="W123" s="1033">
        <v>1.2E-2</v>
      </c>
    </row>
    <row r="124" spans="1:24" ht="12.75" customHeight="1">
      <c r="A124" s="1297"/>
      <c r="B124" s="1033">
        <v>2</v>
      </c>
      <c r="C124" s="1034">
        <v>0</v>
      </c>
      <c r="D124" s="1034">
        <v>0</v>
      </c>
      <c r="E124" s="1034">
        <v>9.9999999999999995E-7</v>
      </c>
      <c r="F124" s="1027">
        <f t="shared" si="44"/>
        <v>4.9999999999999998E-7</v>
      </c>
      <c r="G124" s="1033">
        <v>2.4E-2</v>
      </c>
      <c r="H124" s="1024"/>
      <c r="I124" s="1297"/>
      <c r="J124" s="1033">
        <v>2</v>
      </c>
      <c r="K124" s="1039">
        <v>9.9999999999999995E-7</v>
      </c>
      <c r="L124" s="1039">
        <v>9.9999999999999995E-7</v>
      </c>
      <c r="M124" s="1034">
        <v>-6.0000000000000001E-3</v>
      </c>
      <c r="N124" s="1027">
        <f t="shared" si="45"/>
        <v>3.0005000000000001E-3</v>
      </c>
      <c r="O124" s="1033">
        <v>2.4E-2</v>
      </c>
      <c r="P124" s="1024"/>
      <c r="Q124" s="1297"/>
      <c r="R124" s="1033">
        <v>2</v>
      </c>
      <c r="S124" s="1033">
        <v>9.9999999999999995E-7</v>
      </c>
      <c r="T124" s="1033">
        <v>9.9999999999999995E-7</v>
      </c>
      <c r="U124" s="1034">
        <v>-6.0000000000000001E-3</v>
      </c>
      <c r="V124" s="1027">
        <f t="shared" si="46"/>
        <v>3.0005000000000001E-3</v>
      </c>
      <c r="W124" s="1033">
        <v>2.4E-2</v>
      </c>
    </row>
    <row r="125" spans="1:24" s="668" customFormat="1" ht="16" thickBot="1">
      <c r="A125" s="1052"/>
      <c r="B125" s="1053"/>
      <c r="C125" s="1054"/>
      <c r="E125" s="1054"/>
      <c r="F125" s="1054"/>
      <c r="G125" s="1054"/>
      <c r="H125" s="1042"/>
      <c r="I125" s="1055"/>
      <c r="J125" s="1056"/>
      <c r="K125" s="1054"/>
      <c r="M125" s="1054"/>
      <c r="N125" s="1054"/>
      <c r="O125" s="1054"/>
      <c r="P125" s="1042"/>
      <c r="Q125" s="1055"/>
      <c r="R125" s="1053"/>
      <c r="S125" s="1054"/>
      <c r="U125" s="669"/>
      <c r="V125" s="669"/>
      <c r="W125" s="1043"/>
      <c r="X125" s="1044"/>
    </row>
    <row r="126" spans="1:24" ht="16" thickBot="1">
      <c r="A126" s="1063"/>
      <c r="B126" s="1064"/>
      <c r="C126" s="1064"/>
      <c r="D126" s="1065"/>
      <c r="E126" s="1064"/>
      <c r="F126" s="1064"/>
      <c r="G126" s="1064"/>
      <c r="H126" s="1066"/>
      <c r="I126" s="1064"/>
      <c r="J126" s="1064"/>
      <c r="K126" s="1064"/>
      <c r="L126" s="1065"/>
      <c r="M126" s="1064"/>
      <c r="N126" s="1064"/>
      <c r="O126" s="1064"/>
      <c r="P126" s="1066"/>
      <c r="Q126" s="1064"/>
      <c r="R126" s="1064"/>
      <c r="S126" s="1064"/>
      <c r="T126" s="1065"/>
      <c r="U126" s="1067"/>
      <c r="V126" s="1067"/>
      <c r="W126" s="1068"/>
    </row>
    <row r="127" spans="1:24">
      <c r="A127" s="1069"/>
      <c r="B127" s="1070"/>
      <c r="C127" s="1070"/>
    </row>
    <row r="128" spans="1:24" ht="15" customHeight="1"/>
    <row r="129" spans="1:19" ht="15.75" customHeight="1"/>
    <row r="131" spans="1:19" ht="16" thickBot="1">
      <c r="S131" s="1071"/>
    </row>
    <row r="132" spans="1:19" ht="30" customHeight="1">
      <c r="A132" s="1277">
        <f>IF($A$165=$A$166,A2,IF($A$165=$A$167,I2,IF($A$165=$A$168,Q2,IF($A$165=$A$169,A33,IF($A$165=$A$170,I33,IF($A$165=$A$171,Q33,IF($A$165=$A$172,A64,IF($A$165=$A$173,I64,IF($A$165=$A$174,Q64,IF($A$165=$A$175,A95,IF($A$165=$A$176,I95,Q95)))))))))))</f>
        <v>3</v>
      </c>
      <c r="B132" s="1246" t="str">
        <f>IF($A$165=$A$166,B2,IF($A$165=$A$167,J2,IF($A$165=$A$168,R2,IF($A$165=$A$169,B33,IF($A$165=$A$170,J33,IF($A$165=$A$171,R33,IF($A$165=$A$172,B64,IF($A$165=$A$173,J64,IF($A$165=$A$174,R64,IF($A$165=$A$175,B95,IF($A$165=$A$176,J95,R95)))))))))))</f>
        <v>Electrical Safety Analyzer, Merek : Fluke, Model : ESA 615, SN : 2853077</v>
      </c>
      <c r="C132" s="1247"/>
      <c r="D132" s="1247"/>
      <c r="E132" s="1247"/>
      <c r="F132" s="1247"/>
      <c r="G132" s="1248"/>
    </row>
    <row r="133" spans="1:19" ht="15.75" customHeight="1" thickBot="1">
      <c r="A133" s="1278"/>
      <c r="B133" s="1249" t="str">
        <f t="shared" ref="B133:B161" si="47">IF($A$165=$A$166,B3,IF($A$165=$A$167,J3,IF($A$165=$A$168,R3,IF($A$165=$A$169,B34,IF($A$165=$A$170,J34,IF($A$165=$A$171,R34,IF($A$165=$A$172,B65,IF($A$165=$A$173,J65,IF($A$165=$A$174,R65,IF($A$165=$A$175,B96,IF($A$165=$A$176,J96,R96)))))))))))</f>
        <v>KOREKSI ESA</v>
      </c>
      <c r="C133" s="1250"/>
      <c r="D133" s="1250"/>
      <c r="E133" s="1250"/>
      <c r="F133" s="1250"/>
      <c r="G133" s="1251"/>
      <c r="I133" s="668"/>
    </row>
    <row r="134" spans="1:19" ht="15.75" customHeight="1">
      <c r="A134" s="1278"/>
      <c r="B134" s="1252" t="str">
        <f t="shared" si="47"/>
        <v>Setting VAC</v>
      </c>
      <c r="C134" s="1253"/>
      <c r="D134" s="1253"/>
      <c r="E134" s="1254"/>
      <c r="F134" s="1072" t="str">
        <f>IF($A$165=$A$166,F4,IF($A$165=$A$167,N4,IF($A$165=$A$168,V4,IF($A$165=$A$169,F35,IF($A$165=$A$170,N35,IF($A$165=$A$171,V35,IF($A$165=$A$172,F66,IF($A$165=$A$173,N66,IF($A$165=$A$174,V66,IF($A$165=$A$175,F97,IF($A$165=$A$176,N97,V97)))))))))))</f>
        <v>Driff</v>
      </c>
      <c r="G134" s="1073" t="str">
        <f>IF($A$165=$A$166,G4,IF($A$165=$A$167,O4,IF($A$165=$A$168,W4,IF($A$165=$A$169,G35,IF($A$165=$A$170,O35,IF($A$165=$A$171,W35,IF($A$165=$A$172,G66,IF($A$165=$A$173,O66,IF($A$165=$A$174,W66,IF($A$165=$A$175,G97,IF($A$165=$A$176,O97,W97)))))))))))</f>
        <v>U95</v>
      </c>
      <c r="I134" s="1255" t="s">
        <v>400</v>
      </c>
      <c r="J134" s="1256"/>
      <c r="K134" s="1256"/>
      <c r="L134" s="1257"/>
      <c r="M134" s="1074"/>
      <c r="N134" s="1258" t="s">
        <v>93</v>
      </c>
      <c r="O134" s="1261" t="s">
        <v>259</v>
      </c>
      <c r="P134" s="1280" t="s">
        <v>399</v>
      </c>
    </row>
    <row r="135" spans="1:19">
      <c r="A135" s="1278"/>
      <c r="B135" s="1075" t="str">
        <f t="shared" si="47"/>
        <v>( V )</v>
      </c>
      <c r="C135" s="1072">
        <f t="shared" ref="C135:E141" si="48">IF($A$165=$A$166,C5,IF($A$165=$A$167,K5,IF($A$165=$A$168,S5,IF($A$165=$A$169,C36,IF($A$165=$A$170,K36,IF($A$165=$A$171,S36,IF($A$165=$A$172,C67,IF($A$165=$A$173,K67,IF($A$165=$A$174,S67,IF($A$165=$A$175,C98,IF($A$165=$A$176,K98,S98)))))))))))</f>
        <v>2018</v>
      </c>
      <c r="D135" s="1072">
        <f t="shared" si="48"/>
        <v>2021</v>
      </c>
      <c r="E135" s="1072">
        <f t="shared" si="48"/>
        <v>2022</v>
      </c>
      <c r="F135" s="1072"/>
      <c r="G135" s="1073"/>
      <c r="I135" s="1076">
        <f>N137</f>
        <v>213.2</v>
      </c>
      <c r="J135" s="1077"/>
      <c r="K135" s="1078">
        <f>(FORECAST(I135,E136:E141,B136:B141))</f>
        <v>-3.4723926523155204</v>
      </c>
      <c r="L135" s="1079"/>
      <c r="M135" s="668"/>
      <c r="N135" s="1259"/>
      <c r="O135" s="1262"/>
      <c r="P135" s="1281"/>
    </row>
    <row r="136" spans="1:19" ht="16.5" customHeight="1" thickBot="1">
      <c r="A136" s="1278"/>
      <c r="B136" s="1075">
        <f t="shared" si="47"/>
        <v>150</v>
      </c>
      <c r="C136" s="1080">
        <f t="shared" si="48"/>
        <v>-7.0000000000000007E-2</v>
      </c>
      <c r="D136" s="1080">
        <f t="shared" si="48"/>
        <v>-1.6</v>
      </c>
      <c r="E136" s="1080">
        <f t="shared" si="48"/>
        <v>-1.43</v>
      </c>
      <c r="F136" s="1072">
        <f t="shared" ref="F136:G142" si="49">IF($A$165=$A$166,F6,IF($A$165=$A$167,N6,IF($A$165=$A$168,V6,IF($A$165=$A$169,F37,IF($A$165=$A$170,N37,IF($A$165=$A$171,V37,IF($A$165=$A$172,F68,IF($A$165=$A$173,N68,IF($A$165=$A$174,V68,IF($A$165=$A$175,F99,IF($A$165=$A$176,N99,V99)))))))))))</f>
        <v>0.76500000000000001</v>
      </c>
      <c r="G136" s="1073">
        <f t="shared" si="49"/>
        <v>1.8</v>
      </c>
      <c r="I136" s="1283" t="s">
        <v>405</v>
      </c>
      <c r="J136" s="1284"/>
      <c r="K136" s="1284"/>
      <c r="L136" s="1285"/>
      <c r="M136" s="668"/>
      <c r="N136" s="1260"/>
      <c r="O136" s="1263"/>
      <c r="P136" s="1282"/>
    </row>
    <row r="137" spans="1:19" ht="15.75" customHeight="1">
      <c r="A137" s="1278"/>
      <c r="B137" s="1075">
        <f t="shared" si="47"/>
        <v>180</v>
      </c>
      <c r="C137" s="1080">
        <f t="shared" si="48"/>
        <v>-0.13</v>
      </c>
      <c r="D137" s="1080">
        <f t="shared" si="48"/>
        <v>-1.9</v>
      </c>
      <c r="E137" s="1080">
        <f t="shared" si="48"/>
        <v>-1.81</v>
      </c>
      <c r="F137" s="1072">
        <f t="shared" si="49"/>
        <v>0.88500000000000001</v>
      </c>
      <c r="G137" s="1073">
        <f t="shared" si="49"/>
        <v>2.16</v>
      </c>
      <c r="I137" s="1076">
        <f>N138</f>
        <v>12</v>
      </c>
      <c r="J137" s="1077"/>
      <c r="K137" s="1183">
        <f>K151</f>
        <v>9.9999999999999995E-7</v>
      </c>
      <c r="L137" s="1079"/>
      <c r="M137" s="668"/>
      <c r="N137" s="1081">
        <f>ID!F16</f>
        <v>213.2</v>
      </c>
      <c r="O137" s="1082">
        <f>N137+K135</f>
        <v>209.72760734768445</v>
      </c>
      <c r="P137" s="1083">
        <f>IF(N137="-","-",O137)</f>
        <v>209.72760734768445</v>
      </c>
    </row>
    <row r="138" spans="1:19" ht="15.75" customHeight="1">
      <c r="A138" s="1278"/>
      <c r="B138" s="1075">
        <f t="shared" si="47"/>
        <v>200</v>
      </c>
      <c r="C138" s="1080">
        <f t="shared" si="48"/>
        <v>-0.26</v>
      </c>
      <c r="D138" s="1080">
        <f t="shared" si="48"/>
        <v>-2.14</v>
      </c>
      <c r="E138" s="1080">
        <f t="shared" si="48"/>
        <v>-2.0499999999999998</v>
      </c>
      <c r="F138" s="1072">
        <f t="shared" si="49"/>
        <v>0.94000000000000006</v>
      </c>
      <c r="G138" s="1073">
        <f t="shared" si="49"/>
        <v>2.4</v>
      </c>
      <c r="I138" s="1283" t="s">
        <v>407</v>
      </c>
      <c r="J138" s="1284"/>
      <c r="K138" s="1284"/>
      <c r="L138" s="1285"/>
      <c r="M138" s="668"/>
      <c r="N138" s="1084">
        <f>ID!J25</f>
        <v>12</v>
      </c>
      <c r="O138" s="1085">
        <f>N138+K137</f>
        <v>12.000000999999999</v>
      </c>
      <c r="P138" s="1086">
        <f>IF(N138="OL","OL",IF(N138="NC","NC",IF(N138="OR","OR",IF(N138="-","-",O138))))</f>
        <v>12.000000999999999</v>
      </c>
    </row>
    <row r="139" spans="1:19" ht="13">
      <c r="A139" s="1278"/>
      <c r="B139" s="1075">
        <f t="shared" si="47"/>
        <v>220</v>
      </c>
      <c r="C139" s="1080">
        <f t="shared" si="48"/>
        <v>-0.28999999999999998</v>
      </c>
      <c r="D139" s="1080">
        <f t="shared" si="48"/>
        <v>-3.44</v>
      </c>
      <c r="E139" s="1080">
        <f t="shared" si="48"/>
        <v>-2.29</v>
      </c>
      <c r="F139" s="1072">
        <f t="shared" si="49"/>
        <v>1.575</v>
      </c>
      <c r="G139" s="1073">
        <f t="shared" si="49"/>
        <v>2.64</v>
      </c>
      <c r="I139" s="1087">
        <f>N139</f>
        <v>0.223</v>
      </c>
      <c r="J139" s="1077"/>
      <c r="K139" s="1088">
        <f>(FORECAST(I139,E158:E161,B158:B161))</f>
        <v>-3.1265434063443369E-3</v>
      </c>
      <c r="L139" s="1089"/>
      <c r="M139" s="668"/>
      <c r="N139" s="1084">
        <f>ID!J26</f>
        <v>0.223</v>
      </c>
      <c r="O139" s="1090">
        <f>N139+K139</f>
        <v>0.21987345659365568</v>
      </c>
      <c r="P139" s="1086">
        <f>IF(N139="OL","OL",IF(N139="NC","NC",IF(N139="-","-",O139)))</f>
        <v>0.21987345659365568</v>
      </c>
    </row>
    <row r="140" spans="1:19" ht="13">
      <c r="A140" s="1278"/>
      <c r="B140" s="1075">
        <f t="shared" si="47"/>
        <v>230</v>
      </c>
      <c r="C140" s="1080">
        <f t="shared" si="48"/>
        <v>-0.23</v>
      </c>
      <c r="D140" s="1080">
        <f t="shared" si="48"/>
        <v>-2.52</v>
      </c>
      <c r="E140" s="1080">
        <f t="shared" si="48"/>
        <v>-11.79</v>
      </c>
      <c r="F140" s="1072">
        <f t="shared" si="49"/>
        <v>5.7799999999999994</v>
      </c>
      <c r="G140" s="1073">
        <f t="shared" si="49"/>
        <v>2.7629999999999999</v>
      </c>
      <c r="I140" s="1283" t="s">
        <v>409</v>
      </c>
      <c r="J140" s="1284"/>
      <c r="K140" s="1284"/>
      <c r="L140" s="1285"/>
      <c r="M140" s="668"/>
      <c r="N140" s="1084">
        <f>ID!J27</f>
        <v>670</v>
      </c>
      <c r="O140" s="1091">
        <f>N140+K141</f>
        <v>641.52374503132239</v>
      </c>
      <c r="P140" s="1092">
        <f>IF(N140="-","-",O140)</f>
        <v>641.52374503132239</v>
      </c>
    </row>
    <row r="141" spans="1:19" ht="12.75" customHeight="1" thickBot="1">
      <c r="A141" s="1278"/>
      <c r="B141" s="1075">
        <f t="shared" si="47"/>
        <v>250</v>
      </c>
      <c r="C141" s="1080">
        <f t="shared" si="48"/>
        <v>9.9999999999999995E-7</v>
      </c>
      <c r="D141" s="1080">
        <f t="shared" si="48"/>
        <v>9.9999999999999995E-7</v>
      </c>
      <c r="E141" s="1080">
        <f t="shared" si="48"/>
        <v>9.9999999999999995E-7</v>
      </c>
      <c r="F141" s="1072">
        <f t="shared" si="49"/>
        <v>0</v>
      </c>
      <c r="G141" s="1073">
        <f t="shared" si="49"/>
        <v>3</v>
      </c>
      <c r="I141" s="1093">
        <f>N140</f>
        <v>670</v>
      </c>
      <c r="J141" s="1077"/>
      <c r="K141" s="1094">
        <f>(FORECAST(I141,E144:E149,B144:B149))</f>
        <v>-28.476254968677559</v>
      </c>
      <c r="L141" s="1079"/>
      <c r="M141" s="668"/>
      <c r="N141" s="1084">
        <f>ID!J28</f>
        <v>34</v>
      </c>
      <c r="O141" s="1090">
        <f>N141+K143</f>
        <v>39.685307073089774</v>
      </c>
      <c r="P141" s="1092">
        <f>IF(N141="-","-",O141)</f>
        <v>39.685307073089774</v>
      </c>
    </row>
    <row r="142" spans="1:19" ht="13.5" thickBot="1">
      <c r="A142" s="1278"/>
      <c r="B142" s="1252" t="str">
        <f t="shared" si="47"/>
        <v>Current Leakage</v>
      </c>
      <c r="C142" s="1253"/>
      <c r="D142" s="1253"/>
      <c r="E142" s="1254"/>
      <c r="F142" s="1072" t="str">
        <f t="shared" si="49"/>
        <v>Driff</v>
      </c>
      <c r="G142" s="1073" t="str">
        <f t="shared" si="49"/>
        <v>U95</v>
      </c>
      <c r="I142" s="1283" t="s">
        <v>409</v>
      </c>
      <c r="J142" s="1284"/>
      <c r="K142" s="1284"/>
      <c r="L142" s="1285"/>
      <c r="M142" s="1095" t="s">
        <v>283</v>
      </c>
      <c r="N142" s="1096">
        <f>ID!T28</f>
        <v>67</v>
      </c>
      <c r="O142" s="1097">
        <f>N142+K145</f>
        <v>70.912773193564107</v>
      </c>
      <c r="P142" s="1092">
        <f>IF(N142="-","-",O142)</f>
        <v>70.912773193564107</v>
      </c>
    </row>
    <row r="143" spans="1:19" ht="12.75" customHeight="1">
      <c r="A143" s="1278"/>
      <c r="B143" s="1075" t="str">
        <f t="shared" si="47"/>
        <v>( uA )</v>
      </c>
      <c r="C143" s="1072">
        <f t="shared" ref="C143:E149" si="50">IF($A$165=$A$166,C13,IF($A$165=$A$167,K13,IF($A$165=$A$168,S13,IF($A$165=$A$169,C44,IF($A$165=$A$170,K44,IF($A$165=$A$171,S44,IF($A$165=$A$172,C75,IF($A$165=$A$173,K75,IF($A$165=$A$174,S75,IF($A$165=$A$175,C106,IF($A$165=$A$176,K106,S106)))))))))))</f>
        <v>2018</v>
      </c>
      <c r="D143" s="1072">
        <f t="shared" si="50"/>
        <v>2021</v>
      </c>
      <c r="E143" s="1072">
        <f t="shared" si="50"/>
        <v>2022</v>
      </c>
      <c r="F143" s="1072"/>
      <c r="G143" s="1073"/>
      <c r="I143" s="1093">
        <f>N141</f>
        <v>34</v>
      </c>
      <c r="J143" s="1077"/>
      <c r="K143" s="1094">
        <f>(FORECAST(I143,E144:E149,B144:B149))</f>
        <v>5.6853070730897732</v>
      </c>
      <c r="L143" s="1079"/>
      <c r="M143" s="1270" t="s">
        <v>584</v>
      </c>
      <c r="N143" s="1098">
        <f>P137</f>
        <v>209.72760734768445</v>
      </c>
      <c r="O143" s="1099">
        <f>(FORECAST(N143,G136:G141,B136:B141))</f>
        <v>2.5172854210807749</v>
      </c>
      <c r="P143" s="1100" t="s">
        <v>126</v>
      </c>
    </row>
    <row r="144" spans="1:19" ht="15" thickBot="1">
      <c r="A144" s="1278"/>
      <c r="B144" s="1101">
        <f t="shared" si="47"/>
        <v>9.9999999999999995E-7</v>
      </c>
      <c r="C144" s="1102">
        <f t="shared" si="50"/>
        <v>9.9999999999999995E-7</v>
      </c>
      <c r="D144" s="1102">
        <f t="shared" si="50"/>
        <v>9.9999999999999995E-7</v>
      </c>
      <c r="E144" s="1102">
        <f t="shared" si="50"/>
        <v>9.9999999999999995E-7</v>
      </c>
      <c r="F144" s="1072">
        <f t="shared" ref="F144:G150" si="51">IF($A$165=$A$166,F14,IF($A$165=$A$167,N14,IF($A$165=$A$168,V14,IF($A$165=$A$169,F45,IF($A$165=$A$170,N45,IF($A$165=$A$171,V45,IF($A$165=$A$172,F76,IF($A$165=$A$173,N76,IF($A$165=$A$174,V76,IF($A$165=$A$175,F107,IF($A$165=$A$176,N107,V107)))))))))))</f>
        <v>0</v>
      </c>
      <c r="G144" s="1073">
        <f t="shared" si="51"/>
        <v>5.8999999999999999E-9</v>
      </c>
      <c r="I144" s="1272" t="s">
        <v>409</v>
      </c>
      <c r="J144" s="1273"/>
      <c r="K144" s="1273"/>
      <c r="L144" s="1274"/>
      <c r="M144" s="1271"/>
      <c r="N144" s="1103" t="str">
        <f>P144&amp;FIXED(N143,1)&amp;P145&amp;FIXED(O143,1)&amp;P146&amp;P143</f>
        <v>( 209.7 ± 2.5 ) Volt</v>
      </c>
      <c r="O144" s="1104"/>
      <c r="P144" s="1105" t="s">
        <v>235</v>
      </c>
    </row>
    <row r="145" spans="1:17" ht="13">
      <c r="A145" s="1278"/>
      <c r="B145" s="1075">
        <f t="shared" si="47"/>
        <v>50</v>
      </c>
      <c r="C145" s="1102">
        <f t="shared" si="50"/>
        <v>2</v>
      </c>
      <c r="D145" s="1102">
        <f t="shared" si="50"/>
        <v>2.1</v>
      </c>
      <c r="E145" s="1102">
        <f t="shared" si="50"/>
        <v>9.1</v>
      </c>
      <c r="F145" s="1072">
        <f t="shared" si="51"/>
        <v>3.55</v>
      </c>
      <c r="G145" s="1073">
        <f t="shared" si="51"/>
        <v>0.29499999999999998</v>
      </c>
      <c r="I145" s="1106">
        <f>N142</f>
        <v>67</v>
      </c>
      <c r="J145" s="1107"/>
      <c r="K145" s="1108">
        <f>FORECAST(I145,E144:E149,B144:B149)</f>
        <v>3.9127731935641101</v>
      </c>
      <c r="L145" s="1108"/>
      <c r="M145" s="668"/>
      <c r="N145" s="1109"/>
      <c r="O145" s="663"/>
      <c r="P145" s="1110" t="s">
        <v>234</v>
      </c>
    </row>
    <row r="146" spans="1:17" ht="13" thickBot="1">
      <c r="A146" s="1278"/>
      <c r="B146" s="1075">
        <f t="shared" si="47"/>
        <v>100</v>
      </c>
      <c r="C146" s="1102">
        <f t="shared" si="50"/>
        <v>2</v>
      </c>
      <c r="D146" s="1102">
        <f t="shared" si="50"/>
        <v>2.2999999999999998</v>
      </c>
      <c r="E146" s="1102">
        <f t="shared" si="50"/>
        <v>6</v>
      </c>
      <c r="F146" s="1072">
        <f t="shared" si="51"/>
        <v>2</v>
      </c>
      <c r="G146" s="1073">
        <f t="shared" si="51"/>
        <v>0.59</v>
      </c>
      <c r="I146" s="1111"/>
      <c r="M146" s="668"/>
      <c r="N146" s="665"/>
      <c r="O146" s="665"/>
      <c r="P146" s="1112" t="s">
        <v>585</v>
      </c>
    </row>
    <row r="147" spans="1:17" ht="13" thickBot="1">
      <c r="A147" s="1278"/>
      <c r="B147" s="1075">
        <f t="shared" si="47"/>
        <v>200</v>
      </c>
      <c r="C147" s="1102">
        <f t="shared" si="50"/>
        <v>3.6</v>
      </c>
      <c r="D147" s="1102">
        <f t="shared" si="50"/>
        <v>2.5</v>
      </c>
      <c r="E147" s="1102">
        <f t="shared" si="50"/>
        <v>-3.6</v>
      </c>
      <c r="F147" s="1072">
        <f t="shared" si="51"/>
        <v>3.6</v>
      </c>
      <c r="G147" s="1073">
        <f t="shared" si="51"/>
        <v>1.18</v>
      </c>
      <c r="H147" s="1113"/>
      <c r="I147" s="1114"/>
      <c r="J147" s="1115"/>
      <c r="K147" s="1115"/>
      <c r="L147" s="1116"/>
      <c r="M147" s="1117"/>
      <c r="N147" s="1118">
        <f>MAX(N140:N145)</f>
        <v>670</v>
      </c>
      <c r="O147" s="1118">
        <f>MAX(P140:P142)</f>
        <v>641.52374503132239</v>
      </c>
      <c r="P147" s="1119">
        <f>IF(N147=0,"-",IF(N147=N147,O147,))</f>
        <v>641.52374503132239</v>
      </c>
    </row>
    <row r="148" spans="1:17">
      <c r="A148" s="1278"/>
      <c r="B148" s="1075">
        <f t="shared" si="47"/>
        <v>500</v>
      </c>
      <c r="C148" s="1102">
        <f t="shared" si="50"/>
        <v>2.9</v>
      </c>
      <c r="D148" s="1102">
        <f t="shared" si="50"/>
        <v>4.3</v>
      </c>
      <c r="E148" s="1102">
        <f t="shared" si="50"/>
        <v>-18.8</v>
      </c>
      <c r="F148" s="1072">
        <f t="shared" si="51"/>
        <v>11.55</v>
      </c>
      <c r="G148" s="1073">
        <f t="shared" si="51"/>
        <v>2.95</v>
      </c>
      <c r="I148" s="1120"/>
      <c r="J148" s="1120"/>
      <c r="K148" s="1120"/>
      <c r="L148" s="1074"/>
      <c r="M148" s="1074"/>
      <c r="N148" s="1074"/>
      <c r="O148" s="1074"/>
    </row>
    <row r="149" spans="1:17">
      <c r="A149" s="1278"/>
      <c r="B149" s="1075">
        <f t="shared" si="47"/>
        <v>1000</v>
      </c>
      <c r="C149" s="1102">
        <f t="shared" si="50"/>
        <v>3</v>
      </c>
      <c r="D149" s="1102">
        <f t="shared" si="50"/>
        <v>2</v>
      </c>
      <c r="E149" s="1102">
        <f t="shared" si="50"/>
        <v>-47</v>
      </c>
      <c r="F149" s="1072">
        <f t="shared" si="51"/>
        <v>25</v>
      </c>
      <c r="G149" s="1073">
        <f t="shared" si="51"/>
        <v>5.9</v>
      </c>
      <c r="H149" s="1121"/>
      <c r="I149" s="1122"/>
      <c r="J149" s="1122"/>
      <c r="K149" s="1123"/>
      <c r="L149" s="668"/>
      <c r="M149" s="668"/>
      <c r="N149" s="668"/>
      <c r="O149" s="668"/>
    </row>
    <row r="150" spans="1:17" ht="12.75" customHeight="1">
      <c r="A150" s="1278"/>
      <c r="B150" s="1252" t="str">
        <f t="shared" si="47"/>
        <v>Main-PE</v>
      </c>
      <c r="C150" s="1253"/>
      <c r="D150" s="1253"/>
      <c r="E150" s="1254"/>
      <c r="F150" s="1072" t="str">
        <f t="shared" si="51"/>
        <v>Driff</v>
      </c>
      <c r="G150" s="1073" t="str">
        <f t="shared" si="51"/>
        <v>U95</v>
      </c>
      <c r="I150" s="1178"/>
      <c r="J150" s="1179">
        <f>IF($I$151&lt;=B152,0,IF($I$151&lt;=B153,B152,IF($I$151&lt;=B154,B153,IF($I$151&lt;=B155,B154))))</f>
        <v>10</v>
      </c>
      <c r="K150" s="1179"/>
      <c r="L150" s="1180">
        <f>IF($I$151&lt;=B152,0,IF($I$151&lt;=B153,E152,IF($I$151&lt;=B154,E153,IF($I$151&lt;=B155,E154))))</f>
        <v>9.9999999999999995E-7</v>
      </c>
      <c r="M150" s="252"/>
      <c r="N150" s="252"/>
      <c r="O150" s="252"/>
      <c r="P150" s="1124"/>
    </row>
    <row r="151" spans="1:17">
      <c r="A151" s="1278"/>
      <c r="B151" s="1075" t="str">
        <f t="shared" si="47"/>
        <v>( MΩ )</v>
      </c>
      <c r="C151" s="1072">
        <f t="shared" ref="C151:E155" si="52">IF($A$165=$A$166,C21,IF($A$165=$A$167,K21,IF($A$165=$A$168,S21,IF($A$165=$A$169,C52,IF($A$165=$A$170,K52,IF($A$165=$A$171,S52,IF($A$165=$A$172,C83,IF($A$165=$A$173,K83,IF($A$165=$A$174,S83,IF($A$165=$A$175,C114,IF($A$165=$A$176,K114,S114)))))))))))</f>
        <v>2018</v>
      </c>
      <c r="D151" s="1072">
        <f t="shared" si="52"/>
        <v>2021</v>
      </c>
      <c r="E151" s="1072">
        <f t="shared" si="52"/>
        <v>2022</v>
      </c>
      <c r="F151" s="1072"/>
      <c r="G151" s="1073"/>
      <c r="H151" s="1121"/>
      <c r="I151" s="1181">
        <f>I137</f>
        <v>12</v>
      </c>
      <c r="J151" s="1179"/>
      <c r="K151" s="1182">
        <f>((I151-J150)/(J152-J150)*(L152-L150)+L150)</f>
        <v>9.9999999999999995E-7</v>
      </c>
      <c r="L151" s="1180"/>
      <c r="M151" s="1122"/>
      <c r="N151" s="1122"/>
      <c r="O151" s="1123"/>
      <c r="P151" s="1125"/>
    </row>
    <row r="152" spans="1:17" ht="12.75" customHeight="1">
      <c r="A152" s="1278"/>
      <c r="B152" s="1075">
        <f t="shared" si="47"/>
        <v>10</v>
      </c>
      <c r="C152" s="1072">
        <f t="shared" si="52"/>
        <v>9.9999999999999995E-7</v>
      </c>
      <c r="D152" s="1102">
        <f t="shared" si="52"/>
        <v>0.26</v>
      </c>
      <c r="E152" s="1102">
        <f t="shared" si="52"/>
        <v>9.9999999999999995E-7</v>
      </c>
      <c r="F152" s="1072">
        <f t="shared" ref="F152:G156" si="53">IF($A$165=$A$166,F22,IF($A$165=$A$167,N22,IF($A$165=$A$168,V22,IF($A$165=$A$169,F53,IF($A$165=$A$170,N53,IF($A$165=$A$171,V53,IF($A$165=$A$172,F84,IF($A$165=$A$173,N84,IF($A$165=$A$174,V84,IF($A$165=$A$175,F115,IF($A$165=$A$176,N115,V115)))))))))))</f>
        <v>0.12999950000000002</v>
      </c>
      <c r="G152" s="1073">
        <f t="shared" si="53"/>
        <v>0.06</v>
      </c>
      <c r="I152" s="1178"/>
      <c r="J152" s="1179">
        <f>IF($I$151&lt;=B152,B152,IF($I$151&lt;=B153,B153,IF($I$151&lt;=B154,B154,IF($I$151&lt;=B155,B155))))</f>
        <v>20</v>
      </c>
      <c r="K152" s="1179"/>
      <c r="L152" s="1180">
        <f>IF($I$151&lt;=B152,E152,IF($I$151&lt;=B153,E153,IF($I$151&lt;=B154,E154,IF($I$151&lt;=B155,E155,0))))</f>
        <v>9.9999999999999995E-7</v>
      </c>
      <c r="M152" s="1122"/>
      <c r="N152" s="668"/>
      <c r="O152" s="1123"/>
      <c r="P152" s="1126"/>
    </row>
    <row r="153" spans="1:17">
      <c r="A153" s="1278"/>
      <c r="B153" s="1075">
        <f t="shared" si="47"/>
        <v>20</v>
      </c>
      <c r="C153" s="1102">
        <f t="shared" si="52"/>
        <v>9.9999999999999995E-7</v>
      </c>
      <c r="D153" s="1177">
        <f t="shared" si="52"/>
        <v>9.9999999999999995E-7</v>
      </c>
      <c r="E153" s="1102">
        <f>IF($A$165=$A$166,E23,IF($A$165=$A$167,M23,IF($A$165=$A$168,U23,IF($A$165=$A$169,E54,IF($A$165=$A$170,M54,IF($A$165=$A$171,U54,IF($A$165=$A$172,E85,IF($A$165=$A$173,M85,IF($A$165=$A$174,U85,IF($A$165=$A$175,E116,IF($A$165=$A$176,M116,U116)))))))))))</f>
        <v>9.9999999999999995E-7</v>
      </c>
      <c r="F153" s="1072">
        <f t="shared" si="53"/>
        <v>0</v>
      </c>
      <c r="G153" s="1073">
        <f t="shared" si="53"/>
        <v>0.12</v>
      </c>
      <c r="H153" s="1121"/>
      <c r="I153" s="1122"/>
      <c r="J153" s="1122"/>
      <c r="K153" s="1123"/>
      <c r="L153" s="1122"/>
      <c r="M153" s="1122"/>
      <c r="N153" s="1122"/>
      <c r="O153" s="1123"/>
      <c r="P153" s="1125"/>
    </row>
    <row r="154" spans="1:17">
      <c r="A154" s="1278"/>
      <c r="B154" s="1075">
        <f t="shared" si="47"/>
        <v>50</v>
      </c>
      <c r="C154" s="1072">
        <f t="shared" si="52"/>
        <v>0.3</v>
      </c>
      <c r="D154" s="1072">
        <f t="shared" si="52"/>
        <v>0.16</v>
      </c>
      <c r="E154" s="1072">
        <f t="shared" si="52"/>
        <v>0.1</v>
      </c>
      <c r="F154" s="1072">
        <f t="shared" si="53"/>
        <v>9.9999999999999992E-2</v>
      </c>
      <c r="G154" s="1073">
        <f t="shared" si="53"/>
        <v>0.3</v>
      </c>
      <c r="L154" s="668"/>
      <c r="M154" s="668"/>
      <c r="N154" s="668"/>
      <c r="O154" s="668"/>
    </row>
    <row r="155" spans="1:17" ht="12.75" customHeight="1">
      <c r="A155" s="1278"/>
      <c r="B155" s="1075">
        <f t="shared" si="47"/>
        <v>100</v>
      </c>
      <c r="C155" s="1072">
        <f t="shared" si="52"/>
        <v>0.6</v>
      </c>
      <c r="D155" s="1072">
        <f t="shared" si="52"/>
        <v>0.06</v>
      </c>
      <c r="E155" s="1072">
        <f t="shared" si="52"/>
        <v>0.1</v>
      </c>
      <c r="F155" s="1072">
        <f t="shared" si="53"/>
        <v>0.27</v>
      </c>
      <c r="G155" s="1073">
        <f t="shared" si="53"/>
        <v>0.59</v>
      </c>
      <c r="H155" s="1127"/>
      <c r="I155" s="1128"/>
      <c r="J155" s="1128"/>
      <c r="K155" s="1129"/>
      <c r="L155" s="668"/>
      <c r="M155" s="668"/>
      <c r="N155" s="668"/>
      <c r="O155" s="668"/>
    </row>
    <row r="156" spans="1:17" ht="13">
      <c r="A156" s="1278"/>
      <c r="B156" s="1252" t="str">
        <f t="shared" si="47"/>
        <v>Resistance</v>
      </c>
      <c r="C156" s="1253"/>
      <c r="D156" s="1253"/>
      <c r="E156" s="1254"/>
      <c r="F156" s="1072" t="str">
        <f t="shared" si="53"/>
        <v>Driff</v>
      </c>
      <c r="G156" s="1073" t="str">
        <f t="shared" si="53"/>
        <v>U95</v>
      </c>
      <c r="L156" s="1275"/>
      <c r="M156" s="1275"/>
      <c r="O156" s="668"/>
    </row>
    <row r="157" spans="1:17" ht="13">
      <c r="A157" s="1278"/>
      <c r="B157" s="1075" t="str">
        <f t="shared" si="47"/>
        <v>( Ω )</v>
      </c>
      <c r="C157" s="1072">
        <f t="shared" ref="C157:E161" si="54">IF($A$165=$A$166,C27,IF($A$165=$A$167,K27,IF($A$165=$A$168,S27,IF($A$165=$A$169,C58,IF($A$165=$A$170,K58,IF($A$165=$A$171,S58,IF($A$165=$A$172,C89,IF($A$165=$A$173,K89,IF($A$165=$A$174,S89,IF($A$165=$A$175,C120,IF($A$165=$A$176,K120,S120)))))))))))</f>
        <v>2018</v>
      </c>
      <c r="D157" s="1072">
        <f t="shared" si="54"/>
        <v>2021</v>
      </c>
      <c r="E157" s="1072">
        <f t="shared" si="54"/>
        <v>2022</v>
      </c>
      <c r="F157" s="1072"/>
      <c r="G157" s="1073"/>
      <c r="H157" s="1127"/>
      <c r="I157" s="1128"/>
      <c r="J157" s="1128"/>
      <c r="K157" s="1129"/>
      <c r="L157" s="1130"/>
      <c r="M157" s="668"/>
      <c r="N157" s="668"/>
      <c r="O157" s="668"/>
      <c r="Q157" s="668"/>
    </row>
    <row r="158" spans="1:17">
      <c r="A158" s="1278"/>
      <c r="B158" s="1075">
        <f t="shared" si="47"/>
        <v>0.01</v>
      </c>
      <c r="C158" s="1102">
        <f t="shared" si="54"/>
        <v>9.9999999999999995E-7</v>
      </c>
      <c r="D158" s="1102">
        <f t="shared" si="54"/>
        <v>9.9999999999999995E-7</v>
      </c>
      <c r="E158" s="1102">
        <f t="shared" si="54"/>
        <v>0</v>
      </c>
      <c r="F158" s="1072">
        <f t="shared" ref="F158:G161" si="55">IF($A$165=$A$166,F28,IF($A$165=$A$167,N28,IF($A$165=$A$168,V28,IF($A$165=$A$169,F59,IF($A$165=$A$170,N59,IF($A$165=$A$171,V59,IF($A$165=$A$172,F90,IF($A$165=$A$173,N90,IF($A$165=$A$174,V90,IF($A$165=$A$175,F121,IF($A$165=$A$176,N121,V121)))))))))))</f>
        <v>4.9999999999999998E-7</v>
      </c>
      <c r="G158" s="1073">
        <f t="shared" si="55"/>
        <v>1.2E-4</v>
      </c>
      <c r="I158" s="668"/>
      <c r="J158" s="666"/>
      <c r="K158" s="666"/>
      <c r="L158" s="666"/>
      <c r="M158" s="667"/>
      <c r="N158" s="668"/>
      <c r="O158" s="668"/>
      <c r="P158" s="1044"/>
      <c r="Q158" s="668"/>
    </row>
    <row r="159" spans="1:17">
      <c r="A159" s="1278"/>
      <c r="B159" s="1075">
        <f t="shared" si="47"/>
        <v>0.1</v>
      </c>
      <c r="C159" s="1102">
        <f t="shared" si="54"/>
        <v>9.9999999999999995E-7</v>
      </c>
      <c r="D159" s="1102">
        <f t="shared" si="54"/>
        <v>9.9999999999999995E-7</v>
      </c>
      <c r="E159" s="1102">
        <f t="shared" si="54"/>
        <v>-2E-3</v>
      </c>
      <c r="F159" s="1080">
        <f t="shared" si="55"/>
        <v>1.0005000000000001E-3</v>
      </c>
      <c r="G159" s="1073">
        <f t="shared" si="55"/>
        <v>1.1999999999999999E-3</v>
      </c>
      <c r="I159" s="668"/>
      <c r="J159" s="667"/>
      <c r="K159" s="666"/>
      <c r="L159" s="667"/>
      <c r="M159" s="667"/>
      <c r="N159" s="668"/>
      <c r="O159" s="668"/>
      <c r="P159" s="1044"/>
      <c r="Q159" s="668"/>
    </row>
    <row r="160" spans="1:17" ht="15.75" customHeight="1">
      <c r="A160" s="1278"/>
      <c r="B160" s="1075">
        <f t="shared" si="47"/>
        <v>1</v>
      </c>
      <c r="C160" s="1102">
        <f t="shared" si="54"/>
        <v>9.9999999999999995E-7</v>
      </c>
      <c r="D160" s="1102">
        <f t="shared" si="54"/>
        <v>6.0000000000000001E-3</v>
      </c>
      <c r="E160" s="1102">
        <f t="shared" si="54"/>
        <v>-1.2E-2</v>
      </c>
      <c r="F160" s="1080">
        <f t="shared" si="55"/>
        <v>9.0000000000000011E-3</v>
      </c>
      <c r="G160" s="1073">
        <f t="shared" si="55"/>
        <v>1.2E-2</v>
      </c>
      <c r="I160" s="668"/>
      <c r="J160" s="666"/>
      <c r="K160" s="666"/>
      <c r="L160" s="666"/>
      <c r="M160" s="667"/>
      <c r="N160" s="668"/>
      <c r="O160" s="668"/>
      <c r="P160" s="1044"/>
      <c r="Q160" s="668"/>
    </row>
    <row r="161" spans="1:38" ht="13" thickBot="1">
      <c r="A161" s="1279"/>
      <c r="B161" s="1131">
        <f t="shared" si="47"/>
        <v>2</v>
      </c>
      <c r="C161" s="1132">
        <f t="shared" si="54"/>
        <v>9.9999999999999995E-7</v>
      </c>
      <c r="D161" s="1132">
        <f t="shared" si="54"/>
        <v>1.2999999999999999E-2</v>
      </c>
      <c r="E161" s="1132">
        <f t="shared" si="54"/>
        <v>-8.0000000000000002E-3</v>
      </c>
      <c r="F161" s="1133">
        <f t="shared" si="55"/>
        <v>1.0499999999999999E-2</v>
      </c>
      <c r="G161" s="1134">
        <f t="shared" si="55"/>
        <v>2.4E-2</v>
      </c>
      <c r="I161" s="668"/>
      <c r="J161" s="1276"/>
      <c r="K161" s="1276"/>
      <c r="L161" s="1276"/>
      <c r="M161" s="1276"/>
      <c r="N161" s="668"/>
      <c r="O161" s="668"/>
      <c r="P161" s="1044"/>
      <c r="Q161" s="668"/>
    </row>
    <row r="162" spans="1:38">
      <c r="I162" s="668"/>
      <c r="J162" s="666"/>
      <c r="K162" s="666"/>
      <c r="L162" s="666"/>
      <c r="M162" s="667"/>
      <c r="N162" s="668"/>
      <c r="O162" s="668"/>
      <c r="P162" s="1044"/>
      <c r="Q162" s="668"/>
    </row>
    <row r="163" spans="1:38">
      <c r="I163" s="668"/>
      <c r="J163" s="667"/>
      <c r="K163" s="666"/>
      <c r="L163" s="667"/>
      <c r="M163" s="667"/>
      <c r="N163" s="668"/>
      <c r="O163" s="668"/>
      <c r="P163" s="1044"/>
      <c r="Q163" s="668"/>
    </row>
    <row r="164" spans="1:38" ht="13" thickBot="1">
      <c r="I164" s="668"/>
      <c r="J164" s="666"/>
      <c r="K164" s="666"/>
      <c r="L164" s="666"/>
      <c r="M164" s="667"/>
      <c r="N164" s="668"/>
      <c r="O164" s="668"/>
      <c r="P164" s="1044"/>
      <c r="Q164" s="668"/>
    </row>
    <row r="165" spans="1:38" ht="15" customHeight="1">
      <c r="A165" s="1135" t="str">
        <f>ID!B96</f>
        <v>Electrical Safety Analyzer, Merek : Fluke, Model : ESA 615, SN : 2853077</v>
      </c>
      <c r="B165" s="1135"/>
      <c r="C165" s="1135"/>
      <c r="D165" s="1135"/>
      <c r="E165" s="1135"/>
      <c r="F165" s="1135"/>
      <c r="G165" s="1135"/>
      <c r="H165" s="1135"/>
      <c r="I165" s="1135"/>
      <c r="J165" s="1135"/>
      <c r="K165" s="1135"/>
      <c r="L165" s="1135"/>
      <c r="N165" s="1264">
        <f>A178</f>
        <v>3</v>
      </c>
      <c r="O165" s="1265"/>
      <c r="P165" s="1265"/>
      <c r="Q165" s="1265"/>
      <c r="R165" s="1265"/>
      <c r="S165" s="1265"/>
      <c r="T165" s="1265"/>
      <c r="U165" s="1265"/>
      <c r="V165" s="1265"/>
      <c r="W165" s="1265"/>
      <c r="X165" s="1265"/>
      <c r="Y165" s="1266"/>
    </row>
    <row r="166" spans="1:38" ht="14">
      <c r="A166" s="1135" t="s">
        <v>560</v>
      </c>
      <c r="B166" s="1136"/>
      <c r="C166" s="1137"/>
      <c r="D166" s="1138"/>
      <c r="E166" s="1138"/>
      <c r="F166" s="1138"/>
      <c r="G166" s="1138"/>
      <c r="H166" s="1139"/>
      <c r="I166" s="1140">
        <f>C5</f>
        <v>2019</v>
      </c>
      <c r="J166" s="1140">
        <f t="shared" ref="J166:K166" si="56">D5</f>
        <v>2019</v>
      </c>
      <c r="K166" s="1140">
        <f t="shared" si="56"/>
        <v>2020</v>
      </c>
      <c r="L166" s="1141">
        <v>1</v>
      </c>
      <c r="N166" s="1142">
        <v>1</v>
      </c>
      <c r="O166" s="1143" t="s">
        <v>586</v>
      </c>
      <c r="P166" s="1144"/>
      <c r="Q166" s="1145"/>
      <c r="R166" s="1145"/>
      <c r="S166" s="1145"/>
      <c r="T166" s="1145"/>
      <c r="U166" s="1145"/>
      <c r="V166" s="1145"/>
      <c r="W166" s="1145"/>
      <c r="X166" s="1144"/>
      <c r="Y166" s="1146"/>
    </row>
    <row r="167" spans="1:38" ht="14">
      <c r="A167" s="1135" t="s">
        <v>561</v>
      </c>
      <c r="B167" s="1136"/>
      <c r="C167" s="1137"/>
      <c r="D167" s="1138"/>
      <c r="E167" s="1138"/>
      <c r="F167" s="1138"/>
      <c r="G167" s="1138"/>
      <c r="H167" s="1139"/>
      <c r="I167" s="1140">
        <f>K5</f>
        <v>2017</v>
      </c>
      <c r="J167" s="1140">
        <f t="shared" ref="J167:K167" si="57">L5</f>
        <v>2017</v>
      </c>
      <c r="K167" s="1140">
        <f t="shared" si="57"/>
        <v>2019</v>
      </c>
      <c r="L167" s="1141">
        <v>2</v>
      </c>
      <c r="N167" s="1142">
        <v>2</v>
      </c>
      <c r="O167" s="1143" t="s">
        <v>586</v>
      </c>
      <c r="P167" s="1144"/>
      <c r="Q167" s="1145"/>
      <c r="R167" s="1145"/>
      <c r="S167" s="1145"/>
      <c r="T167" s="1145"/>
      <c r="U167" s="1145"/>
      <c r="V167" s="1145"/>
      <c r="W167" s="1145"/>
      <c r="X167" s="1144"/>
      <c r="Y167" s="1146"/>
      <c r="AL167" s="1147"/>
    </row>
    <row r="168" spans="1:38" ht="14">
      <c r="A168" s="1135" t="s">
        <v>415</v>
      </c>
      <c r="B168" s="1136"/>
      <c r="C168" s="1137"/>
      <c r="D168" s="1138"/>
      <c r="E168" s="1138"/>
      <c r="F168" s="1138"/>
      <c r="G168" s="1138"/>
      <c r="H168" s="1139"/>
      <c r="I168" s="1140">
        <f>S5</f>
        <v>2018</v>
      </c>
      <c r="J168" s="1140">
        <f t="shared" ref="J168:K168" si="58">T5</f>
        <v>2021</v>
      </c>
      <c r="K168" s="1140">
        <f t="shared" si="58"/>
        <v>2022</v>
      </c>
      <c r="L168" s="1141">
        <v>3</v>
      </c>
      <c r="N168" s="1142">
        <v>3</v>
      </c>
      <c r="O168" s="1143" t="s">
        <v>586</v>
      </c>
      <c r="P168" s="1144"/>
      <c r="Q168" s="1145"/>
      <c r="R168" s="1145"/>
      <c r="S168" s="1145"/>
      <c r="T168" s="1145"/>
      <c r="U168" s="1145"/>
      <c r="V168" s="1145"/>
      <c r="W168" s="1145"/>
      <c r="X168" s="1144"/>
      <c r="Y168" s="1146"/>
      <c r="AL168" s="1147"/>
    </row>
    <row r="169" spans="1:38" ht="14">
      <c r="A169" s="1135" t="s">
        <v>562</v>
      </c>
      <c r="B169" s="1136"/>
      <c r="C169" s="1137"/>
      <c r="D169" s="1138"/>
      <c r="E169" s="1138"/>
      <c r="F169" s="1138"/>
      <c r="G169" s="1138"/>
      <c r="H169" s="1139"/>
      <c r="I169" s="1140">
        <f>C36</f>
        <v>2019</v>
      </c>
      <c r="J169" s="1140">
        <f t="shared" ref="J169:K169" si="59">D36</f>
        <v>2021</v>
      </c>
      <c r="K169" s="1140">
        <f t="shared" si="59"/>
        <v>2022</v>
      </c>
      <c r="L169" s="1141">
        <v>4</v>
      </c>
      <c r="N169" s="1142">
        <v>4</v>
      </c>
      <c r="O169" s="1143" t="s">
        <v>586</v>
      </c>
      <c r="P169" s="1144"/>
      <c r="Q169" s="1145"/>
      <c r="R169" s="1145"/>
      <c r="S169" s="1145"/>
      <c r="T169" s="1145"/>
      <c r="U169" s="1145"/>
      <c r="V169" s="1145"/>
      <c r="W169" s="1145"/>
      <c r="X169" s="1144"/>
      <c r="Y169" s="1146"/>
      <c r="AL169" s="1147"/>
    </row>
    <row r="170" spans="1:38" ht="14">
      <c r="A170" s="1135" t="s">
        <v>563</v>
      </c>
      <c r="B170" s="1137"/>
      <c r="C170" s="1137"/>
      <c r="D170" s="1138"/>
      <c r="E170" s="1138"/>
      <c r="F170" s="1138"/>
      <c r="G170" s="1138"/>
      <c r="H170" s="1139"/>
      <c r="I170" s="1140">
        <f>K36</f>
        <v>2019</v>
      </c>
      <c r="J170" s="1140">
        <f t="shared" ref="J170:K170" si="60">L36</f>
        <v>2019</v>
      </c>
      <c r="K170" s="1140">
        <f t="shared" si="60"/>
        <v>2021</v>
      </c>
      <c r="L170" s="1141">
        <v>5</v>
      </c>
      <c r="N170" s="1142">
        <v>5</v>
      </c>
      <c r="O170" s="1143" t="s">
        <v>586</v>
      </c>
      <c r="P170" s="1144"/>
      <c r="Q170" s="1145"/>
      <c r="R170" s="1145"/>
      <c r="S170" s="1145"/>
      <c r="T170" s="1145"/>
      <c r="U170" s="1145"/>
      <c r="V170" s="1145"/>
      <c r="W170" s="1145"/>
      <c r="X170" s="1144"/>
      <c r="Y170" s="1146"/>
      <c r="AL170" s="1147"/>
    </row>
    <row r="171" spans="1:38" ht="14">
      <c r="A171" s="1135" t="s">
        <v>416</v>
      </c>
      <c r="B171" s="1137"/>
      <c r="C171" s="1137"/>
      <c r="D171" s="1138"/>
      <c r="E171" s="1138"/>
      <c r="F171" s="1138"/>
      <c r="G171" s="1138"/>
      <c r="H171" s="1139"/>
      <c r="I171" s="1140">
        <f>S36</f>
        <v>2018</v>
      </c>
      <c r="J171" s="1140">
        <f t="shared" ref="J171:K171" si="61">T36</f>
        <v>2019</v>
      </c>
      <c r="K171" s="1140">
        <f t="shared" si="61"/>
        <v>2022</v>
      </c>
      <c r="L171" s="1141">
        <v>6</v>
      </c>
      <c r="N171" s="1142">
        <v>6</v>
      </c>
      <c r="O171" s="1143" t="s">
        <v>586</v>
      </c>
      <c r="P171" s="1144"/>
      <c r="Q171" s="1145"/>
      <c r="R171" s="1145"/>
      <c r="S171" s="1145"/>
      <c r="T171" s="1145"/>
      <c r="U171" s="1145"/>
      <c r="V171" s="1145"/>
      <c r="W171" s="1145"/>
      <c r="X171" s="1144"/>
      <c r="Y171" s="1146"/>
      <c r="AL171" s="1147"/>
    </row>
    <row r="172" spans="1:38" ht="14">
      <c r="A172" s="1135" t="s">
        <v>417</v>
      </c>
      <c r="B172" s="1137"/>
      <c r="C172" s="1137"/>
      <c r="D172" s="1138"/>
      <c r="E172" s="1138"/>
      <c r="F172" s="1138"/>
      <c r="G172" s="1138"/>
      <c r="H172" s="1139"/>
      <c r="I172" s="1140">
        <f>C67</f>
        <v>2019</v>
      </c>
      <c r="J172" s="1140">
        <f t="shared" ref="J172:K172" si="62">D67</f>
        <v>2020</v>
      </c>
      <c r="K172" s="1140">
        <f t="shared" si="62"/>
        <v>2022</v>
      </c>
      <c r="L172" s="1141">
        <v>7</v>
      </c>
      <c r="N172" s="1142">
        <v>7</v>
      </c>
      <c r="O172" s="1143" t="s">
        <v>586</v>
      </c>
      <c r="P172" s="1144"/>
      <c r="Q172" s="1145"/>
      <c r="R172" s="1145"/>
      <c r="S172" s="1145"/>
      <c r="T172" s="1145"/>
      <c r="U172" s="1145"/>
      <c r="V172" s="1145"/>
      <c r="W172" s="1145"/>
      <c r="X172" s="1144"/>
      <c r="Y172" s="1146"/>
      <c r="AL172" s="1147"/>
    </row>
    <row r="173" spans="1:38" ht="14">
      <c r="A173" s="1135" t="s">
        <v>419</v>
      </c>
      <c r="B173" s="1137"/>
      <c r="C173" s="1137"/>
      <c r="D173" s="1138"/>
      <c r="E173" s="1138"/>
      <c r="F173" s="1138"/>
      <c r="G173" s="1138"/>
      <c r="H173" s="1139"/>
      <c r="I173" s="1148">
        <f>K67</f>
        <v>2019</v>
      </c>
      <c r="J173" s="1148">
        <f t="shared" ref="J173:K173" si="63">L67</f>
        <v>2020</v>
      </c>
      <c r="K173" s="1148">
        <f t="shared" si="63"/>
        <v>2022</v>
      </c>
      <c r="L173" s="1141">
        <v>8</v>
      </c>
      <c r="N173" s="1142">
        <v>8</v>
      </c>
      <c r="O173" s="1143" t="s">
        <v>586</v>
      </c>
      <c r="P173" s="1144"/>
      <c r="Q173" s="1145"/>
      <c r="R173" s="1145"/>
      <c r="S173" s="1145"/>
      <c r="T173" s="1145"/>
      <c r="U173" s="1145"/>
      <c r="V173" s="1145"/>
      <c r="W173" s="1145"/>
      <c r="X173" s="1144"/>
      <c r="Y173" s="1146"/>
      <c r="AL173" s="1147"/>
    </row>
    <row r="174" spans="1:38" ht="14">
      <c r="A174" s="1135" t="s">
        <v>418</v>
      </c>
      <c r="B174" s="1137"/>
      <c r="C174" s="1137"/>
      <c r="D174" s="1138"/>
      <c r="E174" s="1138"/>
      <c r="F174" s="1138"/>
      <c r="G174" s="1138"/>
      <c r="H174" s="1139"/>
      <c r="I174" s="1148">
        <f>S67</f>
        <v>2019</v>
      </c>
      <c r="J174" s="1148">
        <f t="shared" ref="J174:K174" si="64">T67</f>
        <v>2020</v>
      </c>
      <c r="K174" s="1148">
        <f t="shared" si="64"/>
        <v>2022</v>
      </c>
      <c r="L174" s="1141">
        <v>9</v>
      </c>
      <c r="N174" s="1142">
        <v>9</v>
      </c>
      <c r="O174" s="1143" t="s">
        <v>586</v>
      </c>
      <c r="P174" s="1144"/>
      <c r="Q174" s="1145"/>
      <c r="R174" s="1145"/>
      <c r="S174" s="1145"/>
      <c r="T174" s="1145"/>
      <c r="U174" s="1145"/>
      <c r="V174" s="1145"/>
      <c r="W174" s="1145"/>
      <c r="X174" s="1144"/>
      <c r="Y174" s="1146"/>
      <c r="AL174" s="1147"/>
    </row>
    <row r="175" spans="1:38" ht="14">
      <c r="A175" s="1135" t="s">
        <v>421</v>
      </c>
      <c r="B175" s="1137"/>
      <c r="C175" s="1137"/>
      <c r="D175" s="1138"/>
      <c r="E175" s="1138"/>
      <c r="F175" s="1138"/>
      <c r="G175" s="1138"/>
      <c r="H175" s="1139"/>
      <c r="I175" s="1148">
        <f>C98</f>
        <v>2019</v>
      </c>
      <c r="J175" s="1148">
        <f t="shared" ref="J175:K175" si="65">D98</f>
        <v>2019</v>
      </c>
      <c r="K175" s="1148">
        <f t="shared" si="65"/>
        <v>2020</v>
      </c>
      <c r="L175" s="1141">
        <v>10</v>
      </c>
      <c r="M175" s="1147"/>
      <c r="N175" s="1142">
        <v>10</v>
      </c>
      <c r="O175" s="1143" t="s">
        <v>586</v>
      </c>
      <c r="P175" s="1144"/>
      <c r="Q175" s="1145"/>
      <c r="R175" s="1145"/>
      <c r="S175" s="1145"/>
      <c r="T175" s="1145"/>
      <c r="U175" s="1145"/>
      <c r="V175" s="1145"/>
      <c r="W175" s="1145"/>
      <c r="X175" s="1144"/>
      <c r="Y175" s="1146"/>
      <c r="AL175" s="1147"/>
    </row>
    <row r="176" spans="1:38" ht="14">
      <c r="A176" s="1135" t="s">
        <v>422</v>
      </c>
      <c r="B176" s="1137"/>
      <c r="C176" s="1137"/>
      <c r="D176" s="1138"/>
      <c r="E176" s="1138"/>
      <c r="F176" s="1138"/>
      <c r="G176" s="1138"/>
      <c r="H176" s="1139"/>
      <c r="I176" s="1148">
        <f>K98</f>
        <v>2019</v>
      </c>
      <c r="J176" s="1148">
        <f t="shared" ref="J176:K176" si="66">L98</f>
        <v>2019</v>
      </c>
      <c r="K176" s="1148">
        <f t="shared" si="66"/>
        <v>2020</v>
      </c>
      <c r="L176" s="1141">
        <v>11</v>
      </c>
      <c r="N176" s="1142">
        <v>11</v>
      </c>
      <c r="O176" s="1143" t="s">
        <v>586</v>
      </c>
      <c r="P176" s="1144"/>
      <c r="Q176" s="1145"/>
      <c r="R176" s="1145"/>
      <c r="S176" s="1145"/>
      <c r="T176" s="1145"/>
      <c r="U176" s="1145"/>
      <c r="V176" s="1145"/>
      <c r="W176" s="1145"/>
      <c r="X176" s="1144"/>
      <c r="Y176" s="1146"/>
      <c r="AL176" s="1147"/>
    </row>
    <row r="177" spans="1:50" ht="14">
      <c r="A177" s="1135" t="s">
        <v>423</v>
      </c>
      <c r="B177" s="1137"/>
      <c r="C177" s="1137"/>
      <c r="D177" s="1138"/>
      <c r="E177" s="1138"/>
      <c r="F177" s="1138"/>
      <c r="G177" s="1138"/>
      <c r="H177" s="1139"/>
      <c r="I177" s="1148">
        <f>S98</f>
        <v>2019</v>
      </c>
      <c r="J177" s="1148">
        <f t="shared" ref="J177:K177" si="67">T98</f>
        <v>2019</v>
      </c>
      <c r="K177" s="1148">
        <f t="shared" si="67"/>
        <v>2020</v>
      </c>
      <c r="L177" s="1141">
        <v>12</v>
      </c>
      <c r="N177" s="1142">
        <v>12</v>
      </c>
      <c r="O177" s="1143" t="s">
        <v>586</v>
      </c>
      <c r="P177" s="1144"/>
      <c r="Q177" s="1145"/>
      <c r="R177" s="1145"/>
      <c r="S177" s="1145"/>
      <c r="T177" s="1145"/>
      <c r="U177" s="1145"/>
      <c r="V177" s="1145"/>
      <c r="W177" s="1145"/>
      <c r="X177" s="1144"/>
      <c r="Y177" s="1146"/>
      <c r="AL177" s="1147"/>
    </row>
    <row r="178" spans="1:50" ht="15.75" customHeight="1" thickBot="1">
      <c r="A178" s="1267">
        <f>VLOOKUP(A165,A166:L177,12,(FALSE))</f>
        <v>3</v>
      </c>
      <c r="B178" s="1268"/>
      <c r="C178" s="1268"/>
      <c r="D178" s="1268"/>
      <c r="E178" s="1268"/>
      <c r="F178" s="1268"/>
      <c r="G178" s="1268"/>
      <c r="H178" s="1268"/>
      <c r="I178" s="1268"/>
      <c r="J178" s="1268"/>
      <c r="K178" s="1268"/>
      <c r="L178" s="1269"/>
      <c r="O178" s="1149" t="s">
        <v>586</v>
      </c>
      <c r="P178" s="1150"/>
      <c r="Q178" s="1150"/>
      <c r="R178" s="1150"/>
      <c r="S178" s="1150"/>
      <c r="T178" s="1150"/>
      <c r="U178" s="1150"/>
      <c r="V178" s="1150"/>
      <c r="W178" s="1150"/>
      <c r="X178" s="1150"/>
      <c r="Y178" s="1151"/>
      <c r="AL178" s="1147"/>
    </row>
    <row r="179" spans="1:50">
      <c r="AL179" s="1147"/>
    </row>
    <row r="180" spans="1:50" ht="14">
      <c r="A180" s="1152"/>
      <c r="AL180" s="1147"/>
    </row>
    <row r="181" spans="1:50">
      <c r="AA181" s="1147"/>
      <c r="AB181" s="1147"/>
      <c r="AC181" s="1147"/>
      <c r="AD181" s="1147"/>
      <c r="AE181" s="1147"/>
      <c r="AF181" s="1147"/>
      <c r="AG181" s="1147"/>
      <c r="AH181" s="1147"/>
      <c r="AI181" s="1147"/>
      <c r="AJ181" s="1147"/>
      <c r="AK181" s="1147"/>
      <c r="AL181" s="1147"/>
      <c r="AM181" s="1147"/>
      <c r="AN181" s="1147"/>
      <c r="AO181" s="1147"/>
      <c r="AP181" s="1147"/>
      <c r="AQ181" s="1147"/>
      <c r="AR181" s="1147"/>
      <c r="AS181" s="1147"/>
      <c r="AT181" s="1147"/>
      <c r="AU181" s="1147"/>
      <c r="AV181" s="1147"/>
      <c r="AW181" s="1147"/>
      <c r="AX181" s="1147"/>
    </row>
    <row r="214" spans="27:31">
      <c r="AA214" s="1153"/>
      <c r="AB214" s="668"/>
      <c r="AC214" s="668"/>
      <c r="AD214" s="668"/>
      <c r="AE214" s="668"/>
    </row>
    <row r="215" spans="27:31">
      <c r="AA215" s="1153"/>
      <c r="AB215" s="668"/>
      <c r="AC215" s="668"/>
      <c r="AD215" s="668"/>
      <c r="AE215" s="668"/>
    </row>
    <row r="216" spans="27:31">
      <c r="AA216" s="1153"/>
      <c r="AB216" s="668"/>
      <c r="AC216" s="668"/>
      <c r="AD216" s="668"/>
      <c r="AE216" s="668"/>
    </row>
    <row r="217" spans="27:31">
      <c r="AA217" s="1153"/>
      <c r="AB217" s="668"/>
      <c r="AC217" s="668"/>
      <c r="AD217" s="668"/>
      <c r="AE217" s="668"/>
    </row>
    <row r="218" spans="27:31">
      <c r="AA218" s="1153"/>
      <c r="AB218" s="668"/>
      <c r="AC218" s="668"/>
      <c r="AD218" s="668"/>
      <c r="AE218" s="668"/>
    </row>
    <row r="219" spans="27:31" ht="13" thickBot="1">
      <c r="AA219" s="1154"/>
      <c r="AB219" s="1117"/>
      <c r="AC219" s="1117"/>
      <c r="AD219" s="1117"/>
      <c r="AE219" s="1117"/>
    </row>
  </sheetData>
  <mergeCells count="106">
    <mergeCell ref="A1:W1"/>
    <mergeCell ref="A2:A31"/>
    <mergeCell ref="B2:G2"/>
    <mergeCell ref="I2:I31"/>
    <mergeCell ref="J2:O2"/>
    <mergeCell ref="Q2:Q31"/>
    <mergeCell ref="R2:W2"/>
    <mergeCell ref="B3:E3"/>
    <mergeCell ref="J3:M3"/>
    <mergeCell ref="R3:U3"/>
    <mergeCell ref="B20:E20"/>
    <mergeCell ref="J20:M20"/>
    <mergeCell ref="R20:U20"/>
    <mergeCell ref="B26:E26"/>
    <mergeCell ref="J26:M26"/>
    <mergeCell ref="R26:U26"/>
    <mergeCell ref="B4:E4"/>
    <mergeCell ref="J4:M4"/>
    <mergeCell ref="R4:U4"/>
    <mergeCell ref="B12:E12"/>
    <mergeCell ref="J12:M12"/>
    <mergeCell ref="R12:U12"/>
    <mergeCell ref="J35:M35"/>
    <mergeCell ref="R35:U35"/>
    <mergeCell ref="B43:E43"/>
    <mergeCell ref="J43:M43"/>
    <mergeCell ref="R43:U43"/>
    <mergeCell ref="B51:E51"/>
    <mergeCell ref="J51:M51"/>
    <mergeCell ref="R51:U51"/>
    <mergeCell ref="A33:A62"/>
    <mergeCell ref="B33:G33"/>
    <mergeCell ref="I33:I62"/>
    <mergeCell ref="J33:O33"/>
    <mergeCell ref="Q33:Q62"/>
    <mergeCell ref="R33:W33"/>
    <mergeCell ref="B34:E34"/>
    <mergeCell ref="J34:M34"/>
    <mergeCell ref="R34:U34"/>
    <mergeCell ref="B35:E35"/>
    <mergeCell ref="B57:E57"/>
    <mergeCell ref="J57:M57"/>
    <mergeCell ref="R57:U57"/>
    <mergeCell ref="A64:A93"/>
    <mergeCell ref="B64:G64"/>
    <mergeCell ref="I64:I93"/>
    <mergeCell ref="J64:O64"/>
    <mergeCell ref="Q64:Q93"/>
    <mergeCell ref="R64:W64"/>
    <mergeCell ref="B65:E65"/>
    <mergeCell ref="B82:E82"/>
    <mergeCell ref="J82:M82"/>
    <mergeCell ref="R82:U82"/>
    <mergeCell ref="B88:E88"/>
    <mergeCell ref="J88:M88"/>
    <mergeCell ref="R88:U88"/>
    <mergeCell ref="J65:M65"/>
    <mergeCell ref="R65:U65"/>
    <mergeCell ref="B66:E66"/>
    <mergeCell ref="J66:M66"/>
    <mergeCell ref="R66:U66"/>
    <mergeCell ref="B74:E74"/>
    <mergeCell ref="J74:M74"/>
    <mergeCell ref="R74:U74"/>
    <mergeCell ref="J97:M97"/>
    <mergeCell ref="R97:U97"/>
    <mergeCell ref="B105:E105"/>
    <mergeCell ref="J105:M105"/>
    <mergeCell ref="R105:U105"/>
    <mergeCell ref="B113:E113"/>
    <mergeCell ref="J113:M113"/>
    <mergeCell ref="R113:U113"/>
    <mergeCell ref="A95:A124"/>
    <mergeCell ref="B95:G95"/>
    <mergeCell ref="I95:I124"/>
    <mergeCell ref="J95:O95"/>
    <mergeCell ref="Q95:Q124"/>
    <mergeCell ref="R95:W95"/>
    <mergeCell ref="B96:E96"/>
    <mergeCell ref="J96:M96"/>
    <mergeCell ref="R96:U96"/>
    <mergeCell ref="B97:E97"/>
    <mergeCell ref="B119:E119"/>
    <mergeCell ref="J119:M119"/>
    <mergeCell ref="R119:U119"/>
    <mergeCell ref="B132:G132"/>
    <mergeCell ref="B133:G133"/>
    <mergeCell ref="B134:E134"/>
    <mergeCell ref="I134:L134"/>
    <mergeCell ref="N134:N136"/>
    <mergeCell ref="O134:O136"/>
    <mergeCell ref="N165:Y165"/>
    <mergeCell ref="A178:L178"/>
    <mergeCell ref="M143:M144"/>
    <mergeCell ref="I144:L144"/>
    <mergeCell ref="B150:E150"/>
    <mergeCell ref="B156:E156"/>
    <mergeCell ref="L156:M156"/>
    <mergeCell ref="J161:M161"/>
    <mergeCell ref="A132:A161"/>
    <mergeCell ref="P134:P136"/>
    <mergeCell ref="I136:L136"/>
    <mergeCell ref="I138:L138"/>
    <mergeCell ref="I140:L140"/>
    <mergeCell ref="B142:E142"/>
    <mergeCell ref="I142:L142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00"/>
  <sheetViews>
    <sheetView workbookViewId="0">
      <selection activeCell="C8" sqref="C8"/>
    </sheetView>
  </sheetViews>
  <sheetFormatPr defaultColWidth="9.08984375" defaultRowHeight="12.5"/>
  <cols>
    <col min="1" max="1" width="9.08984375" style="180"/>
    <col min="2" max="2" width="19" style="180" customWidth="1"/>
    <col min="3" max="4" width="39.90625" style="180" customWidth="1"/>
    <col min="5" max="6" width="12.54296875" style="180" customWidth="1"/>
    <col min="7" max="16384" width="9.08984375" style="180"/>
  </cols>
  <sheetData>
    <row r="2" spans="1:6">
      <c r="A2" s="1309" t="s">
        <v>371</v>
      </c>
      <c r="B2" s="1309" t="s">
        <v>30</v>
      </c>
      <c r="C2" s="1309" t="s">
        <v>372</v>
      </c>
      <c r="D2" s="1309"/>
      <c r="E2" s="1310" t="s">
        <v>373</v>
      </c>
      <c r="F2" s="1310" t="s">
        <v>374</v>
      </c>
    </row>
    <row r="3" spans="1:6">
      <c r="A3" s="1309"/>
      <c r="B3" s="1309"/>
      <c r="C3" s="618" t="s">
        <v>56</v>
      </c>
      <c r="D3" s="618" t="s">
        <v>57</v>
      </c>
      <c r="E3" s="1310"/>
      <c r="F3" s="1310"/>
    </row>
    <row r="4" spans="1:6" ht="14">
      <c r="A4" s="618">
        <v>1</v>
      </c>
      <c r="B4" s="619" t="s">
        <v>445</v>
      </c>
      <c r="C4" s="620" t="s">
        <v>446</v>
      </c>
      <c r="D4" s="620" t="s">
        <v>447</v>
      </c>
      <c r="E4" s="621" t="s">
        <v>448</v>
      </c>
      <c r="F4" s="621"/>
    </row>
    <row r="5" spans="1:6">
      <c r="A5" s="618">
        <v>2</v>
      </c>
      <c r="B5" s="622" t="s">
        <v>520</v>
      </c>
      <c r="C5" s="623" t="s">
        <v>523</v>
      </c>
      <c r="D5" s="624" t="s">
        <v>518</v>
      </c>
      <c r="E5" s="621" t="s">
        <v>519</v>
      </c>
      <c r="F5" s="621"/>
    </row>
    <row r="6" spans="1:6">
      <c r="A6" s="618">
        <v>3</v>
      </c>
      <c r="B6" s="622" t="s">
        <v>520</v>
      </c>
      <c r="C6" s="625" t="s">
        <v>522</v>
      </c>
      <c r="D6" s="625" t="s">
        <v>447</v>
      </c>
      <c r="E6" s="621" t="s">
        <v>521</v>
      </c>
      <c r="F6" s="621"/>
    </row>
    <row r="7" spans="1:6">
      <c r="A7" s="618">
        <v>4</v>
      </c>
      <c r="B7" s="622" t="s">
        <v>532</v>
      </c>
      <c r="C7" s="618" t="s">
        <v>533</v>
      </c>
      <c r="D7" s="618" t="s">
        <v>534</v>
      </c>
      <c r="E7" s="621" t="s">
        <v>535</v>
      </c>
      <c r="F7" s="621"/>
    </row>
    <row r="8" spans="1:6">
      <c r="A8" s="618">
        <v>5</v>
      </c>
      <c r="B8" s="622" t="s">
        <v>580</v>
      </c>
      <c r="C8" s="618" t="s">
        <v>581</v>
      </c>
      <c r="D8" s="618" t="s">
        <v>582</v>
      </c>
      <c r="E8" s="621" t="s">
        <v>448</v>
      </c>
      <c r="F8" s="621"/>
    </row>
    <row r="9" spans="1:6">
      <c r="A9" s="618"/>
      <c r="B9" s="622"/>
      <c r="C9" s="618"/>
      <c r="D9" s="618"/>
      <c r="E9" s="621"/>
      <c r="F9" s="621"/>
    </row>
    <row r="10" spans="1:6">
      <c r="A10" s="618"/>
      <c r="B10" s="622"/>
      <c r="C10" s="618"/>
      <c r="D10" s="618"/>
      <c r="E10" s="621"/>
      <c r="F10" s="621"/>
    </row>
    <row r="11" spans="1:6">
      <c r="A11" s="618"/>
      <c r="B11" s="622"/>
      <c r="C11" s="618"/>
      <c r="D11" s="618"/>
      <c r="E11" s="621"/>
      <c r="F11" s="621"/>
    </row>
    <row r="12" spans="1:6">
      <c r="A12" s="618"/>
      <c r="B12" s="622"/>
      <c r="C12" s="618"/>
      <c r="D12" s="618"/>
      <c r="E12" s="621"/>
      <c r="F12" s="621"/>
    </row>
    <row r="13" spans="1:6">
      <c r="A13" s="618"/>
      <c r="B13" s="622"/>
      <c r="C13" s="618"/>
      <c r="D13" s="618"/>
      <c r="E13" s="621"/>
      <c r="F13" s="621"/>
    </row>
    <row r="14" spans="1:6">
      <c r="A14" s="618"/>
      <c r="B14" s="622"/>
      <c r="C14" s="618"/>
      <c r="D14" s="618"/>
      <c r="E14" s="621"/>
      <c r="F14" s="621"/>
    </row>
    <row r="15" spans="1:6">
      <c r="A15" s="618"/>
      <c r="B15" s="622"/>
      <c r="C15" s="618"/>
      <c r="D15" s="618"/>
      <c r="E15" s="621"/>
      <c r="F15" s="621"/>
    </row>
    <row r="16" spans="1:6">
      <c r="A16" s="618"/>
      <c r="B16" s="622"/>
      <c r="C16" s="618"/>
      <c r="D16" s="618"/>
      <c r="E16" s="621"/>
      <c r="F16" s="621"/>
    </row>
    <row r="17" spans="1:6">
      <c r="A17" s="618"/>
      <c r="B17" s="622"/>
      <c r="C17" s="618"/>
      <c r="D17" s="618"/>
      <c r="E17" s="621"/>
      <c r="F17" s="621"/>
    </row>
    <row r="18" spans="1:6">
      <c r="A18" s="618"/>
      <c r="B18" s="622"/>
      <c r="C18" s="618"/>
      <c r="D18" s="618"/>
      <c r="E18" s="621"/>
      <c r="F18" s="621"/>
    </row>
    <row r="19" spans="1:6">
      <c r="A19" s="618"/>
      <c r="B19" s="622"/>
      <c r="C19" s="618"/>
      <c r="D19" s="618"/>
      <c r="E19" s="621"/>
      <c r="F19" s="621"/>
    </row>
    <row r="20" spans="1:6">
      <c r="A20" s="618"/>
      <c r="B20" s="622"/>
      <c r="C20" s="618"/>
      <c r="D20" s="618"/>
      <c r="E20" s="621"/>
      <c r="F20" s="621"/>
    </row>
    <row r="21" spans="1:6">
      <c r="A21" s="618"/>
      <c r="B21" s="622"/>
      <c r="C21" s="618"/>
      <c r="D21" s="618"/>
      <c r="E21" s="621"/>
      <c r="F21" s="621"/>
    </row>
    <row r="22" spans="1:6">
      <c r="A22" s="618"/>
      <c r="B22" s="622"/>
      <c r="C22" s="618"/>
      <c r="D22" s="618"/>
      <c r="E22" s="621"/>
      <c r="F22" s="621"/>
    </row>
    <row r="23" spans="1:6">
      <c r="A23" s="618"/>
      <c r="B23" s="622"/>
      <c r="C23" s="618"/>
      <c r="D23" s="618"/>
      <c r="E23" s="621"/>
      <c r="F23" s="621"/>
    </row>
    <row r="24" spans="1:6">
      <c r="A24" s="618"/>
      <c r="B24" s="622"/>
      <c r="C24" s="618"/>
      <c r="D24" s="618"/>
      <c r="E24" s="621"/>
      <c r="F24" s="621"/>
    </row>
    <row r="25" spans="1:6">
      <c r="A25" s="618"/>
      <c r="B25" s="622"/>
      <c r="C25" s="618"/>
      <c r="D25" s="618"/>
      <c r="E25" s="621"/>
      <c r="F25" s="621"/>
    </row>
    <row r="26" spans="1:6">
      <c r="A26" s="618"/>
      <c r="B26" s="622"/>
      <c r="C26" s="618"/>
      <c r="D26" s="618"/>
      <c r="E26" s="621"/>
      <c r="F26" s="621"/>
    </row>
    <row r="27" spans="1:6">
      <c r="A27" s="618"/>
      <c r="B27" s="622"/>
      <c r="C27" s="618"/>
      <c r="D27" s="618"/>
      <c r="E27" s="621"/>
      <c r="F27" s="621"/>
    </row>
    <row r="28" spans="1:6">
      <c r="A28" s="618"/>
      <c r="B28" s="622"/>
      <c r="C28" s="618"/>
      <c r="D28" s="618"/>
      <c r="E28" s="621"/>
      <c r="F28" s="621"/>
    </row>
    <row r="29" spans="1:6">
      <c r="A29" s="618"/>
      <c r="B29" s="622"/>
      <c r="C29" s="618"/>
      <c r="D29" s="618"/>
      <c r="E29" s="621"/>
      <c r="F29" s="621"/>
    </row>
    <row r="30" spans="1:6">
      <c r="A30" s="618"/>
      <c r="B30" s="622"/>
      <c r="C30" s="618"/>
      <c r="D30" s="618"/>
      <c r="E30" s="621"/>
      <c r="F30" s="621"/>
    </row>
    <row r="31" spans="1:6">
      <c r="A31" s="618"/>
      <c r="B31" s="622"/>
      <c r="C31" s="618"/>
      <c r="D31" s="618"/>
      <c r="E31" s="621"/>
      <c r="F31" s="621"/>
    </row>
    <row r="100" spans="1:1">
      <c r="A100" s="626" t="s">
        <v>583</v>
      </c>
    </row>
  </sheetData>
  <sheetProtection algorithmName="SHA-512" hashValue="jO60weDTEsWx1v/LRw8lUe/JC5sUTdf1hetDiwu9CnYcm9Cq0QrDhTqhiUHXqCW/qNVXac3xga1MfnngrOhErw==" saltValue="ZL5Ywb+FDzkgYJtjcNw1eg==" spinCount="100000" sheet="1" objects="1" scenarios="1"/>
  <mergeCells count="5">
    <mergeCell ref="A2:A3"/>
    <mergeCell ref="B2:B3"/>
    <mergeCell ref="C2:D2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W413"/>
  <sheetViews>
    <sheetView view="pageBreakPreview" topLeftCell="A378" zoomScaleNormal="100" zoomScaleSheetLayoutView="100" workbookViewId="0">
      <selection activeCell="M391" sqref="M391"/>
    </sheetView>
  </sheetViews>
  <sheetFormatPr defaultColWidth="8.6328125" defaultRowHeight="12.5"/>
  <cols>
    <col min="6" max="6" width="11.54296875" customWidth="1"/>
  </cols>
  <sheetData>
    <row r="1" spans="1:21" ht="18" thickBot="1">
      <c r="A1" s="1395" t="s">
        <v>258</v>
      </c>
      <c r="B1" s="1396"/>
      <c r="C1" s="1396"/>
      <c r="D1" s="1396"/>
      <c r="E1" s="1396"/>
      <c r="F1" s="1396"/>
      <c r="G1" s="1396"/>
      <c r="H1" s="1396"/>
      <c r="I1" s="1396"/>
      <c r="J1" s="1396"/>
      <c r="K1" s="1396"/>
      <c r="L1" s="1396"/>
      <c r="M1" s="1396"/>
      <c r="N1" s="1396"/>
      <c r="O1" s="1396"/>
      <c r="P1" s="1396"/>
      <c r="Q1" s="1396"/>
      <c r="R1" s="1396"/>
      <c r="S1" s="1396"/>
      <c r="T1" s="1396"/>
      <c r="U1" s="1396"/>
    </row>
    <row r="2" spans="1:21">
      <c r="A2" s="1385">
        <v>1</v>
      </c>
      <c r="B2" s="1388" t="s">
        <v>257</v>
      </c>
      <c r="C2" s="1372"/>
      <c r="D2" s="1372"/>
      <c r="E2" s="1372"/>
      <c r="F2" s="1375"/>
      <c r="G2" s="670"/>
      <c r="H2" s="1388" t="str">
        <f>B2</f>
        <v>KOREKSI KIMO THERMOHYGROMETER 15062873</v>
      </c>
      <c r="I2" s="1372"/>
      <c r="J2" s="1372"/>
      <c r="K2" s="1372"/>
      <c r="L2" s="1375"/>
      <c r="M2" s="670"/>
      <c r="N2" s="1388" t="str">
        <f>H2</f>
        <v>KOREKSI KIMO THERMOHYGROMETER 15062873</v>
      </c>
      <c r="O2" s="1372"/>
      <c r="P2" s="1372"/>
      <c r="Q2" s="1372"/>
      <c r="R2" s="1375"/>
      <c r="T2" s="1353" t="s">
        <v>77</v>
      </c>
      <c r="U2" s="1354"/>
    </row>
    <row r="3" spans="1:21" ht="13">
      <c r="A3" s="1386"/>
      <c r="B3" s="1389" t="s">
        <v>239</v>
      </c>
      <c r="C3" s="1390"/>
      <c r="D3" s="1390" t="s">
        <v>75</v>
      </c>
      <c r="E3" s="1390"/>
      <c r="F3" s="1391" t="s">
        <v>74</v>
      </c>
      <c r="H3" s="1389" t="s">
        <v>243</v>
      </c>
      <c r="I3" s="1390"/>
      <c r="J3" s="1390" t="s">
        <v>75</v>
      </c>
      <c r="K3" s="1390"/>
      <c r="L3" s="1391" t="s">
        <v>74</v>
      </c>
      <c r="N3" s="1389" t="s">
        <v>424</v>
      </c>
      <c r="O3" s="1390"/>
      <c r="P3" s="1390" t="s">
        <v>75</v>
      </c>
      <c r="Q3" s="1390"/>
      <c r="R3" s="1391" t="s">
        <v>74</v>
      </c>
      <c r="T3" s="671" t="s">
        <v>239</v>
      </c>
      <c r="U3" s="672">
        <v>0.6</v>
      </c>
    </row>
    <row r="4" spans="1:21" ht="14.5">
      <c r="A4" s="1386"/>
      <c r="B4" s="1392" t="s">
        <v>246</v>
      </c>
      <c r="C4" s="1393"/>
      <c r="D4" s="673">
        <v>2020</v>
      </c>
      <c r="E4" s="673">
        <v>2017</v>
      </c>
      <c r="F4" s="1391"/>
      <c r="H4" s="1394" t="s">
        <v>76</v>
      </c>
      <c r="I4" s="1393"/>
      <c r="J4" s="674">
        <f>D4</f>
        <v>2020</v>
      </c>
      <c r="K4" s="674">
        <f>E4</f>
        <v>2017</v>
      </c>
      <c r="L4" s="1391"/>
      <c r="N4" s="1394" t="s">
        <v>425</v>
      </c>
      <c r="O4" s="1393"/>
      <c r="P4" s="674">
        <f>J4</f>
        <v>2020</v>
      </c>
      <c r="Q4" s="674">
        <f>K4</f>
        <v>2017</v>
      </c>
      <c r="R4" s="1391"/>
      <c r="T4" s="671" t="s">
        <v>76</v>
      </c>
      <c r="U4" s="672">
        <v>3.1</v>
      </c>
    </row>
    <row r="5" spans="1:21" ht="13.5" thickBot="1">
      <c r="A5" s="1386"/>
      <c r="B5" s="675">
        <v>1</v>
      </c>
      <c r="C5" s="676">
        <v>15</v>
      </c>
      <c r="D5" s="677">
        <v>-0.5</v>
      </c>
      <c r="E5" s="677">
        <v>0.3</v>
      </c>
      <c r="F5" s="678">
        <f t="shared" ref="F5:F11" si="0">0.5*(MAX(D5:E5)-MIN(D5:E5))</f>
        <v>0.4</v>
      </c>
      <c r="H5" s="675">
        <v>1</v>
      </c>
      <c r="I5" s="676">
        <v>35</v>
      </c>
      <c r="J5" s="677">
        <v>-6</v>
      </c>
      <c r="K5" s="677">
        <v>-9.4</v>
      </c>
      <c r="L5" s="678">
        <f t="shared" ref="L5:L11" si="1">0.5*(MAX(J5:K5)-MIN(J5:K5))</f>
        <v>1.7000000000000002</v>
      </c>
      <c r="N5" s="675">
        <v>1</v>
      </c>
      <c r="O5" s="679">
        <v>750</v>
      </c>
      <c r="P5" s="680" t="s">
        <v>62</v>
      </c>
      <c r="Q5" s="680" t="s">
        <v>62</v>
      </c>
      <c r="R5" s="678">
        <f t="shared" ref="R5:R11" si="2">0.5*(MAX(P5:Q5)-MIN(P5:Q5))</f>
        <v>0</v>
      </c>
      <c r="T5" s="681" t="s">
        <v>425</v>
      </c>
      <c r="U5" s="682">
        <v>0</v>
      </c>
    </row>
    <row r="6" spans="1:21" ht="13">
      <c r="A6" s="1386"/>
      <c r="B6" s="675">
        <v>2</v>
      </c>
      <c r="C6" s="676">
        <v>20</v>
      </c>
      <c r="D6" s="677">
        <v>-0.2</v>
      </c>
      <c r="E6" s="677">
        <v>0.2</v>
      </c>
      <c r="F6" s="678">
        <f>0.5*(MAX(D6:E6)-MIN(D6:E6))</f>
        <v>0.2</v>
      </c>
      <c r="H6" s="675">
        <v>2</v>
      </c>
      <c r="I6" s="676">
        <v>40</v>
      </c>
      <c r="J6" s="677">
        <v>-6</v>
      </c>
      <c r="K6" s="677">
        <v>-8.6</v>
      </c>
      <c r="L6" s="678">
        <f t="shared" si="1"/>
        <v>1.2999999999999998</v>
      </c>
      <c r="N6" s="675">
        <v>2</v>
      </c>
      <c r="O6" s="683">
        <v>800</v>
      </c>
      <c r="P6" s="684" t="s">
        <v>62</v>
      </c>
      <c r="Q6" s="684" t="s">
        <v>62</v>
      </c>
      <c r="R6" s="678">
        <f t="shared" si="2"/>
        <v>0</v>
      </c>
    </row>
    <row r="7" spans="1:21" ht="13">
      <c r="A7" s="1386"/>
      <c r="B7" s="675">
        <v>3</v>
      </c>
      <c r="C7" s="676">
        <v>25</v>
      </c>
      <c r="D7" s="677">
        <v>9.9999999999999995E-7</v>
      </c>
      <c r="E7" s="677">
        <v>0.1</v>
      </c>
      <c r="F7" s="678">
        <f t="shared" si="0"/>
        <v>4.9999500000000002E-2</v>
      </c>
      <c r="H7" s="675">
        <v>3</v>
      </c>
      <c r="I7" s="676">
        <v>50</v>
      </c>
      <c r="J7" s="677">
        <v>-5.8</v>
      </c>
      <c r="K7" s="677">
        <v>-7.2</v>
      </c>
      <c r="L7" s="678">
        <f t="shared" si="1"/>
        <v>0.70000000000000018</v>
      </c>
      <c r="N7" s="675">
        <v>3</v>
      </c>
      <c r="O7" s="683">
        <v>850</v>
      </c>
      <c r="P7" s="684" t="s">
        <v>62</v>
      </c>
      <c r="Q7" s="684" t="s">
        <v>62</v>
      </c>
      <c r="R7" s="678">
        <f t="shared" si="2"/>
        <v>0</v>
      </c>
    </row>
    <row r="8" spans="1:21" ht="13">
      <c r="A8" s="1386"/>
      <c r="B8" s="675">
        <v>4</v>
      </c>
      <c r="C8" s="685">
        <v>30</v>
      </c>
      <c r="D8" s="677">
        <v>9.9999999999999995E-7</v>
      </c>
      <c r="E8" s="687">
        <v>-0.2</v>
      </c>
      <c r="F8" s="678">
        <f t="shared" si="0"/>
        <v>0.10000050000000001</v>
      </c>
      <c r="H8" s="675">
        <v>4</v>
      </c>
      <c r="I8" s="685">
        <v>60</v>
      </c>
      <c r="J8" s="687">
        <v>-5.3</v>
      </c>
      <c r="K8" s="687">
        <v>-5.2</v>
      </c>
      <c r="L8" s="678">
        <f t="shared" si="1"/>
        <v>4.9999999999999822E-2</v>
      </c>
      <c r="N8" s="675">
        <v>4</v>
      </c>
      <c r="O8" s="688">
        <v>900</v>
      </c>
      <c r="P8" s="687" t="s">
        <v>62</v>
      </c>
      <c r="Q8" s="686" t="s">
        <v>62</v>
      </c>
      <c r="R8" s="678">
        <f t="shared" si="2"/>
        <v>0</v>
      </c>
    </row>
    <row r="9" spans="1:21" ht="13">
      <c r="A9" s="1386"/>
      <c r="B9" s="675">
        <v>5</v>
      </c>
      <c r="C9" s="685">
        <v>35</v>
      </c>
      <c r="D9" s="687">
        <v>-0.1</v>
      </c>
      <c r="E9" s="687">
        <v>-0.5</v>
      </c>
      <c r="F9" s="678">
        <f t="shared" si="0"/>
        <v>0.2</v>
      </c>
      <c r="H9" s="675">
        <v>5</v>
      </c>
      <c r="I9" s="685">
        <v>70</v>
      </c>
      <c r="J9" s="687">
        <v>-4.4000000000000004</v>
      </c>
      <c r="K9" s="687">
        <v>-2.6</v>
      </c>
      <c r="L9" s="678">
        <f t="shared" si="1"/>
        <v>0.90000000000000013</v>
      </c>
      <c r="N9" s="675">
        <v>5</v>
      </c>
      <c r="O9" s="688">
        <v>1000</v>
      </c>
      <c r="P9" s="687" t="s">
        <v>62</v>
      </c>
      <c r="Q9" s="686" t="s">
        <v>62</v>
      </c>
      <c r="R9" s="678">
        <f t="shared" si="2"/>
        <v>0</v>
      </c>
    </row>
    <row r="10" spans="1:21" ht="13">
      <c r="A10" s="1386"/>
      <c r="B10" s="675">
        <v>6</v>
      </c>
      <c r="C10" s="685">
        <v>37</v>
      </c>
      <c r="D10" s="687">
        <v>-0.2</v>
      </c>
      <c r="E10" s="687">
        <v>-0.6</v>
      </c>
      <c r="F10" s="678">
        <f t="shared" si="0"/>
        <v>0.19999999999999998</v>
      </c>
      <c r="H10" s="675">
        <v>6</v>
      </c>
      <c r="I10" s="685">
        <v>80</v>
      </c>
      <c r="J10" s="687">
        <v>-3.2</v>
      </c>
      <c r="K10" s="687">
        <v>0.7</v>
      </c>
      <c r="L10" s="678">
        <f t="shared" si="1"/>
        <v>1.9500000000000002</v>
      </c>
      <c r="N10" s="675">
        <v>6</v>
      </c>
      <c r="O10" s="688">
        <v>1005</v>
      </c>
      <c r="P10" s="687" t="s">
        <v>62</v>
      </c>
      <c r="Q10" s="686" t="s">
        <v>62</v>
      </c>
      <c r="R10" s="678">
        <f t="shared" si="2"/>
        <v>0</v>
      </c>
    </row>
    <row r="11" spans="1:21" ht="13.5" thickBot="1">
      <c r="A11" s="1387"/>
      <c r="B11" s="689">
        <v>7</v>
      </c>
      <c r="C11" s="690">
        <v>40</v>
      </c>
      <c r="D11" s="691">
        <v>-0.3</v>
      </c>
      <c r="E11" s="691">
        <v>-0.8</v>
      </c>
      <c r="F11" s="692">
        <f t="shared" si="0"/>
        <v>0.25</v>
      </c>
      <c r="G11" s="693"/>
      <c r="H11" s="689">
        <v>7</v>
      </c>
      <c r="I11" s="690">
        <v>90</v>
      </c>
      <c r="J11" s="691">
        <v>-1.6</v>
      </c>
      <c r="K11" s="691">
        <v>4.5</v>
      </c>
      <c r="L11" s="692">
        <f t="shared" si="1"/>
        <v>3.05</v>
      </c>
      <c r="M11" s="693"/>
      <c r="N11" s="689">
        <v>7</v>
      </c>
      <c r="O11" s="694">
        <v>1020</v>
      </c>
      <c r="P11" s="691" t="s">
        <v>62</v>
      </c>
      <c r="Q11" s="695" t="s">
        <v>62</v>
      </c>
      <c r="R11" s="692">
        <f t="shared" si="2"/>
        <v>0</v>
      </c>
    </row>
    <row r="12" spans="1:21" ht="13.5" thickBot="1">
      <c r="A12" s="696"/>
      <c r="B12" s="696"/>
      <c r="O12" s="697"/>
      <c r="P12" s="698"/>
    </row>
    <row r="13" spans="1:21">
      <c r="A13" s="1385">
        <v>2</v>
      </c>
      <c r="B13" s="1388" t="s">
        <v>256</v>
      </c>
      <c r="C13" s="1372"/>
      <c r="D13" s="1372"/>
      <c r="E13" s="1372"/>
      <c r="F13" s="1375"/>
      <c r="G13" s="670"/>
      <c r="H13" s="1388" t="str">
        <f>B13</f>
        <v>KOREKSI KIMO THERMOHYGROMETER 15062874</v>
      </c>
      <c r="I13" s="1372"/>
      <c r="J13" s="1372"/>
      <c r="K13" s="1372"/>
      <c r="L13" s="1375"/>
      <c r="M13" s="670"/>
      <c r="N13" s="1388" t="str">
        <f>H13</f>
        <v>KOREKSI KIMO THERMOHYGROMETER 15062874</v>
      </c>
      <c r="O13" s="1372"/>
      <c r="P13" s="1372"/>
      <c r="Q13" s="1372"/>
      <c r="R13" s="1375"/>
      <c r="T13" s="1353" t="s">
        <v>77</v>
      </c>
      <c r="U13" s="1354"/>
    </row>
    <row r="14" spans="1:21" ht="13">
      <c r="A14" s="1386"/>
      <c r="B14" s="1389" t="s">
        <v>239</v>
      </c>
      <c r="C14" s="1390"/>
      <c r="D14" s="1390" t="s">
        <v>75</v>
      </c>
      <c r="E14" s="1390"/>
      <c r="F14" s="1391" t="s">
        <v>74</v>
      </c>
      <c r="H14" s="1389" t="s">
        <v>243</v>
      </c>
      <c r="I14" s="1390"/>
      <c r="J14" s="1390" t="s">
        <v>75</v>
      </c>
      <c r="K14" s="1390"/>
      <c r="L14" s="1391" t="s">
        <v>74</v>
      </c>
      <c r="N14" s="1389" t="s">
        <v>424</v>
      </c>
      <c r="O14" s="1390"/>
      <c r="P14" s="1390" t="s">
        <v>75</v>
      </c>
      <c r="Q14" s="1390"/>
      <c r="R14" s="1391" t="s">
        <v>74</v>
      </c>
      <c r="T14" s="671" t="s">
        <v>239</v>
      </c>
      <c r="U14" s="699">
        <v>0.8</v>
      </c>
    </row>
    <row r="15" spans="1:21" ht="14.5">
      <c r="A15" s="1386"/>
      <c r="B15" s="1392" t="s">
        <v>246</v>
      </c>
      <c r="C15" s="1393"/>
      <c r="D15" s="673">
        <v>2021</v>
      </c>
      <c r="E15" s="673">
        <v>2018</v>
      </c>
      <c r="F15" s="1391"/>
      <c r="H15" s="1394" t="s">
        <v>76</v>
      </c>
      <c r="I15" s="1393"/>
      <c r="J15" s="674">
        <f>D15</f>
        <v>2021</v>
      </c>
      <c r="K15" s="674">
        <f>E15</f>
        <v>2018</v>
      </c>
      <c r="L15" s="1391"/>
      <c r="N15" s="1394" t="s">
        <v>425</v>
      </c>
      <c r="O15" s="1393"/>
      <c r="P15" s="674">
        <f>J15</f>
        <v>2021</v>
      </c>
      <c r="Q15" s="674">
        <f>K15</f>
        <v>2018</v>
      </c>
      <c r="R15" s="1391"/>
      <c r="T15" s="671" t="s">
        <v>76</v>
      </c>
      <c r="U15" s="699">
        <v>2.2000000000000002</v>
      </c>
    </row>
    <row r="16" spans="1:21" ht="13.5" thickBot="1">
      <c r="A16" s="1386"/>
      <c r="B16" s="675">
        <v>1</v>
      </c>
      <c r="C16" s="676">
        <v>15</v>
      </c>
      <c r="D16" s="677">
        <v>0.4</v>
      </c>
      <c r="E16" s="677">
        <v>9.9999999999999995E-7</v>
      </c>
      <c r="F16" s="678">
        <f t="shared" ref="F16:F22" si="3">0.5*(MAX(D16:E16)-MIN(D16:E16))</f>
        <v>0.19999950000000002</v>
      </c>
      <c r="H16" s="675">
        <v>1</v>
      </c>
      <c r="I16" s="676">
        <v>35</v>
      </c>
      <c r="J16" s="677">
        <v>-6.9</v>
      </c>
      <c r="K16" s="677">
        <v>-1.6</v>
      </c>
      <c r="L16" s="678">
        <f t="shared" ref="L16:L22" si="4">0.5*(MAX(J16:K16)-MIN(J16:K16))</f>
        <v>2.6500000000000004</v>
      </c>
      <c r="N16" s="675">
        <v>1</v>
      </c>
      <c r="O16" s="679">
        <v>750</v>
      </c>
      <c r="P16" s="680" t="s">
        <v>62</v>
      </c>
      <c r="Q16" s="680" t="s">
        <v>62</v>
      </c>
      <c r="R16" s="678">
        <f t="shared" ref="R16:R22" si="5">0.5*(MAX(P16:Q16)-MIN(P16:Q16))</f>
        <v>0</v>
      </c>
      <c r="T16" s="681" t="s">
        <v>425</v>
      </c>
      <c r="U16" s="682">
        <v>0</v>
      </c>
    </row>
    <row r="17" spans="1:21" ht="13">
      <c r="A17" s="1386"/>
      <c r="B17" s="675">
        <v>2</v>
      </c>
      <c r="C17" s="676">
        <v>20</v>
      </c>
      <c r="D17" s="677">
        <v>0.7</v>
      </c>
      <c r="E17" s="677">
        <v>-0.1</v>
      </c>
      <c r="F17" s="678">
        <f t="shared" si="3"/>
        <v>0.39999999999999997</v>
      </c>
      <c r="H17" s="675">
        <v>2</v>
      </c>
      <c r="I17" s="676">
        <v>40</v>
      </c>
      <c r="J17" s="677">
        <v>-6.2</v>
      </c>
      <c r="K17" s="677">
        <v>-1.6</v>
      </c>
      <c r="L17" s="678">
        <f t="shared" si="4"/>
        <v>2.2999999999999998</v>
      </c>
      <c r="N17" s="675">
        <v>2</v>
      </c>
      <c r="O17" s="683">
        <v>800</v>
      </c>
      <c r="P17" s="684" t="s">
        <v>62</v>
      </c>
      <c r="Q17" s="684" t="s">
        <v>62</v>
      </c>
      <c r="R17" s="678">
        <f t="shared" si="5"/>
        <v>0</v>
      </c>
    </row>
    <row r="18" spans="1:21" ht="13">
      <c r="A18" s="1386"/>
      <c r="B18" s="675">
        <v>3</v>
      </c>
      <c r="C18" s="676">
        <v>25</v>
      </c>
      <c r="D18" s="677">
        <v>0.5</v>
      </c>
      <c r="E18" s="677">
        <v>-0.2</v>
      </c>
      <c r="F18" s="678">
        <f t="shared" si="3"/>
        <v>0.35</v>
      </c>
      <c r="H18" s="675">
        <v>3</v>
      </c>
      <c r="I18" s="676">
        <v>50</v>
      </c>
      <c r="J18" s="677">
        <v>-5.3</v>
      </c>
      <c r="K18" s="677">
        <v>-1.5</v>
      </c>
      <c r="L18" s="678">
        <f t="shared" si="4"/>
        <v>1.9</v>
      </c>
      <c r="N18" s="675">
        <v>3</v>
      </c>
      <c r="O18" s="683">
        <v>850</v>
      </c>
      <c r="P18" s="684" t="s">
        <v>62</v>
      </c>
      <c r="Q18" s="684" t="s">
        <v>62</v>
      </c>
      <c r="R18" s="678">
        <f t="shared" si="5"/>
        <v>0</v>
      </c>
    </row>
    <row r="19" spans="1:21" ht="13">
      <c r="A19" s="1386"/>
      <c r="B19" s="675">
        <v>4</v>
      </c>
      <c r="C19" s="685">
        <v>30</v>
      </c>
      <c r="D19" s="686">
        <v>0.2</v>
      </c>
      <c r="E19" s="686">
        <v>-0.3</v>
      </c>
      <c r="F19" s="678">
        <f t="shared" si="3"/>
        <v>0.25</v>
      </c>
      <c r="H19" s="675">
        <v>4</v>
      </c>
      <c r="I19" s="685">
        <v>60</v>
      </c>
      <c r="J19" s="686">
        <v>-4</v>
      </c>
      <c r="K19" s="686">
        <v>-1.3</v>
      </c>
      <c r="L19" s="678">
        <f t="shared" si="4"/>
        <v>1.35</v>
      </c>
      <c r="N19" s="675">
        <v>4</v>
      </c>
      <c r="O19" s="688">
        <v>900</v>
      </c>
      <c r="P19" s="687" t="s">
        <v>62</v>
      </c>
      <c r="Q19" s="686" t="s">
        <v>62</v>
      </c>
      <c r="R19" s="678">
        <f t="shared" si="5"/>
        <v>0</v>
      </c>
    </row>
    <row r="20" spans="1:21" ht="13">
      <c r="A20" s="1386"/>
      <c r="B20" s="675">
        <v>5</v>
      </c>
      <c r="C20" s="685">
        <v>35</v>
      </c>
      <c r="D20" s="686">
        <v>-0.1</v>
      </c>
      <c r="E20" s="686">
        <v>-0.3</v>
      </c>
      <c r="F20" s="678">
        <f t="shared" si="3"/>
        <v>9.9999999999999992E-2</v>
      </c>
      <c r="H20" s="675">
        <v>5</v>
      </c>
      <c r="I20" s="685">
        <v>70</v>
      </c>
      <c r="J20" s="686">
        <v>-2.4</v>
      </c>
      <c r="K20" s="686">
        <v>-1.1000000000000001</v>
      </c>
      <c r="L20" s="678">
        <f t="shared" si="4"/>
        <v>0.64999999999999991</v>
      </c>
      <c r="N20" s="675">
        <v>5</v>
      </c>
      <c r="O20" s="688">
        <v>1000</v>
      </c>
      <c r="P20" s="687" t="s">
        <v>62</v>
      </c>
      <c r="Q20" s="686" t="s">
        <v>62</v>
      </c>
      <c r="R20" s="678">
        <f t="shared" si="5"/>
        <v>0</v>
      </c>
    </row>
    <row r="21" spans="1:21" ht="13">
      <c r="A21" s="1386"/>
      <c r="B21" s="675">
        <v>6</v>
      </c>
      <c r="C21" s="685">
        <v>37</v>
      </c>
      <c r="D21" s="686">
        <v>-0.2</v>
      </c>
      <c r="E21" s="686">
        <v>-0.3</v>
      </c>
      <c r="F21" s="678">
        <f t="shared" si="3"/>
        <v>4.9999999999999989E-2</v>
      </c>
      <c r="H21" s="675">
        <v>6</v>
      </c>
      <c r="I21" s="685">
        <v>80</v>
      </c>
      <c r="J21" s="686">
        <v>-0.5</v>
      </c>
      <c r="K21" s="686">
        <v>-0.7</v>
      </c>
      <c r="L21" s="678">
        <f t="shared" si="4"/>
        <v>9.9999999999999978E-2</v>
      </c>
      <c r="N21" s="675">
        <v>6</v>
      </c>
      <c r="O21" s="688">
        <v>1005</v>
      </c>
      <c r="P21" s="687" t="s">
        <v>62</v>
      </c>
      <c r="Q21" s="686" t="s">
        <v>62</v>
      </c>
      <c r="R21" s="678">
        <f t="shared" si="5"/>
        <v>0</v>
      </c>
    </row>
    <row r="22" spans="1:21" ht="13.5" thickBot="1">
      <c r="A22" s="1387"/>
      <c r="B22" s="689">
        <v>7</v>
      </c>
      <c r="C22" s="690">
        <v>40</v>
      </c>
      <c r="D22" s="695">
        <v>-0.1</v>
      </c>
      <c r="E22" s="695">
        <v>-0.3</v>
      </c>
      <c r="F22" s="692">
        <f t="shared" si="3"/>
        <v>9.9999999999999992E-2</v>
      </c>
      <c r="G22" s="693"/>
      <c r="H22" s="689">
        <v>7</v>
      </c>
      <c r="I22" s="690">
        <v>90</v>
      </c>
      <c r="J22" s="695">
        <v>1.7</v>
      </c>
      <c r="K22" s="695">
        <v>-0.3</v>
      </c>
      <c r="L22" s="692">
        <f t="shared" si="4"/>
        <v>1</v>
      </c>
      <c r="M22" s="693"/>
      <c r="N22" s="689">
        <v>7</v>
      </c>
      <c r="O22" s="694">
        <v>1020</v>
      </c>
      <c r="P22" s="691" t="s">
        <v>62</v>
      </c>
      <c r="Q22" s="695" t="s">
        <v>62</v>
      </c>
      <c r="R22" s="692">
        <f t="shared" si="5"/>
        <v>0</v>
      </c>
    </row>
    <row r="23" spans="1:21" ht="13.5" thickBot="1">
      <c r="A23" s="696"/>
      <c r="B23" s="696"/>
      <c r="O23" s="697"/>
      <c r="P23" s="698"/>
    </row>
    <row r="24" spans="1:21">
      <c r="A24" s="1385">
        <v>3</v>
      </c>
      <c r="B24" s="1388" t="s">
        <v>255</v>
      </c>
      <c r="C24" s="1372"/>
      <c r="D24" s="1372"/>
      <c r="E24" s="1372"/>
      <c r="F24" s="1375"/>
      <c r="G24" s="670"/>
      <c r="H24" s="1388" t="str">
        <f>B24</f>
        <v>KOREKSI KIMO THERMOHYGROMETER 14082463</v>
      </c>
      <c r="I24" s="1372"/>
      <c r="J24" s="1372"/>
      <c r="K24" s="1372"/>
      <c r="L24" s="1375"/>
      <c r="M24" s="670"/>
      <c r="N24" s="1388" t="str">
        <f>H24</f>
        <v>KOREKSI KIMO THERMOHYGROMETER 14082463</v>
      </c>
      <c r="O24" s="1372"/>
      <c r="P24" s="1372"/>
      <c r="Q24" s="1372"/>
      <c r="R24" s="1375"/>
      <c r="T24" s="1353" t="s">
        <v>77</v>
      </c>
      <c r="U24" s="1354"/>
    </row>
    <row r="25" spans="1:21" ht="13">
      <c r="A25" s="1386"/>
      <c r="B25" s="1389" t="s">
        <v>239</v>
      </c>
      <c r="C25" s="1390"/>
      <c r="D25" s="1390" t="s">
        <v>75</v>
      </c>
      <c r="E25" s="1390"/>
      <c r="F25" s="1391" t="s">
        <v>74</v>
      </c>
      <c r="H25" s="1389" t="s">
        <v>243</v>
      </c>
      <c r="I25" s="1390"/>
      <c r="J25" s="1390" t="s">
        <v>75</v>
      </c>
      <c r="K25" s="1390"/>
      <c r="L25" s="1391" t="s">
        <v>74</v>
      </c>
      <c r="N25" s="1389" t="s">
        <v>424</v>
      </c>
      <c r="O25" s="1390"/>
      <c r="P25" s="1390" t="s">
        <v>75</v>
      </c>
      <c r="Q25" s="1390"/>
      <c r="R25" s="1391" t="s">
        <v>74</v>
      </c>
      <c r="T25" s="671" t="s">
        <v>239</v>
      </c>
      <c r="U25" s="699">
        <v>0.5</v>
      </c>
    </row>
    <row r="26" spans="1:21" ht="14.5">
      <c r="A26" s="1386"/>
      <c r="B26" s="1392" t="s">
        <v>246</v>
      </c>
      <c r="C26" s="1393"/>
      <c r="D26" s="673">
        <v>2021</v>
      </c>
      <c r="E26" s="673">
        <v>2018</v>
      </c>
      <c r="F26" s="1391"/>
      <c r="H26" s="1394" t="s">
        <v>76</v>
      </c>
      <c r="I26" s="1393"/>
      <c r="J26" s="674">
        <f>D26</f>
        <v>2021</v>
      </c>
      <c r="K26" s="674">
        <f>E26</f>
        <v>2018</v>
      </c>
      <c r="L26" s="1391"/>
      <c r="N26" s="1394" t="s">
        <v>425</v>
      </c>
      <c r="O26" s="1393"/>
      <c r="P26" s="674">
        <f>J26</f>
        <v>2021</v>
      </c>
      <c r="Q26" s="674">
        <f>K26</f>
        <v>2018</v>
      </c>
      <c r="R26" s="1391"/>
      <c r="T26" s="671" t="s">
        <v>76</v>
      </c>
      <c r="U26" s="699">
        <v>3.1</v>
      </c>
    </row>
    <row r="27" spans="1:21" ht="13.5" thickBot="1">
      <c r="A27" s="1386"/>
      <c r="B27" s="675">
        <v>1</v>
      </c>
      <c r="C27" s="676">
        <v>15</v>
      </c>
      <c r="D27" s="677">
        <v>0.4</v>
      </c>
      <c r="E27" s="677">
        <v>9.9999999999999995E-7</v>
      </c>
      <c r="F27" s="678">
        <f t="shared" ref="F27:F33" si="6">0.5*(MAX(D27:E27)-MIN(D27:E27))</f>
        <v>0.19999950000000002</v>
      </c>
      <c r="H27" s="675">
        <v>1</v>
      </c>
      <c r="I27" s="676">
        <v>30</v>
      </c>
      <c r="J27" s="677">
        <v>-7.3</v>
      </c>
      <c r="K27" s="677">
        <v>-5.7</v>
      </c>
      <c r="L27" s="678">
        <f t="shared" ref="L27:L33" si="7">0.5*(MAX(J27:K27)-MIN(J27:K27))</f>
        <v>0.79999999999999982</v>
      </c>
      <c r="N27" s="675">
        <v>1</v>
      </c>
      <c r="O27" s="679">
        <v>750</v>
      </c>
      <c r="P27" s="680" t="s">
        <v>62</v>
      </c>
      <c r="Q27" s="680" t="s">
        <v>62</v>
      </c>
      <c r="R27" s="678">
        <f t="shared" ref="R27:R33" si="8">0.5*(MAX(P27:Q27)-MIN(P27:Q27))</f>
        <v>0</v>
      </c>
      <c r="T27" s="681" t="s">
        <v>425</v>
      </c>
      <c r="U27" s="682">
        <v>0</v>
      </c>
    </row>
    <row r="28" spans="1:21" ht="13">
      <c r="A28" s="1386"/>
      <c r="B28" s="675">
        <v>2</v>
      </c>
      <c r="C28" s="676">
        <v>20</v>
      </c>
      <c r="D28" s="677">
        <v>1</v>
      </c>
      <c r="E28" s="677">
        <v>9.9999999999999995E-7</v>
      </c>
      <c r="F28" s="678">
        <f t="shared" si="6"/>
        <v>0.49999949999999999</v>
      </c>
      <c r="H28" s="675">
        <v>2</v>
      </c>
      <c r="I28" s="676">
        <v>40</v>
      </c>
      <c r="J28" s="677">
        <v>-5.9</v>
      </c>
      <c r="K28" s="677">
        <v>-5.3</v>
      </c>
      <c r="L28" s="678">
        <f t="shared" si="7"/>
        <v>0.30000000000000027</v>
      </c>
      <c r="N28" s="675">
        <v>2</v>
      </c>
      <c r="O28" s="683">
        <v>800</v>
      </c>
      <c r="P28" s="684" t="s">
        <v>62</v>
      </c>
      <c r="Q28" s="684" t="s">
        <v>62</v>
      </c>
      <c r="R28" s="678">
        <f t="shared" si="8"/>
        <v>0</v>
      </c>
    </row>
    <row r="29" spans="1:21" ht="13">
      <c r="A29" s="1386"/>
      <c r="B29" s="675">
        <v>3</v>
      </c>
      <c r="C29" s="676">
        <v>25</v>
      </c>
      <c r="D29" s="677">
        <v>0.7</v>
      </c>
      <c r="E29" s="677">
        <v>-0.1</v>
      </c>
      <c r="F29" s="678">
        <f t="shared" si="6"/>
        <v>0.39999999999999997</v>
      </c>
      <c r="H29" s="675">
        <v>3</v>
      </c>
      <c r="I29" s="676">
        <v>50</v>
      </c>
      <c r="J29" s="677">
        <v>-4.5</v>
      </c>
      <c r="K29" s="677">
        <v>-4.9000000000000004</v>
      </c>
      <c r="L29" s="678">
        <f t="shared" si="7"/>
        <v>0.20000000000000018</v>
      </c>
      <c r="N29" s="675">
        <v>3</v>
      </c>
      <c r="O29" s="683">
        <v>850</v>
      </c>
      <c r="P29" s="684" t="s">
        <v>62</v>
      </c>
      <c r="Q29" s="684" t="s">
        <v>62</v>
      </c>
      <c r="R29" s="678">
        <f t="shared" si="8"/>
        <v>0</v>
      </c>
    </row>
    <row r="30" spans="1:21" ht="13">
      <c r="A30" s="1386"/>
      <c r="B30" s="675">
        <v>4</v>
      </c>
      <c r="C30" s="685">
        <v>30</v>
      </c>
      <c r="D30" s="677">
        <v>9.9999999999999995E-7</v>
      </c>
      <c r="E30" s="686">
        <v>-0.3</v>
      </c>
      <c r="F30" s="678">
        <f t="shared" si="6"/>
        <v>0.15000049999999998</v>
      </c>
      <c r="H30" s="675">
        <v>4</v>
      </c>
      <c r="I30" s="685">
        <v>60</v>
      </c>
      <c r="J30" s="686">
        <v>-3.2</v>
      </c>
      <c r="K30" s="686">
        <v>-4.3</v>
      </c>
      <c r="L30" s="678">
        <f t="shared" si="7"/>
        <v>0.54999999999999982</v>
      </c>
      <c r="N30" s="675">
        <v>4</v>
      </c>
      <c r="O30" s="688">
        <v>900</v>
      </c>
      <c r="P30" s="687" t="s">
        <v>62</v>
      </c>
      <c r="Q30" s="686" t="s">
        <v>62</v>
      </c>
      <c r="R30" s="678">
        <f t="shared" si="8"/>
        <v>0</v>
      </c>
    </row>
    <row r="31" spans="1:21" ht="13">
      <c r="A31" s="1386"/>
      <c r="B31" s="675">
        <v>5</v>
      </c>
      <c r="C31" s="685">
        <v>35</v>
      </c>
      <c r="D31" s="686">
        <v>-0.3</v>
      </c>
      <c r="E31" s="686">
        <v>-0.5</v>
      </c>
      <c r="F31" s="678">
        <f t="shared" si="6"/>
        <v>0.1</v>
      </c>
      <c r="H31" s="675">
        <v>5</v>
      </c>
      <c r="I31" s="685">
        <v>70</v>
      </c>
      <c r="J31" s="686">
        <v>-2</v>
      </c>
      <c r="K31" s="686">
        <v>-3.6</v>
      </c>
      <c r="L31" s="678">
        <f t="shared" si="7"/>
        <v>0.8</v>
      </c>
      <c r="N31" s="675">
        <v>5</v>
      </c>
      <c r="O31" s="688">
        <v>1000</v>
      </c>
      <c r="P31" s="687" t="s">
        <v>62</v>
      </c>
      <c r="Q31" s="686" t="s">
        <v>62</v>
      </c>
      <c r="R31" s="678">
        <f t="shared" si="8"/>
        <v>0</v>
      </c>
    </row>
    <row r="32" spans="1:21" ht="13">
      <c r="A32" s="1386"/>
      <c r="B32" s="675">
        <v>6</v>
      </c>
      <c r="C32" s="685">
        <v>37</v>
      </c>
      <c r="D32" s="686">
        <v>-0.2</v>
      </c>
      <c r="E32" s="686">
        <v>-0.6</v>
      </c>
      <c r="F32" s="678">
        <f t="shared" si="6"/>
        <v>0.19999999999999998</v>
      </c>
      <c r="H32" s="675">
        <v>6</v>
      </c>
      <c r="I32" s="685">
        <v>80</v>
      </c>
      <c r="J32" s="686">
        <v>-0.8</v>
      </c>
      <c r="K32" s="686">
        <v>-2.9</v>
      </c>
      <c r="L32" s="678">
        <f t="shared" si="7"/>
        <v>1.0499999999999998</v>
      </c>
      <c r="N32" s="675">
        <v>6</v>
      </c>
      <c r="O32" s="688">
        <v>1005</v>
      </c>
      <c r="P32" s="687" t="s">
        <v>62</v>
      </c>
      <c r="Q32" s="686" t="s">
        <v>62</v>
      </c>
      <c r="R32" s="678">
        <f t="shared" si="8"/>
        <v>0</v>
      </c>
    </row>
    <row r="33" spans="1:21" ht="13.5" thickBot="1">
      <c r="A33" s="1387"/>
      <c r="B33" s="689">
        <v>7</v>
      </c>
      <c r="C33" s="690">
        <v>40</v>
      </c>
      <c r="D33" s="695">
        <v>0.2</v>
      </c>
      <c r="E33" s="695">
        <v>-0.7</v>
      </c>
      <c r="F33" s="692">
        <f t="shared" si="6"/>
        <v>0.44999999999999996</v>
      </c>
      <c r="G33" s="693"/>
      <c r="H33" s="689">
        <v>7</v>
      </c>
      <c r="I33" s="690">
        <v>90</v>
      </c>
      <c r="J33" s="695">
        <v>0.3</v>
      </c>
      <c r="K33" s="695">
        <v>-2</v>
      </c>
      <c r="L33" s="692">
        <f t="shared" si="7"/>
        <v>1.1499999999999999</v>
      </c>
      <c r="M33" s="693"/>
      <c r="N33" s="689">
        <v>7</v>
      </c>
      <c r="O33" s="694">
        <v>1020</v>
      </c>
      <c r="P33" s="691" t="s">
        <v>62</v>
      </c>
      <c r="Q33" s="695" t="s">
        <v>62</v>
      </c>
      <c r="R33" s="692">
        <f t="shared" si="8"/>
        <v>0</v>
      </c>
    </row>
    <row r="34" spans="1:21" ht="13.5" thickBot="1">
      <c r="A34" s="696"/>
      <c r="B34" s="696"/>
      <c r="H34" s="439"/>
      <c r="O34" s="697"/>
      <c r="P34" s="698"/>
    </row>
    <row r="35" spans="1:21" ht="13" thickBot="1">
      <c r="A35" s="1376">
        <v>4</v>
      </c>
      <c r="B35" s="1379" t="s">
        <v>254</v>
      </c>
      <c r="C35" s="1380"/>
      <c r="D35" s="1380"/>
      <c r="E35" s="1380"/>
      <c r="F35" s="1381"/>
      <c r="G35" s="670"/>
      <c r="H35" s="1379" t="str">
        <f>B35</f>
        <v>KOREKSI KIMO THERMOHYGROMETER 15062872</v>
      </c>
      <c r="I35" s="1380"/>
      <c r="J35" s="1380"/>
      <c r="K35" s="1380"/>
      <c r="L35" s="1381"/>
      <c r="M35" s="670"/>
      <c r="N35" s="1379" t="str">
        <f>H35</f>
        <v>KOREKSI KIMO THERMOHYGROMETER 15062872</v>
      </c>
      <c r="O35" s="1380"/>
      <c r="P35" s="1380"/>
      <c r="Q35" s="1380"/>
      <c r="R35" s="1381"/>
    </row>
    <row r="36" spans="1:21" ht="13.5" thickBot="1">
      <c r="A36" s="1377"/>
      <c r="B36" s="1355" t="s">
        <v>239</v>
      </c>
      <c r="C36" s="1356"/>
      <c r="D36" s="1357" t="s">
        <v>75</v>
      </c>
      <c r="E36" s="1358"/>
      <c r="F36" s="1359" t="s">
        <v>74</v>
      </c>
      <c r="H36" s="1355" t="s">
        <v>243</v>
      </c>
      <c r="I36" s="1356"/>
      <c r="J36" s="1357" t="s">
        <v>75</v>
      </c>
      <c r="K36" s="1358"/>
      <c r="L36" s="1359" t="s">
        <v>74</v>
      </c>
      <c r="N36" s="1355" t="s">
        <v>424</v>
      </c>
      <c r="O36" s="1356"/>
      <c r="P36" s="1357" t="s">
        <v>75</v>
      </c>
      <c r="Q36" s="1358"/>
      <c r="R36" s="1359" t="s">
        <v>74</v>
      </c>
      <c r="T36" s="1353" t="s">
        <v>77</v>
      </c>
      <c r="U36" s="1354"/>
    </row>
    <row r="37" spans="1:21" ht="15" thickBot="1">
      <c r="A37" s="1377"/>
      <c r="B37" s="1364" t="s">
        <v>246</v>
      </c>
      <c r="C37" s="1365"/>
      <c r="D37" s="700">
        <v>2019</v>
      </c>
      <c r="E37" s="700">
        <v>2017</v>
      </c>
      <c r="F37" s="1360"/>
      <c r="H37" s="1366" t="s">
        <v>76</v>
      </c>
      <c r="I37" s="1367"/>
      <c r="J37" s="701">
        <f>D37</f>
        <v>2019</v>
      </c>
      <c r="K37" s="701">
        <f>E37</f>
        <v>2017</v>
      </c>
      <c r="L37" s="1360"/>
      <c r="N37" s="1366" t="s">
        <v>425</v>
      </c>
      <c r="O37" s="1367"/>
      <c r="P37" s="701">
        <f>J37</f>
        <v>2019</v>
      </c>
      <c r="Q37" s="701">
        <f>K37</f>
        <v>2017</v>
      </c>
      <c r="R37" s="1360"/>
      <c r="T37" s="671" t="s">
        <v>239</v>
      </c>
      <c r="U37" s="699">
        <v>0.3</v>
      </c>
    </row>
    <row r="38" spans="1:21" ht="13">
      <c r="A38" s="1377"/>
      <c r="B38" s="675">
        <v>1</v>
      </c>
      <c r="C38" s="679">
        <v>15</v>
      </c>
      <c r="D38" s="702">
        <v>-0.2</v>
      </c>
      <c r="E38" s="702">
        <v>-0.1</v>
      </c>
      <c r="F38" s="703">
        <f t="shared" ref="F38:F44" si="9">0.5*(MAX(D38:E38)-MIN(D38:E38))</f>
        <v>0.05</v>
      </c>
      <c r="H38" s="675">
        <v>1</v>
      </c>
      <c r="I38" s="679">
        <v>35</v>
      </c>
      <c r="J38" s="702">
        <v>-4.5</v>
      </c>
      <c r="K38" s="702">
        <v>-1.7</v>
      </c>
      <c r="L38" s="703">
        <f t="shared" ref="L38:L44" si="10">0.5*(MAX(J38:K38)-MIN(J38:K38))</f>
        <v>1.4</v>
      </c>
      <c r="N38" s="675">
        <v>1</v>
      </c>
      <c r="O38" s="679">
        <v>750</v>
      </c>
      <c r="P38" s="680" t="s">
        <v>62</v>
      </c>
      <c r="Q38" s="680" t="s">
        <v>62</v>
      </c>
      <c r="R38" s="703">
        <f t="shared" ref="R38:R44" si="11">0.5*(MAX(P38:Q38)-MIN(P38:Q38))</f>
        <v>0</v>
      </c>
      <c r="T38" s="671" t="s">
        <v>76</v>
      </c>
      <c r="U38" s="699">
        <v>1.3</v>
      </c>
    </row>
    <row r="39" spans="1:21" ht="13.5" thickBot="1">
      <c r="A39" s="1377"/>
      <c r="B39" s="675">
        <v>2</v>
      </c>
      <c r="C39" s="683">
        <v>20</v>
      </c>
      <c r="D39" s="677">
        <v>-0.1</v>
      </c>
      <c r="E39" s="677">
        <v>-0.3</v>
      </c>
      <c r="F39" s="678">
        <f>0.5*(MAX(D39:E39)-MIN(D39:E39))</f>
        <v>9.9999999999999992E-2</v>
      </c>
      <c r="H39" s="675">
        <v>2</v>
      </c>
      <c r="I39" s="683">
        <v>40</v>
      </c>
      <c r="J39" s="677">
        <v>-4.4000000000000004</v>
      </c>
      <c r="K39" s="677">
        <v>-1.5</v>
      </c>
      <c r="L39" s="678">
        <f t="shared" si="10"/>
        <v>1.4500000000000002</v>
      </c>
      <c r="N39" s="675">
        <v>2</v>
      </c>
      <c r="O39" s="683">
        <v>800</v>
      </c>
      <c r="P39" s="684" t="s">
        <v>62</v>
      </c>
      <c r="Q39" s="684" t="s">
        <v>62</v>
      </c>
      <c r="R39" s="678">
        <f t="shared" si="11"/>
        <v>0</v>
      </c>
      <c r="T39" s="681" t="s">
        <v>425</v>
      </c>
      <c r="U39" s="682">
        <v>0</v>
      </c>
    </row>
    <row r="40" spans="1:21" ht="13">
      <c r="A40" s="1377"/>
      <c r="B40" s="675">
        <v>3</v>
      </c>
      <c r="C40" s="683">
        <v>25</v>
      </c>
      <c r="D40" s="677">
        <v>-0.1</v>
      </c>
      <c r="E40" s="677">
        <v>-0.5</v>
      </c>
      <c r="F40" s="678">
        <f t="shared" si="9"/>
        <v>0.2</v>
      </c>
      <c r="H40" s="675">
        <v>3</v>
      </c>
      <c r="I40" s="683">
        <v>50</v>
      </c>
      <c r="J40" s="677">
        <v>-4.3</v>
      </c>
      <c r="K40" s="677">
        <v>-1</v>
      </c>
      <c r="L40" s="678">
        <f t="shared" si="10"/>
        <v>1.65</v>
      </c>
      <c r="N40" s="675">
        <v>3</v>
      </c>
      <c r="O40" s="683">
        <v>850</v>
      </c>
      <c r="P40" s="684" t="s">
        <v>62</v>
      </c>
      <c r="Q40" s="684" t="s">
        <v>62</v>
      </c>
      <c r="R40" s="678">
        <f t="shared" si="11"/>
        <v>0</v>
      </c>
    </row>
    <row r="41" spans="1:21" ht="13">
      <c r="A41" s="1377"/>
      <c r="B41" s="675">
        <v>4</v>
      </c>
      <c r="C41" s="688">
        <v>30</v>
      </c>
      <c r="D41" s="687">
        <v>-0.1</v>
      </c>
      <c r="E41" s="687">
        <v>-0.6</v>
      </c>
      <c r="F41" s="678">
        <f t="shared" si="9"/>
        <v>0.25</v>
      </c>
      <c r="H41" s="675">
        <v>4</v>
      </c>
      <c r="I41" s="688">
        <v>60</v>
      </c>
      <c r="J41" s="687">
        <v>-4.2</v>
      </c>
      <c r="K41" s="687">
        <v>-0.3</v>
      </c>
      <c r="L41" s="678">
        <f t="shared" si="10"/>
        <v>1.9500000000000002</v>
      </c>
      <c r="N41" s="675">
        <v>4</v>
      </c>
      <c r="O41" s="688">
        <v>900</v>
      </c>
      <c r="P41" s="687" t="s">
        <v>62</v>
      </c>
      <c r="Q41" s="686" t="s">
        <v>62</v>
      </c>
      <c r="R41" s="678">
        <f t="shared" si="11"/>
        <v>0</v>
      </c>
    </row>
    <row r="42" spans="1:21" ht="13">
      <c r="A42" s="1377"/>
      <c r="B42" s="675">
        <v>5</v>
      </c>
      <c r="C42" s="688">
        <v>35</v>
      </c>
      <c r="D42" s="687">
        <v>-0.3</v>
      </c>
      <c r="E42" s="687">
        <v>-0.6</v>
      </c>
      <c r="F42" s="678">
        <f t="shared" si="9"/>
        <v>0.15</v>
      </c>
      <c r="H42" s="675">
        <v>5</v>
      </c>
      <c r="I42" s="688">
        <v>70</v>
      </c>
      <c r="J42" s="686">
        <v>-4</v>
      </c>
      <c r="K42" s="687">
        <v>0.7</v>
      </c>
      <c r="L42" s="678">
        <f t="shared" si="10"/>
        <v>2.35</v>
      </c>
      <c r="N42" s="675">
        <v>5</v>
      </c>
      <c r="O42" s="688">
        <v>1000</v>
      </c>
      <c r="P42" s="687" t="s">
        <v>62</v>
      </c>
      <c r="Q42" s="686" t="s">
        <v>62</v>
      </c>
      <c r="R42" s="678">
        <f t="shared" si="11"/>
        <v>0</v>
      </c>
    </row>
    <row r="43" spans="1:21" ht="13">
      <c r="A43" s="1377"/>
      <c r="B43" s="675">
        <v>6</v>
      </c>
      <c r="C43" s="688">
        <v>37</v>
      </c>
      <c r="D43" s="687">
        <v>-0.4</v>
      </c>
      <c r="E43" s="687">
        <v>-0.6</v>
      </c>
      <c r="F43" s="678">
        <f t="shared" si="9"/>
        <v>9.9999999999999978E-2</v>
      </c>
      <c r="H43" s="675">
        <v>6</v>
      </c>
      <c r="I43" s="688">
        <v>80</v>
      </c>
      <c r="J43" s="687">
        <v>-3.8</v>
      </c>
      <c r="K43" s="687">
        <v>1.9</v>
      </c>
      <c r="L43" s="678">
        <f t="shared" si="10"/>
        <v>2.8499999999999996</v>
      </c>
      <c r="N43" s="675">
        <v>6</v>
      </c>
      <c r="O43" s="688">
        <v>1005</v>
      </c>
      <c r="P43" s="687" t="s">
        <v>62</v>
      </c>
      <c r="Q43" s="686" t="s">
        <v>62</v>
      </c>
      <c r="R43" s="678">
        <f t="shared" si="11"/>
        <v>0</v>
      </c>
    </row>
    <row r="44" spans="1:21" ht="13.5" thickBot="1">
      <c r="A44" s="1378"/>
      <c r="B44" s="689">
        <v>7</v>
      </c>
      <c r="C44" s="694">
        <v>40</v>
      </c>
      <c r="D44" s="687">
        <v>-0.5</v>
      </c>
      <c r="E44" s="687">
        <v>-0.6</v>
      </c>
      <c r="F44" s="692">
        <f t="shared" si="9"/>
        <v>4.9999999999999989E-2</v>
      </c>
      <c r="G44" s="693"/>
      <c r="H44" s="689">
        <v>7</v>
      </c>
      <c r="I44" s="694">
        <v>90</v>
      </c>
      <c r="J44" s="691">
        <v>-3.5</v>
      </c>
      <c r="K44" s="691">
        <v>3.3</v>
      </c>
      <c r="L44" s="692">
        <f t="shared" si="10"/>
        <v>3.4</v>
      </c>
      <c r="M44" s="693"/>
      <c r="N44" s="689">
        <v>7</v>
      </c>
      <c r="O44" s="694">
        <v>1020</v>
      </c>
      <c r="P44" s="691" t="s">
        <v>62</v>
      </c>
      <c r="Q44" s="695" t="s">
        <v>62</v>
      </c>
      <c r="R44" s="692">
        <f t="shared" si="11"/>
        <v>0</v>
      </c>
    </row>
    <row r="45" spans="1:21" ht="13.5" thickBot="1">
      <c r="A45" s="696"/>
      <c r="B45" s="696"/>
      <c r="O45" s="697"/>
      <c r="P45" s="698"/>
    </row>
    <row r="46" spans="1:21" ht="13" thickBot="1">
      <c r="A46" s="1376">
        <v>5</v>
      </c>
      <c r="B46" s="1379" t="s">
        <v>253</v>
      </c>
      <c r="C46" s="1380"/>
      <c r="D46" s="1380"/>
      <c r="E46" s="1380"/>
      <c r="F46" s="1381"/>
      <c r="G46" s="670"/>
      <c r="H46" s="1379" t="str">
        <f>B46</f>
        <v>KOREKSI KIMO THERMOHYGROMETER 15062875</v>
      </c>
      <c r="I46" s="1380"/>
      <c r="J46" s="1380"/>
      <c r="K46" s="1380"/>
      <c r="L46" s="1381"/>
      <c r="M46" s="670"/>
      <c r="N46" s="1379" t="str">
        <f>H46</f>
        <v>KOREKSI KIMO THERMOHYGROMETER 15062875</v>
      </c>
      <c r="O46" s="1380"/>
      <c r="P46" s="1380"/>
      <c r="Q46" s="1380"/>
      <c r="R46" s="1381"/>
      <c r="T46" s="1353" t="s">
        <v>77</v>
      </c>
      <c r="U46" s="1354"/>
    </row>
    <row r="47" spans="1:21" ht="13.5" thickBot="1">
      <c r="A47" s="1377"/>
      <c r="B47" s="1355" t="s">
        <v>239</v>
      </c>
      <c r="C47" s="1356"/>
      <c r="D47" s="1357" t="s">
        <v>75</v>
      </c>
      <c r="E47" s="1358"/>
      <c r="F47" s="1359" t="s">
        <v>74</v>
      </c>
      <c r="H47" s="1355" t="s">
        <v>243</v>
      </c>
      <c r="I47" s="1356"/>
      <c r="J47" s="1357" t="s">
        <v>75</v>
      </c>
      <c r="K47" s="1358"/>
      <c r="L47" s="1359" t="s">
        <v>74</v>
      </c>
      <c r="N47" s="1355" t="s">
        <v>424</v>
      </c>
      <c r="O47" s="1356"/>
      <c r="P47" s="1357" t="s">
        <v>75</v>
      </c>
      <c r="Q47" s="1358"/>
      <c r="R47" s="1359" t="s">
        <v>74</v>
      </c>
      <c r="T47" s="671" t="s">
        <v>239</v>
      </c>
      <c r="U47" s="699">
        <v>0.4</v>
      </c>
    </row>
    <row r="48" spans="1:21" ht="15" thickBot="1">
      <c r="A48" s="1377"/>
      <c r="B48" s="1364" t="s">
        <v>246</v>
      </c>
      <c r="C48" s="1365"/>
      <c r="D48" s="700">
        <v>2020</v>
      </c>
      <c r="E48" s="700">
        <v>2017</v>
      </c>
      <c r="F48" s="1360"/>
      <c r="H48" s="1366" t="s">
        <v>76</v>
      </c>
      <c r="I48" s="1367"/>
      <c r="J48" s="701">
        <f>D48</f>
        <v>2020</v>
      </c>
      <c r="K48" s="701">
        <f>E48</f>
        <v>2017</v>
      </c>
      <c r="L48" s="1360"/>
      <c r="N48" s="1366" t="s">
        <v>425</v>
      </c>
      <c r="O48" s="1367"/>
      <c r="P48" s="701">
        <f>J48</f>
        <v>2020</v>
      </c>
      <c r="Q48" s="701">
        <f>K48</f>
        <v>2017</v>
      </c>
      <c r="R48" s="1360"/>
      <c r="T48" s="671" t="s">
        <v>76</v>
      </c>
      <c r="U48" s="699">
        <v>2.8</v>
      </c>
    </row>
    <row r="49" spans="1:21" ht="13.5" thickBot="1">
      <c r="A49" s="1377"/>
      <c r="B49" s="675">
        <v>1</v>
      </c>
      <c r="C49" s="679">
        <v>15</v>
      </c>
      <c r="D49" s="702">
        <v>-0.3</v>
      </c>
      <c r="E49" s="702">
        <v>0.3</v>
      </c>
      <c r="F49" s="703">
        <f t="shared" ref="F49:F55" si="12">0.5*(MAX(D49:E49)-MIN(D49:E49))</f>
        <v>0.3</v>
      </c>
      <c r="H49" s="675">
        <v>1</v>
      </c>
      <c r="I49" s="679">
        <v>35</v>
      </c>
      <c r="J49" s="702">
        <v>-7.7</v>
      </c>
      <c r="K49" s="702">
        <v>-9.6</v>
      </c>
      <c r="L49" s="703">
        <f t="shared" ref="L49:L55" si="13">0.5*(MAX(J49:K49)-MIN(J49:K49))</f>
        <v>0.94999999999999973</v>
      </c>
      <c r="N49" s="675">
        <v>1</v>
      </c>
      <c r="O49" s="679">
        <v>750</v>
      </c>
      <c r="P49" s="680" t="s">
        <v>62</v>
      </c>
      <c r="Q49" s="680" t="s">
        <v>62</v>
      </c>
      <c r="R49" s="703">
        <f t="shared" ref="R49:R55" si="14">0.5*(MAX(P49:Q49)-MIN(P49:Q49))</f>
        <v>0</v>
      </c>
      <c r="T49" s="681" t="s">
        <v>425</v>
      </c>
      <c r="U49" s="682">
        <v>0</v>
      </c>
    </row>
    <row r="50" spans="1:21" ht="13">
      <c r="A50" s="1377"/>
      <c r="B50" s="675">
        <v>2</v>
      </c>
      <c r="C50" s="683">
        <v>20</v>
      </c>
      <c r="D50" s="677">
        <v>0.1</v>
      </c>
      <c r="E50" s="677">
        <v>0.3</v>
      </c>
      <c r="F50" s="678">
        <f t="shared" si="12"/>
        <v>9.9999999999999992E-2</v>
      </c>
      <c r="H50" s="675">
        <v>2</v>
      </c>
      <c r="I50" s="683">
        <v>40</v>
      </c>
      <c r="J50" s="677">
        <v>-7.2</v>
      </c>
      <c r="K50" s="677">
        <v>-8</v>
      </c>
      <c r="L50" s="678">
        <f t="shared" si="13"/>
        <v>0.39999999999999991</v>
      </c>
      <c r="N50" s="675">
        <v>2</v>
      </c>
      <c r="O50" s="683">
        <v>800</v>
      </c>
      <c r="P50" s="684" t="s">
        <v>62</v>
      </c>
      <c r="Q50" s="684" t="s">
        <v>62</v>
      </c>
      <c r="R50" s="678">
        <f t="shared" si="14"/>
        <v>0</v>
      </c>
    </row>
    <row r="51" spans="1:21" ht="13">
      <c r="A51" s="1377"/>
      <c r="B51" s="675">
        <v>3</v>
      </c>
      <c r="C51" s="683">
        <v>25</v>
      </c>
      <c r="D51" s="677">
        <v>0.4</v>
      </c>
      <c r="E51" s="677">
        <v>0.2</v>
      </c>
      <c r="F51" s="678">
        <f t="shared" si="12"/>
        <v>0.1</v>
      </c>
      <c r="H51" s="675">
        <v>3</v>
      </c>
      <c r="I51" s="683">
        <v>50</v>
      </c>
      <c r="J51" s="677">
        <v>-6.2</v>
      </c>
      <c r="K51" s="677">
        <v>-6.2</v>
      </c>
      <c r="L51" s="678">
        <f t="shared" si="13"/>
        <v>0</v>
      </c>
      <c r="N51" s="675">
        <v>3</v>
      </c>
      <c r="O51" s="683">
        <v>850</v>
      </c>
      <c r="P51" s="684" t="s">
        <v>62</v>
      </c>
      <c r="Q51" s="684" t="s">
        <v>62</v>
      </c>
      <c r="R51" s="678">
        <f t="shared" si="14"/>
        <v>0</v>
      </c>
    </row>
    <row r="52" spans="1:21" ht="13">
      <c r="A52" s="1377"/>
      <c r="B52" s="675">
        <v>4</v>
      </c>
      <c r="C52" s="688">
        <v>30</v>
      </c>
      <c r="D52" s="687">
        <v>0.6</v>
      </c>
      <c r="E52" s="686">
        <v>0.1</v>
      </c>
      <c r="F52" s="678">
        <f t="shared" si="12"/>
        <v>0.25</v>
      </c>
      <c r="H52" s="675">
        <v>4</v>
      </c>
      <c r="I52" s="688">
        <v>60</v>
      </c>
      <c r="J52" s="687">
        <v>-5.2</v>
      </c>
      <c r="K52" s="687">
        <v>-4.2</v>
      </c>
      <c r="L52" s="678">
        <f t="shared" si="13"/>
        <v>0.5</v>
      </c>
      <c r="N52" s="675">
        <v>4</v>
      </c>
      <c r="O52" s="688">
        <v>900</v>
      </c>
      <c r="P52" s="687" t="s">
        <v>62</v>
      </c>
      <c r="Q52" s="686" t="s">
        <v>62</v>
      </c>
      <c r="R52" s="678">
        <f t="shared" si="14"/>
        <v>0</v>
      </c>
    </row>
    <row r="53" spans="1:21" ht="13">
      <c r="A53" s="1377"/>
      <c r="B53" s="675">
        <v>5</v>
      </c>
      <c r="C53" s="688">
        <v>35</v>
      </c>
      <c r="D53" s="687">
        <v>0.7</v>
      </c>
      <c r="E53" s="677">
        <v>9.9999999999999995E-7</v>
      </c>
      <c r="F53" s="678">
        <f t="shared" si="12"/>
        <v>0.34999949999999996</v>
      </c>
      <c r="H53" s="675">
        <v>5</v>
      </c>
      <c r="I53" s="688">
        <v>70</v>
      </c>
      <c r="J53" s="687">
        <v>-4.0999999999999996</v>
      </c>
      <c r="K53" s="687">
        <v>-2.1</v>
      </c>
      <c r="L53" s="678">
        <f t="shared" si="13"/>
        <v>0.99999999999999978</v>
      </c>
      <c r="N53" s="675">
        <v>5</v>
      </c>
      <c r="O53" s="688">
        <v>1000</v>
      </c>
      <c r="P53" s="687" t="s">
        <v>62</v>
      </c>
      <c r="Q53" s="686" t="s">
        <v>62</v>
      </c>
      <c r="R53" s="678">
        <f t="shared" si="14"/>
        <v>0</v>
      </c>
    </row>
    <row r="54" spans="1:21" ht="13">
      <c r="A54" s="1377"/>
      <c r="B54" s="675">
        <v>6</v>
      </c>
      <c r="C54" s="688">
        <v>37</v>
      </c>
      <c r="D54" s="687">
        <v>0.7</v>
      </c>
      <c r="E54" s="677">
        <v>9.9999999999999995E-7</v>
      </c>
      <c r="F54" s="678">
        <f t="shared" si="12"/>
        <v>0.34999949999999996</v>
      </c>
      <c r="H54" s="675">
        <v>6</v>
      </c>
      <c r="I54" s="688">
        <v>80</v>
      </c>
      <c r="J54" s="686">
        <v>-3</v>
      </c>
      <c r="K54" s="687">
        <v>0.2</v>
      </c>
      <c r="L54" s="678">
        <f t="shared" si="13"/>
        <v>1.6</v>
      </c>
      <c r="N54" s="675">
        <v>6</v>
      </c>
      <c r="O54" s="688">
        <v>1005</v>
      </c>
      <c r="P54" s="687" t="s">
        <v>62</v>
      </c>
      <c r="Q54" s="686" t="s">
        <v>62</v>
      </c>
      <c r="R54" s="678">
        <f t="shared" si="14"/>
        <v>0</v>
      </c>
    </row>
    <row r="55" spans="1:21" ht="13.5" thickBot="1">
      <c r="A55" s="1378"/>
      <c r="B55" s="689">
        <v>7</v>
      </c>
      <c r="C55" s="694">
        <v>40</v>
      </c>
      <c r="D55" s="691">
        <v>0.7</v>
      </c>
      <c r="E55" s="695">
        <v>-0.1</v>
      </c>
      <c r="F55" s="692">
        <f t="shared" si="12"/>
        <v>0.39999999999999997</v>
      </c>
      <c r="G55" s="693"/>
      <c r="H55" s="689">
        <v>7</v>
      </c>
      <c r="I55" s="694">
        <v>90</v>
      </c>
      <c r="J55" s="691">
        <v>-1.8</v>
      </c>
      <c r="K55" s="691">
        <v>2.7</v>
      </c>
      <c r="L55" s="692">
        <f t="shared" si="13"/>
        <v>2.25</v>
      </c>
      <c r="M55" s="693"/>
      <c r="N55" s="689">
        <v>7</v>
      </c>
      <c r="O55" s="694">
        <v>1020</v>
      </c>
      <c r="P55" s="691" t="s">
        <v>62</v>
      </c>
      <c r="Q55" s="695" t="s">
        <v>62</v>
      </c>
      <c r="R55" s="692">
        <f t="shared" si="14"/>
        <v>0</v>
      </c>
    </row>
    <row r="56" spans="1:21" ht="13.5" thickBot="1">
      <c r="A56" s="704"/>
      <c r="B56" s="705"/>
      <c r="C56" s="705"/>
      <c r="D56" s="705"/>
      <c r="E56" s="706"/>
      <c r="F56" s="707"/>
      <c r="G56" s="708"/>
      <c r="H56" s="705"/>
      <c r="I56" s="705"/>
      <c r="J56" s="705"/>
      <c r="K56" s="706"/>
      <c r="L56" s="707"/>
      <c r="O56" s="697"/>
      <c r="P56" s="698"/>
    </row>
    <row r="57" spans="1:21" ht="13" thickBot="1">
      <c r="A57" s="1376">
        <v>6</v>
      </c>
      <c r="B57" s="1379" t="s">
        <v>252</v>
      </c>
      <c r="C57" s="1380"/>
      <c r="D57" s="1380"/>
      <c r="E57" s="1380"/>
      <c r="F57" s="1381"/>
      <c r="G57" s="670"/>
      <c r="H57" s="1379" t="str">
        <f>B57</f>
        <v>KOREKSI GREISINGER 34903046</v>
      </c>
      <c r="I57" s="1380"/>
      <c r="J57" s="1380"/>
      <c r="K57" s="1380"/>
      <c r="L57" s="1381"/>
      <c r="M57" s="670"/>
      <c r="N57" s="1379" t="str">
        <f>H57</f>
        <v>KOREKSI GREISINGER 34903046</v>
      </c>
      <c r="O57" s="1380"/>
      <c r="P57" s="1380"/>
      <c r="Q57" s="1380"/>
      <c r="R57" s="1381"/>
      <c r="T57" s="1353" t="s">
        <v>77</v>
      </c>
      <c r="U57" s="1354"/>
    </row>
    <row r="58" spans="1:21" ht="13.5" thickBot="1">
      <c r="A58" s="1377"/>
      <c r="B58" s="1355" t="s">
        <v>239</v>
      </c>
      <c r="C58" s="1356"/>
      <c r="D58" s="1357" t="s">
        <v>75</v>
      </c>
      <c r="E58" s="1358"/>
      <c r="F58" s="1359" t="s">
        <v>74</v>
      </c>
      <c r="H58" s="1355" t="s">
        <v>243</v>
      </c>
      <c r="I58" s="1356"/>
      <c r="J58" s="1357" t="s">
        <v>75</v>
      </c>
      <c r="K58" s="1358"/>
      <c r="L58" s="1359" t="s">
        <v>74</v>
      </c>
      <c r="N58" s="1355" t="s">
        <v>424</v>
      </c>
      <c r="O58" s="1356"/>
      <c r="P58" s="1357" t="s">
        <v>75</v>
      </c>
      <c r="Q58" s="1358"/>
      <c r="R58" s="1359" t="s">
        <v>74</v>
      </c>
      <c r="T58" s="671" t="s">
        <v>239</v>
      </c>
      <c r="U58" s="699">
        <v>0.8</v>
      </c>
    </row>
    <row r="59" spans="1:21" ht="15" thickBot="1">
      <c r="A59" s="1377"/>
      <c r="B59" s="1364" t="s">
        <v>246</v>
      </c>
      <c r="C59" s="1365"/>
      <c r="D59" s="700">
        <v>2019</v>
      </c>
      <c r="E59" s="700">
        <v>2018</v>
      </c>
      <c r="F59" s="1360"/>
      <c r="H59" s="1366" t="s">
        <v>76</v>
      </c>
      <c r="I59" s="1367"/>
      <c r="J59" s="701">
        <f>D59</f>
        <v>2019</v>
      </c>
      <c r="K59" s="701">
        <f>E59</f>
        <v>2018</v>
      </c>
      <c r="L59" s="1360"/>
      <c r="N59" s="1366" t="s">
        <v>425</v>
      </c>
      <c r="O59" s="1367"/>
      <c r="P59" s="701">
        <f>J59</f>
        <v>2019</v>
      </c>
      <c r="Q59" s="701">
        <f>K59</f>
        <v>2018</v>
      </c>
      <c r="R59" s="1360"/>
      <c r="T59" s="671" t="s">
        <v>76</v>
      </c>
      <c r="U59" s="672">
        <v>2.6</v>
      </c>
    </row>
    <row r="60" spans="1:21" ht="13.5" thickBot="1">
      <c r="A60" s="1377"/>
      <c r="B60" s="675">
        <v>1</v>
      </c>
      <c r="C60" s="679">
        <v>15</v>
      </c>
      <c r="D60" s="709">
        <v>0.4</v>
      </c>
      <c r="E60" s="709">
        <v>0.4</v>
      </c>
      <c r="F60" s="703">
        <f t="shared" ref="F60:F66" si="15">0.5*(MAX(D60:E60)-MIN(D60:E60))</f>
        <v>0</v>
      </c>
      <c r="H60" s="675">
        <v>1</v>
      </c>
      <c r="I60" s="679">
        <v>30</v>
      </c>
      <c r="J60" s="709">
        <v>-1.5</v>
      </c>
      <c r="K60" s="709">
        <v>1.7</v>
      </c>
      <c r="L60" s="703">
        <f t="shared" ref="L60:L66" si="16">0.5*(MAX(J60:K60)-MIN(J60:K60))</f>
        <v>1.6</v>
      </c>
      <c r="N60" s="675">
        <v>1</v>
      </c>
      <c r="O60" s="679">
        <v>750</v>
      </c>
      <c r="P60" s="709">
        <v>0.9</v>
      </c>
      <c r="Q60" s="709">
        <v>2.1</v>
      </c>
      <c r="R60" s="703">
        <f t="shared" ref="R60:R66" si="17">0.5*(MAX(P60:Q60)-MIN(P60:Q60))</f>
        <v>0.60000000000000009</v>
      </c>
      <c r="T60" s="681" t="s">
        <v>425</v>
      </c>
      <c r="U60" s="710">
        <v>1.6</v>
      </c>
    </row>
    <row r="61" spans="1:21" ht="13">
      <c r="A61" s="1377"/>
      <c r="B61" s="675">
        <v>2</v>
      </c>
      <c r="C61" s="683">
        <v>20</v>
      </c>
      <c r="D61" s="676">
        <v>0.3</v>
      </c>
      <c r="E61" s="676">
        <v>0.2</v>
      </c>
      <c r="F61" s="678">
        <f t="shared" si="15"/>
        <v>4.9999999999999989E-2</v>
      </c>
      <c r="H61" s="675">
        <v>2</v>
      </c>
      <c r="I61" s="683">
        <v>40</v>
      </c>
      <c r="J61" s="676">
        <v>-3.8</v>
      </c>
      <c r="K61" s="676">
        <v>1.5</v>
      </c>
      <c r="L61" s="678">
        <f t="shared" si="16"/>
        <v>2.65</v>
      </c>
      <c r="N61" s="675">
        <v>2</v>
      </c>
      <c r="O61" s="683">
        <v>800</v>
      </c>
      <c r="P61" s="676">
        <v>0.9</v>
      </c>
      <c r="Q61" s="676">
        <v>1.6</v>
      </c>
      <c r="R61" s="678">
        <f t="shared" si="17"/>
        <v>0.35000000000000003</v>
      </c>
    </row>
    <row r="62" spans="1:21" ht="13">
      <c r="A62" s="1377"/>
      <c r="B62" s="675">
        <v>3</v>
      </c>
      <c r="C62" s="683">
        <v>25</v>
      </c>
      <c r="D62" s="676">
        <v>0.2</v>
      </c>
      <c r="E62" s="676">
        <v>-0.1</v>
      </c>
      <c r="F62" s="678">
        <f t="shared" si="15"/>
        <v>0.15000000000000002</v>
      </c>
      <c r="H62" s="675">
        <v>3</v>
      </c>
      <c r="I62" s="683">
        <v>50</v>
      </c>
      <c r="J62" s="676">
        <v>-5.4</v>
      </c>
      <c r="K62" s="676">
        <v>1.2</v>
      </c>
      <c r="L62" s="678">
        <f t="shared" si="16"/>
        <v>3.3000000000000003</v>
      </c>
      <c r="N62" s="675">
        <v>3</v>
      </c>
      <c r="O62" s="683">
        <v>850</v>
      </c>
      <c r="P62" s="676">
        <v>0.9</v>
      </c>
      <c r="Q62" s="676">
        <v>1.1000000000000001</v>
      </c>
      <c r="R62" s="678">
        <f t="shared" si="17"/>
        <v>0.10000000000000003</v>
      </c>
    </row>
    <row r="63" spans="1:21" ht="13">
      <c r="A63" s="1377"/>
      <c r="B63" s="675">
        <v>4</v>
      </c>
      <c r="C63" s="688">
        <v>30</v>
      </c>
      <c r="D63" s="685">
        <v>0.1</v>
      </c>
      <c r="E63" s="685">
        <v>-0.5</v>
      </c>
      <c r="F63" s="678">
        <f t="shared" si="15"/>
        <v>0.3</v>
      </c>
      <c r="H63" s="675">
        <v>4</v>
      </c>
      <c r="I63" s="688">
        <v>60</v>
      </c>
      <c r="J63" s="685">
        <v>-6.4</v>
      </c>
      <c r="K63" s="685">
        <v>1.1000000000000001</v>
      </c>
      <c r="L63" s="678">
        <f t="shared" si="16"/>
        <v>3.75</v>
      </c>
      <c r="N63" s="675">
        <v>4</v>
      </c>
      <c r="O63" s="688">
        <v>900</v>
      </c>
      <c r="P63" s="685">
        <v>0.9</v>
      </c>
      <c r="Q63" s="685">
        <v>0.7</v>
      </c>
      <c r="R63" s="678">
        <f t="shared" si="17"/>
        <v>0.10000000000000003</v>
      </c>
    </row>
    <row r="64" spans="1:21" ht="13">
      <c r="A64" s="1377"/>
      <c r="B64" s="675">
        <v>5</v>
      </c>
      <c r="C64" s="688">
        <v>35</v>
      </c>
      <c r="D64" s="685">
        <v>0.1</v>
      </c>
      <c r="E64" s="685">
        <v>-0.9</v>
      </c>
      <c r="F64" s="678">
        <f t="shared" si="15"/>
        <v>0.5</v>
      </c>
      <c r="H64" s="675">
        <v>5</v>
      </c>
      <c r="I64" s="688">
        <v>70</v>
      </c>
      <c r="J64" s="685">
        <v>-6.7</v>
      </c>
      <c r="K64" s="685">
        <v>0.9</v>
      </c>
      <c r="L64" s="678">
        <f t="shared" si="16"/>
        <v>3.8000000000000003</v>
      </c>
      <c r="N64" s="675">
        <v>5</v>
      </c>
      <c r="O64" s="688">
        <v>1000</v>
      </c>
      <c r="P64" s="685">
        <v>0.9</v>
      </c>
      <c r="Q64" s="685">
        <v>-0.3</v>
      </c>
      <c r="R64" s="678">
        <f t="shared" si="17"/>
        <v>0.6</v>
      </c>
    </row>
    <row r="65" spans="1:21" ht="13">
      <c r="A65" s="1377"/>
      <c r="B65" s="675">
        <v>6</v>
      </c>
      <c r="C65" s="688">
        <v>37</v>
      </c>
      <c r="D65" s="685">
        <v>0.1</v>
      </c>
      <c r="E65" s="685">
        <v>-1.1000000000000001</v>
      </c>
      <c r="F65" s="678">
        <f t="shared" si="15"/>
        <v>0.60000000000000009</v>
      </c>
      <c r="H65" s="675">
        <v>6</v>
      </c>
      <c r="I65" s="688">
        <v>80</v>
      </c>
      <c r="J65" s="685">
        <v>-6.3</v>
      </c>
      <c r="K65" s="685">
        <v>0.8</v>
      </c>
      <c r="L65" s="678">
        <f t="shared" si="16"/>
        <v>3.55</v>
      </c>
      <c r="N65" s="675">
        <v>6</v>
      </c>
      <c r="O65" s="688">
        <v>1005</v>
      </c>
      <c r="P65" s="685">
        <v>0.9</v>
      </c>
      <c r="Q65" s="685">
        <v>-0.3</v>
      </c>
      <c r="R65" s="678">
        <f t="shared" si="17"/>
        <v>0.6</v>
      </c>
    </row>
    <row r="66" spans="1:21" ht="13.5" thickBot="1">
      <c r="A66" s="1378"/>
      <c r="B66" s="689">
        <v>7</v>
      </c>
      <c r="C66" s="694">
        <v>40</v>
      </c>
      <c r="D66" s="690">
        <v>0.1</v>
      </c>
      <c r="E66" s="690">
        <v>-1.4</v>
      </c>
      <c r="F66" s="692">
        <f t="shared" si="15"/>
        <v>0.75</v>
      </c>
      <c r="G66" s="693"/>
      <c r="H66" s="689">
        <v>7</v>
      </c>
      <c r="I66" s="694">
        <v>90</v>
      </c>
      <c r="J66" s="690">
        <v>-5.2</v>
      </c>
      <c r="K66" s="690">
        <v>0.7</v>
      </c>
      <c r="L66" s="692">
        <f t="shared" si="16"/>
        <v>2.95</v>
      </c>
      <c r="M66" s="693"/>
      <c r="N66" s="689">
        <v>7</v>
      </c>
      <c r="O66" s="694">
        <v>1020</v>
      </c>
      <c r="P66" s="690">
        <v>0.9</v>
      </c>
      <c r="Q66" s="677">
        <v>9.9999999999999995E-7</v>
      </c>
      <c r="R66" s="692">
        <f t="shared" si="17"/>
        <v>0.4499995</v>
      </c>
    </row>
    <row r="67" spans="1:21" ht="13.5" thickBot="1">
      <c r="A67" s="704"/>
      <c r="B67" s="705"/>
      <c r="C67" s="705"/>
      <c r="D67" s="705"/>
      <c r="E67" s="706"/>
      <c r="F67" s="707"/>
      <c r="G67" s="708"/>
      <c r="H67" s="705"/>
      <c r="I67" s="705"/>
      <c r="J67" s="705"/>
      <c r="K67" s="706"/>
      <c r="L67" s="707"/>
      <c r="O67" s="697"/>
      <c r="P67" s="698"/>
    </row>
    <row r="68" spans="1:21" ht="13" thickBot="1">
      <c r="A68" s="1376">
        <v>7</v>
      </c>
      <c r="B68" s="1379" t="s">
        <v>251</v>
      </c>
      <c r="C68" s="1380"/>
      <c r="D68" s="1380"/>
      <c r="E68" s="1380"/>
      <c r="F68" s="1381"/>
      <c r="G68" s="670"/>
      <c r="H68" s="1379" t="str">
        <f>B68</f>
        <v>KOREKSI GREISINGER 34903053</v>
      </c>
      <c r="I68" s="1380"/>
      <c r="J68" s="1380"/>
      <c r="K68" s="1380"/>
      <c r="L68" s="1381"/>
      <c r="M68" s="670"/>
      <c r="N68" s="1379" t="str">
        <f>H68</f>
        <v>KOREKSI GREISINGER 34903053</v>
      </c>
      <c r="O68" s="1380"/>
      <c r="P68" s="1380"/>
      <c r="Q68" s="1380"/>
      <c r="R68" s="1381"/>
      <c r="T68" s="1353" t="s">
        <v>77</v>
      </c>
      <c r="U68" s="1354"/>
    </row>
    <row r="69" spans="1:21" ht="13.5" thickBot="1">
      <c r="A69" s="1377"/>
      <c r="B69" s="1355" t="s">
        <v>239</v>
      </c>
      <c r="C69" s="1356"/>
      <c r="D69" s="1357" t="s">
        <v>75</v>
      </c>
      <c r="E69" s="1358"/>
      <c r="F69" s="1359" t="s">
        <v>74</v>
      </c>
      <c r="H69" s="1355" t="s">
        <v>243</v>
      </c>
      <c r="I69" s="1356"/>
      <c r="J69" s="1357" t="s">
        <v>75</v>
      </c>
      <c r="K69" s="1358"/>
      <c r="L69" s="1359" t="s">
        <v>74</v>
      </c>
      <c r="N69" s="1355" t="s">
        <v>424</v>
      </c>
      <c r="O69" s="1356"/>
      <c r="P69" s="1357" t="s">
        <v>75</v>
      </c>
      <c r="Q69" s="1358"/>
      <c r="R69" s="1359" t="s">
        <v>74</v>
      </c>
      <c r="T69" s="671" t="s">
        <v>239</v>
      </c>
      <c r="U69" s="699">
        <v>0.2</v>
      </c>
    </row>
    <row r="70" spans="1:21" ht="15" thickBot="1">
      <c r="A70" s="1377"/>
      <c r="B70" s="1364" t="s">
        <v>246</v>
      </c>
      <c r="C70" s="1365"/>
      <c r="D70" s="700">
        <v>2021</v>
      </c>
      <c r="E70" s="700">
        <v>2018</v>
      </c>
      <c r="F70" s="1360"/>
      <c r="H70" s="1366" t="s">
        <v>76</v>
      </c>
      <c r="I70" s="1367"/>
      <c r="J70" s="701">
        <f>D70</f>
        <v>2021</v>
      </c>
      <c r="K70" s="701">
        <f>E70</f>
        <v>2018</v>
      </c>
      <c r="L70" s="1360"/>
      <c r="N70" s="1366" t="s">
        <v>425</v>
      </c>
      <c r="O70" s="1367"/>
      <c r="P70" s="701">
        <f>J70</f>
        <v>2021</v>
      </c>
      <c r="Q70" s="701">
        <f>K70</f>
        <v>2018</v>
      </c>
      <c r="R70" s="1360"/>
      <c r="T70" s="671" t="s">
        <v>76</v>
      </c>
      <c r="U70" s="699">
        <v>2.4</v>
      </c>
    </row>
    <row r="71" spans="1:21" ht="13.5" thickBot="1">
      <c r="A71" s="1377"/>
      <c r="B71" s="675">
        <v>1</v>
      </c>
      <c r="C71" s="679">
        <v>15</v>
      </c>
      <c r="D71" s="709">
        <v>0.1</v>
      </c>
      <c r="E71" s="709">
        <v>0.3</v>
      </c>
      <c r="F71" s="703">
        <f t="shared" ref="F71:F77" si="18">0.5*(MAX(D71:E71)-MIN(D71:E71))</f>
        <v>9.9999999999999992E-2</v>
      </c>
      <c r="H71" s="675">
        <v>1</v>
      </c>
      <c r="I71" s="679">
        <v>30</v>
      </c>
      <c r="J71" s="709">
        <v>-1.9</v>
      </c>
      <c r="K71" s="709">
        <v>1.8</v>
      </c>
      <c r="L71" s="703">
        <f t="shared" ref="L71:L77" si="19">0.5*(MAX(J71:K71)-MIN(J71:K71))</f>
        <v>1.85</v>
      </c>
      <c r="N71" s="675">
        <v>1</v>
      </c>
      <c r="O71" s="679">
        <v>750</v>
      </c>
      <c r="P71" s="677">
        <v>9.9999999999999995E-7</v>
      </c>
      <c r="Q71" s="709">
        <v>3.2</v>
      </c>
      <c r="R71" s="703">
        <f t="shared" ref="R71:R77" si="20">0.5*(MAX(P71:Q71)-MIN(P71:Q71))</f>
        <v>1.5999995</v>
      </c>
      <c r="T71" s="681" t="s">
        <v>425</v>
      </c>
      <c r="U71" s="710">
        <v>2.4</v>
      </c>
    </row>
    <row r="72" spans="1:21" ht="13">
      <c r="A72" s="1377"/>
      <c r="B72" s="675">
        <v>2</v>
      </c>
      <c r="C72" s="683">
        <v>20</v>
      </c>
      <c r="D72" s="677">
        <v>9.9999999999999995E-7</v>
      </c>
      <c r="E72" s="676">
        <v>0.1</v>
      </c>
      <c r="F72" s="678">
        <f t="shared" si="18"/>
        <v>4.9999500000000002E-2</v>
      </c>
      <c r="H72" s="675">
        <v>2</v>
      </c>
      <c r="I72" s="683">
        <v>40</v>
      </c>
      <c r="J72" s="676">
        <v>-1.9</v>
      </c>
      <c r="K72" s="676">
        <v>1.2</v>
      </c>
      <c r="L72" s="678">
        <f t="shared" si="19"/>
        <v>1.5499999999999998</v>
      </c>
      <c r="N72" s="675">
        <v>2</v>
      </c>
      <c r="O72" s="683">
        <v>800</v>
      </c>
      <c r="P72" s="677">
        <v>9.9999999999999995E-7</v>
      </c>
      <c r="Q72" s="676">
        <v>2.5</v>
      </c>
      <c r="R72" s="678">
        <f t="shared" si="20"/>
        <v>1.2499994999999999</v>
      </c>
    </row>
    <row r="73" spans="1:21" ht="13">
      <c r="A73" s="1377"/>
      <c r="B73" s="675">
        <v>3</v>
      </c>
      <c r="C73" s="683">
        <v>25</v>
      </c>
      <c r="D73" s="677">
        <v>9.9999999999999995E-7</v>
      </c>
      <c r="E73" s="676">
        <v>-0.2</v>
      </c>
      <c r="F73" s="678">
        <f t="shared" si="18"/>
        <v>0.10000050000000001</v>
      </c>
      <c r="H73" s="675">
        <v>3</v>
      </c>
      <c r="I73" s="683">
        <v>50</v>
      </c>
      <c r="J73" s="676">
        <v>-1.9</v>
      </c>
      <c r="K73" s="676">
        <v>0.8</v>
      </c>
      <c r="L73" s="678">
        <f t="shared" si="19"/>
        <v>1.35</v>
      </c>
      <c r="N73" s="675">
        <v>3</v>
      </c>
      <c r="O73" s="683">
        <v>850</v>
      </c>
      <c r="P73" s="677">
        <v>9.9999999999999995E-7</v>
      </c>
      <c r="Q73" s="676">
        <v>1.7</v>
      </c>
      <c r="R73" s="678">
        <f t="shared" si="20"/>
        <v>0.84999950000000002</v>
      </c>
    </row>
    <row r="74" spans="1:21" ht="13">
      <c r="A74" s="1377"/>
      <c r="B74" s="675">
        <v>4</v>
      </c>
      <c r="C74" s="688">
        <v>30</v>
      </c>
      <c r="D74" s="677">
        <v>9.9999999999999995E-7</v>
      </c>
      <c r="E74" s="685">
        <v>-0.6</v>
      </c>
      <c r="F74" s="678">
        <f t="shared" si="18"/>
        <v>0.3000005</v>
      </c>
      <c r="H74" s="675">
        <v>4</v>
      </c>
      <c r="I74" s="688">
        <v>60</v>
      </c>
      <c r="J74" s="685">
        <v>-2.1</v>
      </c>
      <c r="K74" s="685">
        <v>0.7</v>
      </c>
      <c r="L74" s="678">
        <f t="shared" si="19"/>
        <v>1.4</v>
      </c>
      <c r="N74" s="675">
        <v>4</v>
      </c>
      <c r="O74" s="688">
        <v>900</v>
      </c>
      <c r="P74" s="677">
        <v>9.9999999999999995E-7</v>
      </c>
      <c r="Q74" s="685">
        <v>1</v>
      </c>
      <c r="R74" s="678">
        <f t="shared" si="20"/>
        <v>0.49999949999999999</v>
      </c>
    </row>
    <row r="75" spans="1:21" ht="13">
      <c r="A75" s="1377"/>
      <c r="B75" s="675">
        <v>5</v>
      </c>
      <c r="C75" s="688">
        <v>35</v>
      </c>
      <c r="D75" s="677">
        <v>9.9999999999999995E-7</v>
      </c>
      <c r="E75" s="685">
        <v>-1.1000000000000001</v>
      </c>
      <c r="F75" s="678">
        <f t="shared" si="18"/>
        <v>0.5500005</v>
      </c>
      <c r="H75" s="675">
        <v>5</v>
      </c>
      <c r="I75" s="688">
        <v>70</v>
      </c>
      <c r="J75" s="685">
        <v>-2.2999999999999998</v>
      </c>
      <c r="K75" s="685">
        <v>0.9</v>
      </c>
      <c r="L75" s="678">
        <f t="shared" si="19"/>
        <v>1.5999999999999999</v>
      </c>
      <c r="N75" s="675">
        <v>5</v>
      </c>
      <c r="O75" s="688">
        <v>1000</v>
      </c>
      <c r="P75" s="685">
        <v>-3.9</v>
      </c>
      <c r="Q75" s="685">
        <v>-0.4</v>
      </c>
      <c r="R75" s="678">
        <f t="shared" si="20"/>
        <v>1.75</v>
      </c>
    </row>
    <row r="76" spans="1:21" ht="13">
      <c r="A76" s="1377"/>
      <c r="B76" s="675">
        <v>6</v>
      </c>
      <c r="C76" s="688">
        <v>37</v>
      </c>
      <c r="D76" s="677">
        <v>9.9999999999999995E-7</v>
      </c>
      <c r="E76" s="685">
        <v>-1.4</v>
      </c>
      <c r="F76" s="678">
        <f t="shared" si="18"/>
        <v>0.70000049999999991</v>
      </c>
      <c r="H76" s="675">
        <v>6</v>
      </c>
      <c r="I76" s="688">
        <v>80</v>
      </c>
      <c r="J76" s="685">
        <v>-2.6</v>
      </c>
      <c r="K76" s="685">
        <v>1.2</v>
      </c>
      <c r="L76" s="678">
        <f t="shared" si="19"/>
        <v>1.9</v>
      </c>
      <c r="N76" s="675">
        <v>6</v>
      </c>
      <c r="O76" s="688">
        <v>1005</v>
      </c>
      <c r="P76" s="685">
        <v>-3.8</v>
      </c>
      <c r="Q76" s="685">
        <v>-0.5</v>
      </c>
      <c r="R76" s="678">
        <f t="shared" si="20"/>
        <v>1.65</v>
      </c>
    </row>
    <row r="77" spans="1:21" ht="13.5" thickBot="1">
      <c r="A77" s="1378"/>
      <c r="B77" s="689">
        <v>7</v>
      </c>
      <c r="C77" s="694">
        <v>40</v>
      </c>
      <c r="D77" s="690">
        <v>0.1</v>
      </c>
      <c r="E77" s="690">
        <v>-1.7</v>
      </c>
      <c r="F77" s="692">
        <f t="shared" si="18"/>
        <v>0.9</v>
      </c>
      <c r="G77" s="693"/>
      <c r="H77" s="689">
        <v>7</v>
      </c>
      <c r="I77" s="694">
        <v>90</v>
      </c>
      <c r="J77" s="690">
        <v>-3</v>
      </c>
      <c r="K77" s="690">
        <v>1.8</v>
      </c>
      <c r="L77" s="692">
        <f t="shared" si="19"/>
        <v>2.4</v>
      </c>
      <c r="M77" s="693"/>
      <c r="N77" s="689">
        <v>7</v>
      </c>
      <c r="O77" s="694">
        <v>1020</v>
      </c>
      <c r="P77" s="690">
        <v>-3.8</v>
      </c>
      <c r="Q77" s="677">
        <v>9.9999999999999995E-7</v>
      </c>
      <c r="R77" s="692">
        <f t="shared" si="20"/>
        <v>1.9000005</v>
      </c>
    </row>
    <row r="78" spans="1:21" ht="13.5" thickBot="1">
      <c r="A78" s="704"/>
      <c r="B78" s="705"/>
      <c r="C78" s="705"/>
      <c r="D78" s="705"/>
      <c r="E78" s="706"/>
      <c r="F78" s="707"/>
      <c r="G78" s="708"/>
      <c r="H78" s="705"/>
      <c r="I78" s="705"/>
      <c r="J78" s="705"/>
      <c r="K78" s="706"/>
      <c r="L78" s="707"/>
      <c r="O78" s="697"/>
      <c r="P78" s="698"/>
    </row>
    <row r="79" spans="1:21" ht="13" thickBot="1">
      <c r="A79" s="1376">
        <v>8</v>
      </c>
      <c r="B79" s="1379" t="s">
        <v>250</v>
      </c>
      <c r="C79" s="1380"/>
      <c r="D79" s="1380"/>
      <c r="E79" s="1380"/>
      <c r="F79" s="1381"/>
      <c r="G79" s="670"/>
      <c r="H79" s="1379" t="str">
        <f>B79</f>
        <v>KOREKSI GREISINGER 34903051</v>
      </c>
      <c r="I79" s="1380"/>
      <c r="J79" s="1380"/>
      <c r="K79" s="1380"/>
      <c r="L79" s="1381"/>
      <c r="M79" s="670"/>
      <c r="N79" s="1379" t="str">
        <f>H79</f>
        <v>KOREKSI GREISINGER 34903051</v>
      </c>
      <c r="O79" s="1380"/>
      <c r="P79" s="1380"/>
      <c r="Q79" s="1380"/>
      <c r="R79" s="1381"/>
      <c r="T79" s="1353" t="s">
        <v>77</v>
      </c>
      <c r="U79" s="1354"/>
    </row>
    <row r="80" spans="1:21" ht="13.5" thickBot="1">
      <c r="A80" s="1377"/>
      <c r="B80" s="1355" t="s">
        <v>239</v>
      </c>
      <c r="C80" s="1356"/>
      <c r="D80" s="1357" t="s">
        <v>75</v>
      </c>
      <c r="E80" s="1358"/>
      <c r="F80" s="1359" t="s">
        <v>74</v>
      </c>
      <c r="H80" s="1355" t="s">
        <v>243</v>
      </c>
      <c r="I80" s="1356"/>
      <c r="J80" s="1357" t="s">
        <v>75</v>
      </c>
      <c r="K80" s="1358"/>
      <c r="L80" s="1359" t="s">
        <v>74</v>
      </c>
      <c r="N80" s="1355" t="s">
        <v>424</v>
      </c>
      <c r="O80" s="1356"/>
      <c r="P80" s="1357" t="s">
        <v>75</v>
      </c>
      <c r="Q80" s="1358"/>
      <c r="R80" s="1359" t="s">
        <v>74</v>
      </c>
      <c r="T80" s="671" t="s">
        <v>239</v>
      </c>
      <c r="U80" s="672">
        <v>0.3</v>
      </c>
    </row>
    <row r="81" spans="1:21" ht="15" thickBot="1">
      <c r="A81" s="1377"/>
      <c r="B81" s="1364" t="s">
        <v>246</v>
      </c>
      <c r="C81" s="1365"/>
      <c r="D81" s="700">
        <v>2021</v>
      </c>
      <c r="E81" s="700">
        <v>2019</v>
      </c>
      <c r="F81" s="1360"/>
      <c r="H81" s="1366" t="s">
        <v>76</v>
      </c>
      <c r="I81" s="1367"/>
      <c r="J81" s="701">
        <f>D81</f>
        <v>2021</v>
      </c>
      <c r="K81" s="701">
        <f>E81</f>
        <v>2019</v>
      </c>
      <c r="L81" s="1360"/>
      <c r="N81" s="1366" t="s">
        <v>425</v>
      </c>
      <c r="O81" s="1367"/>
      <c r="P81" s="701">
        <f>J81</f>
        <v>2021</v>
      </c>
      <c r="Q81" s="701">
        <f>K81</f>
        <v>2019</v>
      </c>
      <c r="R81" s="1360"/>
      <c r="T81" s="671" t="s">
        <v>76</v>
      </c>
      <c r="U81" s="672">
        <v>2.5</v>
      </c>
    </row>
    <row r="82" spans="1:21" ht="13.5" thickBot="1">
      <c r="A82" s="1377"/>
      <c r="B82" s="675">
        <v>1</v>
      </c>
      <c r="C82" s="711">
        <v>15</v>
      </c>
      <c r="D82" s="709">
        <v>0.1</v>
      </c>
      <c r="E82" s="677">
        <v>9.9999999999999995E-7</v>
      </c>
      <c r="F82" s="703">
        <f t="shared" ref="F82:F88" si="21">0.5*(MAX(D82:E82)-MIN(D82:E82))</f>
        <v>4.9999500000000002E-2</v>
      </c>
      <c r="H82" s="675">
        <v>1</v>
      </c>
      <c r="I82" s="711">
        <v>30</v>
      </c>
      <c r="J82" s="709">
        <v>-4</v>
      </c>
      <c r="K82" s="709">
        <v>-1.4</v>
      </c>
      <c r="L82" s="703">
        <f t="shared" ref="L82:L88" si="22">0.5*(MAX(J82:K82)-MIN(J82:K82))</f>
        <v>1.3</v>
      </c>
      <c r="N82" s="675">
        <v>1</v>
      </c>
      <c r="O82" s="679">
        <v>750</v>
      </c>
      <c r="P82" s="677">
        <v>9.9999999999999995E-7</v>
      </c>
      <c r="Q82" s="677">
        <v>9.9999999999999995E-7</v>
      </c>
      <c r="R82" s="703">
        <f t="shared" ref="R82:R88" si="23">0.5*(MAX(P82:Q82)-MIN(P82:Q82))</f>
        <v>0</v>
      </c>
      <c r="T82" s="681" t="s">
        <v>425</v>
      </c>
      <c r="U82" s="682">
        <v>2.1</v>
      </c>
    </row>
    <row r="83" spans="1:21" ht="13">
      <c r="A83" s="1377"/>
      <c r="B83" s="675">
        <v>2</v>
      </c>
      <c r="C83" s="712">
        <v>20</v>
      </c>
      <c r="D83" s="677">
        <v>9.9999999999999995E-7</v>
      </c>
      <c r="E83" s="709">
        <v>-0.2</v>
      </c>
      <c r="F83" s="678">
        <f>0.5*(MAX(D83:E83)-MIN(D83:E83))</f>
        <v>0.10000050000000001</v>
      </c>
      <c r="H83" s="675">
        <v>2</v>
      </c>
      <c r="I83" s="712">
        <v>40</v>
      </c>
      <c r="J83" s="676">
        <v>-3.8</v>
      </c>
      <c r="K83" s="676">
        <v>-1.2</v>
      </c>
      <c r="L83" s="678">
        <f t="shared" si="22"/>
        <v>1.2999999999999998</v>
      </c>
      <c r="N83" s="675">
        <v>2</v>
      </c>
      <c r="O83" s="683">
        <v>800</v>
      </c>
      <c r="P83" s="677">
        <v>9.9999999999999995E-7</v>
      </c>
      <c r="Q83" s="677">
        <v>9.9999999999999995E-7</v>
      </c>
      <c r="R83" s="678">
        <f t="shared" si="23"/>
        <v>0</v>
      </c>
    </row>
    <row r="84" spans="1:21" ht="13">
      <c r="A84" s="1377"/>
      <c r="B84" s="675">
        <v>3</v>
      </c>
      <c r="C84" s="712">
        <v>25</v>
      </c>
      <c r="D84" s="709">
        <v>-0.1</v>
      </c>
      <c r="E84" s="709">
        <v>-0.4</v>
      </c>
      <c r="F84" s="678">
        <f t="shared" si="21"/>
        <v>0.15000000000000002</v>
      </c>
      <c r="H84" s="675">
        <v>3</v>
      </c>
      <c r="I84" s="712">
        <v>50</v>
      </c>
      <c r="J84" s="676">
        <v>-3.8</v>
      </c>
      <c r="K84" s="676">
        <v>-1.2</v>
      </c>
      <c r="L84" s="678">
        <f t="shared" si="22"/>
        <v>1.2999999999999998</v>
      </c>
      <c r="N84" s="675">
        <v>3</v>
      </c>
      <c r="O84" s="683">
        <v>850</v>
      </c>
      <c r="P84" s="677">
        <v>9.9999999999999995E-7</v>
      </c>
      <c r="Q84" s="677">
        <v>9.9999999999999995E-7</v>
      </c>
      <c r="R84" s="678">
        <f t="shared" si="23"/>
        <v>0</v>
      </c>
    </row>
    <row r="85" spans="1:21" ht="13">
      <c r="A85" s="1377"/>
      <c r="B85" s="675">
        <v>4</v>
      </c>
      <c r="C85" s="713">
        <v>30</v>
      </c>
      <c r="D85" s="709">
        <v>-0.2</v>
      </c>
      <c r="E85" s="709">
        <v>-0.4</v>
      </c>
      <c r="F85" s="678">
        <f t="shared" si="21"/>
        <v>0.1</v>
      </c>
      <c r="H85" s="675">
        <v>4</v>
      </c>
      <c r="I85" s="713">
        <v>60</v>
      </c>
      <c r="J85" s="685">
        <v>-3.9</v>
      </c>
      <c r="K85" s="685">
        <v>-1.1000000000000001</v>
      </c>
      <c r="L85" s="678">
        <f t="shared" si="22"/>
        <v>1.4</v>
      </c>
      <c r="N85" s="675">
        <v>4</v>
      </c>
      <c r="O85" s="688">
        <v>900</v>
      </c>
      <c r="P85" s="686">
        <v>-4.4000000000000004</v>
      </c>
      <c r="Q85" s="677">
        <v>9.9999999999999995E-7</v>
      </c>
      <c r="R85" s="678">
        <f t="shared" si="23"/>
        <v>2.2000005000000002</v>
      </c>
    </row>
    <row r="86" spans="1:21" ht="13">
      <c r="A86" s="1377"/>
      <c r="B86" s="675">
        <v>5</v>
      </c>
      <c r="C86" s="713">
        <v>35</v>
      </c>
      <c r="D86" s="685">
        <v>-0.1</v>
      </c>
      <c r="E86" s="685">
        <v>-0.5</v>
      </c>
      <c r="F86" s="678">
        <f t="shared" si="21"/>
        <v>0.2</v>
      </c>
      <c r="H86" s="675">
        <v>5</v>
      </c>
      <c r="I86" s="713">
        <v>70</v>
      </c>
      <c r="J86" s="685">
        <v>-4.0999999999999996</v>
      </c>
      <c r="K86" s="685">
        <v>-1.2</v>
      </c>
      <c r="L86" s="678">
        <f t="shared" si="22"/>
        <v>1.4499999999999997</v>
      </c>
      <c r="N86" s="675">
        <v>5</v>
      </c>
      <c r="O86" s="688">
        <v>1000</v>
      </c>
      <c r="P86" s="686">
        <v>-3.5</v>
      </c>
      <c r="Q86" s="686">
        <v>0.2</v>
      </c>
      <c r="R86" s="678">
        <f t="shared" si="23"/>
        <v>1.85</v>
      </c>
    </row>
    <row r="87" spans="1:21" ht="13">
      <c r="A87" s="1377"/>
      <c r="B87" s="675">
        <v>6</v>
      </c>
      <c r="C87" s="713">
        <v>37</v>
      </c>
      <c r="D87" s="685">
        <v>-0.1</v>
      </c>
      <c r="E87" s="685">
        <v>-0.5</v>
      </c>
      <c r="F87" s="678">
        <f t="shared" si="21"/>
        <v>0.2</v>
      </c>
      <c r="H87" s="675">
        <v>6</v>
      </c>
      <c r="I87" s="713">
        <v>80</v>
      </c>
      <c r="J87" s="685">
        <v>-4.5</v>
      </c>
      <c r="K87" s="685">
        <v>-1.2</v>
      </c>
      <c r="L87" s="678">
        <f t="shared" si="22"/>
        <v>1.65</v>
      </c>
      <c r="N87" s="675">
        <v>6</v>
      </c>
      <c r="O87" s="688">
        <v>1005</v>
      </c>
      <c r="P87" s="686">
        <v>-3.4</v>
      </c>
      <c r="Q87" s="686">
        <v>0.2</v>
      </c>
      <c r="R87" s="678">
        <f t="shared" si="23"/>
        <v>1.8</v>
      </c>
    </row>
    <row r="88" spans="1:21" ht="13.5" thickBot="1">
      <c r="A88" s="1378"/>
      <c r="B88" s="689">
        <v>7</v>
      </c>
      <c r="C88" s="714">
        <v>40</v>
      </c>
      <c r="D88" s="677">
        <v>9.9999999999999995E-7</v>
      </c>
      <c r="E88" s="690">
        <v>-0.4</v>
      </c>
      <c r="F88" s="692">
        <f t="shared" si="21"/>
        <v>0.2000005</v>
      </c>
      <c r="G88" s="693"/>
      <c r="H88" s="689">
        <v>7</v>
      </c>
      <c r="I88" s="714">
        <v>90</v>
      </c>
      <c r="J88" s="690">
        <v>-4.9000000000000004</v>
      </c>
      <c r="K88" s="690">
        <v>-1.3</v>
      </c>
      <c r="L88" s="692">
        <f t="shared" si="22"/>
        <v>1.8000000000000003</v>
      </c>
      <c r="M88" s="693"/>
      <c r="N88" s="689">
        <v>7</v>
      </c>
      <c r="O88" s="694">
        <v>1020</v>
      </c>
      <c r="P88" s="715">
        <v>-3.4</v>
      </c>
      <c r="Q88" s="677">
        <v>9.9999999999999995E-7</v>
      </c>
      <c r="R88" s="692">
        <f t="shared" si="23"/>
        <v>1.7000005</v>
      </c>
    </row>
    <row r="89" spans="1:21" ht="13.5" thickBot="1">
      <c r="A89" s="704"/>
      <c r="B89" s="705"/>
      <c r="C89" s="705"/>
      <c r="D89" s="705"/>
      <c r="E89" s="706"/>
      <c r="F89" s="716"/>
      <c r="G89" s="708"/>
      <c r="H89" s="705"/>
      <c r="I89" s="705"/>
      <c r="J89" s="705"/>
      <c r="K89" s="706"/>
      <c r="L89" s="716"/>
      <c r="O89" s="670"/>
      <c r="P89" s="698"/>
    </row>
    <row r="90" spans="1:21" ht="13" thickBot="1">
      <c r="A90" s="1376">
        <v>9</v>
      </c>
      <c r="B90" s="1379" t="s">
        <v>249</v>
      </c>
      <c r="C90" s="1380"/>
      <c r="D90" s="1380"/>
      <c r="E90" s="1380"/>
      <c r="F90" s="1381"/>
      <c r="G90" s="670"/>
      <c r="H90" s="1379" t="str">
        <f>B90</f>
        <v>KOREKSI GREISINGER 34904091</v>
      </c>
      <c r="I90" s="1380"/>
      <c r="J90" s="1380"/>
      <c r="K90" s="1380"/>
      <c r="L90" s="1381"/>
      <c r="M90" s="670"/>
      <c r="N90" s="1379" t="str">
        <f>H90</f>
        <v>KOREKSI GREISINGER 34904091</v>
      </c>
      <c r="O90" s="1380"/>
      <c r="P90" s="1380"/>
      <c r="Q90" s="1380"/>
      <c r="R90" s="1381"/>
      <c r="T90" s="1353" t="s">
        <v>77</v>
      </c>
      <c r="U90" s="1354"/>
    </row>
    <row r="91" spans="1:21" ht="13.5" thickBot="1">
      <c r="A91" s="1377"/>
      <c r="B91" s="1355" t="s">
        <v>239</v>
      </c>
      <c r="C91" s="1356"/>
      <c r="D91" s="1357" t="s">
        <v>75</v>
      </c>
      <c r="E91" s="1358"/>
      <c r="F91" s="1359" t="s">
        <v>74</v>
      </c>
      <c r="H91" s="1355" t="s">
        <v>243</v>
      </c>
      <c r="I91" s="1356"/>
      <c r="J91" s="1357" t="s">
        <v>75</v>
      </c>
      <c r="K91" s="1358"/>
      <c r="L91" s="1359" t="s">
        <v>74</v>
      </c>
      <c r="N91" s="1355" t="s">
        <v>424</v>
      </c>
      <c r="O91" s="1356"/>
      <c r="P91" s="1357" t="s">
        <v>75</v>
      </c>
      <c r="Q91" s="1358"/>
      <c r="R91" s="1359" t="s">
        <v>74</v>
      </c>
      <c r="T91" s="671" t="s">
        <v>239</v>
      </c>
      <c r="U91" s="672">
        <v>0.3</v>
      </c>
    </row>
    <row r="92" spans="1:21" ht="15" thickBot="1">
      <c r="A92" s="1377"/>
      <c r="B92" s="1364" t="s">
        <v>246</v>
      </c>
      <c r="C92" s="1365"/>
      <c r="D92" s="700">
        <v>2019</v>
      </c>
      <c r="E92" s="717" t="s">
        <v>62</v>
      </c>
      <c r="F92" s="1360"/>
      <c r="H92" s="1366" t="s">
        <v>76</v>
      </c>
      <c r="I92" s="1367"/>
      <c r="J92" s="701">
        <f>D92</f>
        <v>2019</v>
      </c>
      <c r="K92" s="701" t="str">
        <f>E92</f>
        <v>-</v>
      </c>
      <c r="L92" s="1360"/>
      <c r="N92" s="1366" t="s">
        <v>425</v>
      </c>
      <c r="O92" s="1367"/>
      <c r="P92" s="701">
        <f>J92</f>
        <v>2019</v>
      </c>
      <c r="Q92" s="701" t="str">
        <f>K92</f>
        <v>-</v>
      </c>
      <c r="R92" s="1360"/>
      <c r="T92" s="671" t="s">
        <v>76</v>
      </c>
      <c r="U92" s="672">
        <v>2.4</v>
      </c>
    </row>
    <row r="93" spans="1:21" ht="13.5" thickBot="1">
      <c r="A93" s="1377"/>
      <c r="B93" s="675">
        <v>1</v>
      </c>
      <c r="C93" s="711">
        <v>15</v>
      </c>
      <c r="D93" s="677">
        <v>9.9999999999999995E-7</v>
      </c>
      <c r="E93" s="718" t="s">
        <v>62</v>
      </c>
      <c r="F93" s="703">
        <f t="shared" ref="F93" si="24">0.5*(MAX(D93:E93)-MIN(D93:E93))</f>
        <v>0</v>
      </c>
      <c r="H93" s="675">
        <v>1</v>
      </c>
      <c r="I93" s="711">
        <v>30</v>
      </c>
      <c r="J93" s="702">
        <v>-1.2</v>
      </c>
      <c r="K93" s="718" t="s">
        <v>62</v>
      </c>
      <c r="L93" s="703">
        <f t="shared" ref="L93:L99" si="25">0.5*(MAX(J93:K93)-MIN(J93:K93))</f>
        <v>0</v>
      </c>
      <c r="N93" s="675">
        <v>1</v>
      </c>
      <c r="O93" s="679">
        <v>750</v>
      </c>
      <c r="P93" s="677">
        <v>9.9999999999999995E-7</v>
      </c>
      <c r="Q93" s="680" t="s">
        <v>62</v>
      </c>
      <c r="R93" s="703">
        <f t="shared" ref="R93:R99" si="26">0.5*(MAX(P93:Q93)-MIN(P93:Q93))</f>
        <v>0</v>
      </c>
      <c r="T93" s="681" t="s">
        <v>425</v>
      </c>
      <c r="U93" s="682">
        <v>2.2000000000000002</v>
      </c>
    </row>
    <row r="94" spans="1:21" ht="13">
      <c r="A94" s="1377"/>
      <c r="B94" s="675">
        <v>2</v>
      </c>
      <c r="C94" s="712">
        <v>20</v>
      </c>
      <c r="D94" s="702">
        <v>-0.2</v>
      </c>
      <c r="E94" s="719" t="s">
        <v>62</v>
      </c>
      <c r="F94" s="678">
        <f>0.5*(MAX(D94:E94)-MIN(D94:E94))</f>
        <v>0</v>
      </c>
      <c r="H94" s="675">
        <v>2</v>
      </c>
      <c r="I94" s="712">
        <v>40</v>
      </c>
      <c r="J94" s="702">
        <v>-1</v>
      </c>
      <c r="K94" s="719" t="s">
        <v>62</v>
      </c>
      <c r="L94" s="678">
        <f t="shared" si="25"/>
        <v>0</v>
      </c>
      <c r="N94" s="675">
        <v>2</v>
      </c>
      <c r="O94" s="683">
        <v>800</v>
      </c>
      <c r="P94" s="677">
        <v>9.9999999999999995E-7</v>
      </c>
      <c r="Q94" s="684" t="s">
        <v>62</v>
      </c>
      <c r="R94" s="678">
        <f t="shared" si="26"/>
        <v>0</v>
      </c>
    </row>
    <row r="95" spans="1:21" ht="13">
      <c r="A95" s="1377"/>
      <c r="B95" s="675">
        <v>3</v>
      </c>
      <c r="C95" s="712">
        <v>25</v>
      </c>
      <c r="D95" s="702">
        <v>-0.4</v>
      </c>
      <c r="E95" s="719" t="s">
        <v>62</v>
      </c>
      <c r="F95" s="678">
        <f t="shared" ref="F95:F99" si="27">0.5*(MAX(D95:E95)-MIN(D95:E95))</f>
        <v>0</v>
      </c>
      <c r="H95" s="675">
        <v>3</v>
      </c>
      <c r="I95" s="712">
        <v>50</v>
      </c>
      <c r="J95" s="702">
        <v>-0.9</v>
      </c>
      <c r="K95" s="719" t="s">
        <v>62</v>
      </c>
      <c r="L95" s="678">
        <f t="shared" si="25"/>
        <v>0</v>
      </c>
      <c r="N95" s="675">
        <v>3</v>
      </c>
      <c r="O95" s="683">
        <v>850</v>
      </c>
      <c r="P95" s="677">
        <v>9.9999999999999995E-7</v>
      </c>
      <c r="Q95" s="684" t="s">
        <v>62</v>
      </c>
      <c r="R95" s="678">
        <f t="shared" si="26"/>
        <v>0</v>
      </c>
    </row>
    <row r="96" spans="1:21" ht="13">
      <c r="A96" s="1377"/>
      <c r="B96" s="675">
        <v>4</v>
      </c>
      <c r="C96" s="713">
        <v>30</v>
      </c>
      <c r="D96" s="702">
        <v>-0.5</v>
      </c>
      <c r="E96" s="687" t="s">
        <v>62</v>
      </c>
      <c r="F96" s="678">
        <f t="shared" si="27"/>
        <v>0</v>
      </c>
      <c r="H96" s="675">
        <v>4</v>
      </c>
      <c r="I96" s="713">
        <v>60</v>
      </c>
      <c r="J96" s="702">
        <v>-0.8</v>
      </c>
      <c r="K96" s="687" t="s">
        <v>62</v>
      </c>
      <c r="L96" s="678">
        <f t="shared" si="25"/>
        <v>0</v>
      </c>
      <c r="N96" s="675">
        <v>4</v>
      </c>
      <c r="O96" s="688">
        <v>900</v>
      </c>
      <c r="P96" s="677">
        <v>9.9999999999999995E-7</v>
      </c>
      <c r="Q96" s="686" t="s">
        <v>62</v>
      </c>
      <c r="R96" s="678">
        <f t="shared" si="26"/>
        <v>0</v>
      </c>
    </row>
    <row r="97" spans="1:21" ht="13">
      <c r="A97" s="1377"/>
      <c r="B97" s="675">
        <v>5</v>
      </c>
      <c r="C97" s="713">
        <v>35</v>
      </c>
      <c r="D97" s="702">
        <v>-0.5</v>
      </c>
      <c r="E97" s="687" t="s">
        <v>62</v>
      </c>
      <c r="F97" s="678">
        <f t="shared" si="27"/>
        <v>0</v>
      </c>
      <c r="H97" s="675">
        <v>5</v>
      </c>
      <c r="I97" s="713">
        <v>70</v>
      </c>
      <c r="J97" s="702">
        <v>-0.6</v>
      </c>
      <c r="K97" s="687" t="s">
        <v>62</v>
      </c>
      <c r="L97" s="678">
        <f t="shared" si="25"/>
        <v>0</v>
      </c>
      <c r="N97" s="675">
        <v>5</v>
      </c>
      <c r="O97" s="688">
        <v>1000</v>
      </c>
      <c r="P97" s="686">
        <v>0.2</v>
      </c>
      <c r="Q97" s="686" t="s">
        <v>62</v>
      </c>
      <c r="R97" s="678">
        <f t="shared" si="26"/>
        <v>0</v>
      </c>
    </row>
    <row r="98" spans="1:21" ht="13">
      <c r="A98" s="1377"/>
      <c r="B98" s="675">
        <v>6</v>
      </c>
      <c r="C98" s="713">
        <v>37</v>
      </c>
      <c r="D98" s="702">
        <v>-0.5</v>
      </c>
      <c r="E98" s="687" t="s">
        <v>62</v>
      </c>
      <c r="F98" s="678">
        <f t="shared" si="27"/>
        <v>0</v>
      </c>
      <c r="H98" s="675">
        <v>6</v>
      </c>
      <c r="I98" s="713">
        <v>80</v>
      </c>
      <c r="J98" s="702">
        <v>-0.5</v>
      </c>
      <c r="K98" s="687" t="s">
        <v>62</v>
      </c>
      <c r="L98" s="678">
        <f t="shared" si="25"/>
        <v>0</v>
      </c>
      <c r="N98" s="675">
        <v>6</v>
      </c>
      <c r="O98" s="688">
        <v>1005</v>
      </c>
      <c r="P98" s="686">
        <v>0.2</v>
      </c>
      <c r="Q98" s="686" t="s">
        <v>62</v>
      </c>
      <c r="R98" s="678">
        <f t="shared" si="26"/>
        <v>0</v>
      </c>
    </row>
    <row r="99" spans="1:21" ht="13.5" thickBot="1">
      <c r="A99" s="1378"/>
      <c r="B99" s="689">
        <v>7</v>
      </c>
      <c r="C99" s="714">
        <v>40</v>
      </c>
      <c r="D99" s="720">
        <v>-0.4</v>
      </c>
      <c r="E99" s="691" t="s">
        <v>62</v>
      </c>
      <c r="F99" s="692">
        <f t="shared" si="27"/>
        <v>0</v>
      </c>
      <c r="G99" s="693"/>
      <c r="H99" s="689">
        <v>7</v>
      </c>
      <c r="I99" s="714">
        <v>90</v>
      </c>
      <c r="J99" s="720">
        <v>-0.2</v>
      </c>
      <c r="K99" s="691" t="s">
        <v>62</v>
      </c>
      <c r="L99" s="692">
        <f t="shared" si="25"/>
        <v>0</v>
      </c>
      <c r="M99" s="693"/>
      <c r="N99" s="689">
        <v>7</v>
      </c>
      <c r="O99" s="694">
        <v>1020</v>
      </c>
      <c r="P99" s="677">
        <v>9.9999999999999995E-7</v>
      </c>
      <c r="Q99" s="715" t="s">
        <v>62</v>
      </c>
      <c r="R99" s="692">
        <f t="shared" si="26"/>
        <v>0</v>
      </c>
    </row>
    <row r="100" spans="1:21" ht="13.5" thickBot="1">
      <c r="A100" s="704"/>
      <c r="B100" s="705"/>
      <c r="C100" s="705"/>
      <c r="D100" s="705"/>
      <c r="E100" s="706"/>
      <c r="F100" s="716"/>
      <c r="G100" s="708"/>
      <c r="H100" s="705"/>
      <c r="I100" s="705"/>
      <c r="J100" s="705"/>
      <c r="K100" s="706"/>
      <c r="L100" s="716"/>
      <c r="M100" s="708"/>
      <c r="O100" s="670"/>
      <c r="P100" s="698"/>
    </row>
    <row r="101" spans="1:21" ht="13" thickBot="1">
      <c r="A101" s="1376">
        <v>10</v>
      </c>
      <c r="B101" s="1379" t="s">
        <v>248</v>
      </c>
      <c r="C101" s="1380"/>
      <c r="D101" s="1380"/>
      <c r="E101" s="1380"/>
      <c r="F101" s="1381"/>
      <c r="G101" s="670"/>
      <c r="H101" s="1382" t="str">
        <f>B101</f>
        <v>KOREKSI Sekonic HE-21.000669</v>
      </c>
      <c r="I101" s="1383"/>
      <c r="J101" s="1383"/>
      <c r="K101" s="1383"/>
      <c r="L101" s="1384"/>
      <c r="M101" s="670"/>
      <c r="N101" s="1382" t="str">
        <f>H101</f>
        <v>KOREKSI Sekonic HE-21.000669</v>
      </c>
      <c r="O101" s="1383"/>
      <c r="P101" s="1383"/>
      <c r="Q101" s="1383"/>
      <c r="R101" s="1384"/>
      <c r="T101" s="1353" t="s">
        <v>77</v>
      </c>
      <c r="U101" s="1354"/>
    </row>
    <row r="102" spans="1:21" ht="13.5" thickBot="1">
      <c r="A102" s="1377"/>
      <c r="B102" s="1355" t="s">
        <v>239</v>
      </c>
      <c r="C102" s="1356"/>
      <c r="D102" s="1357" t="s">
        <v>75</v>
      </c>
      <c r="E102" s="1358"/>
      <c r="F102" s="1359" t="s">
        <v>74</v>
      </c>
      <c r="H102" s="1355" t="s">
        <v>243</v>
      </c>
      <c r="I102" s="1356"/>
      <c r="J102" s="1357" t="s">
        <v>75</v>
      </c>
      <c r="K102" s="1358"/>
      <c r="L102" s="1359" t="s">
        <v>74</v>
      </c>
      <c r="N102" s="1355" t="s">
        <v>424</v>
      </c>
      <c r="O102" s="1356"/>
      <c r="P102" s="1357" t="s">
        <v>75</v>
      </c>
      <c r="Q102" s="1358"/>
      <c r="R102" s="1359" t="s">
        <v>74</v>
      </c>
      <c r="T102" s="671" t="s">
        <v>239</v>
      </c>
      <c r="U102" s="672">
        <v>0.3</v>
      </c>
    </row>
    <row r="103" spans="1:21" ht="15" thickBot="1">
      <c r="A103" s="1377"/>
      <c r="B103" s="1364" t="s">
        <v>246</v>
      </c>
      <c r="C103" s="1365"/>
      <c r="D103" s="700">
        <v>2019</v>
      </c>
      <c r="E103" s="700">
        <v>2016</v>
      </c>
      <c r="F103" s="1360"/>
      <c r="H103" s="1366" t="s">
        <v>76</v>
      </c>
      <c r="I103" s="1367"/>
      <c r="J103" s="701">
        <f>D103</f>
        <v>2019</v>
      </c>
      <c r="K103" s="701">
        <f>E103</f>
        <v>2016</v>
      </c>
      <c r="L103" s="1360"/>
      <c r="N103" s="1366" t="s">
        <v>425</v>
      </c>
      <c r="O103" s="1367"/>
      <c r="P103" s="701">
        <f>J103</f>
        <v>2019</v>
      </c>
      <c r="Q103" s="701">
        <f>K103</f>
        <v>2016</v>
      </c>
      <c r="R103" s="1360"/>
      <c r="T103" s="671" t="s">
        <v>76</v>
      </c>
      <c r="U103" s="672">
        <v>1.5</v>
      </c>
    </row>
    <row r="104" spans="1:21" ht="13.5" thickBot="1">
      <c r="A104" s="1377"/>
      <c r="B104" s="675">
        <v>1</v>
      </c>
      <c r="C104" s="711">
        <v>15</v>
      </c>
      <c r="D104" s="709">
        <v>0.2</v>
      </c>
      <c r="E104" s="709">
        <v>0.2</v>
      </c>
      <c r="F104" s="703">
        <f t="shared" ref="F104:F110" si="28">0.5*(MAX(D104:E104)-MIN(D104:E104))</f>
        <v>0</v>
      </c>
      <c r="H104" s="675">
        <v>1</v>
      </c>
      <c r="I104" s="721">
        <v>30</v>
      </c>
      <c r="J104" s="709">
        <v>-2.9</v>
      </c>
      <c r="K104" s="709">
        <v>-5.8</v>
      </c>
      <c r="L104" s="703">
        <f t="shared" ref="L104:L107" si="29">0.5*(MAX(J104:K104)-MIN(J104:K104))</f>
        <v>1.45</v>
      </c>
      <c r="N104" s="675">
        <v>1</v>
      </c>
      <c r="O104" s="679">
        <v>750</v>
      </c>
      <c r="P104" s="680" t="s">
        <v>62</v>
      </c>
      <c r="Q104" s="680" t="s">
        <v>62</v>
      </c>
      <c r="R104" s="703">
        <f t="shared" ref="R104:R107" si="30">0.5*(MAX(P104:Q104)-MIN(P104:Q104))</f>
        <v>0</v>
      </c>
      <c r="T104" s="681" t="s">
        <v>425</v>
      </c>
      <c r="U104" s="682">
        <v>0</v>
      </c>
    </row>
    <row r="105" spans="1:21" ht="13">
      <c r="A105" s="1377"/>
      <c r="B105" s="675">
        <v>2</v>
      </c>
      <c r="C105" s="712">
        <v>20</v>
      </c>
      <c r="D105" s="676">
        <v>0.2</v>
      </c>
      <c r="E105" s="676">
        <v>-0.7</v>
      </c>
      <c r="F105" s="678">
        <f t="shared" si="28"/>
        <v>0.44999999999999996</v>
      </c>
      <c r="H105" s="675">
        <v>2</v>
      </c>
      <c r="I105" s="722">
        <v>40</v>
      </c>
      <c r="J105" s="676">
        <v>-3.3</v>
      </c>
      <c r="K105" s="676">
        <v>-6.4</v>
      </c>
      <c r="L105" s="678">
        <f t="shared" si="29"/>
        <v>1.5500000000000003</v>
      </c>
      <c r="N105" s="675">
        <v>2</v>
      </c>
      <c r="O105" s="683">
        <v>800</v>
      </c>
      <c r="P105" s="684" t="s">
        <v>62</v>
      </c>
      <c r="Q105" s="684" t="s">
        <v>62</v>
      </c>
      <c r="R105" s="678">
        <f t="shared" si="30"/>
        <v>0</v>
      </c>
    </row>
    <row r="106" spans="1:21" ht="13">
      <c r="A106" s="1377"/>
      <c r="B106" s="675">
        <v>3</v>
      </c>
      <c r="C106" s="712">
        <v>25</v>
      </c>
      <c r="D106" s="676">
        <v>0.1</v>
      </c>
      <c r="E106" s="676">
        <v>-0.5</v>
      </c>
      <c r="F106" s="678">
        <f t="shared" si="28"/>
        <v>0.3</v>
      </c>
      <c r="H106" s="675">
        <v>3</v>
      </c>
      <c r="I106" s="722">
        <v>50</v>
      </c>
      <c r="J106" s="676">
        <v>-3.1</v>
      </c>
      <c r="K106" s="676">
        <v>-6.1</v>
      </c>
      <c r="L106" s="678">
        <f t="shared" si="29"/>
        <v>1.4999999999999998</v>
      </c>
      <c r="N106" s="675">
        <v>3</v>
      </c>
      <c r="O106" s="683">
        <v>850</v>
      </c>
      <c r="P106" s="684" t="s">
        <v>62</v>
      </c>
      <c r="Q106" s="684" t="s">
        <v>62</v>
      </c>
      <c r="R106" s="678">
        <f t="shared" si="30"/>
        <v>0</v>
      </c>
    </row>
    <row r="107" spans="1:21" ht="13">
      <c r="A107" s="1377"/>
      <c r="B107" s="675">
        <v>4</v>
      </c>
      <c r="C107" s="713">
        <v>30</v>
      </c>
      <c r="D107" s="685">
        <v>0.1</v>
      </c>
      <c r="E107" s="685">
        <v>0.2</v>
      </c>
      <c r="F107" s="678">
        <f t="shared" si="28"/>
        <v>0.05</v>
      </c>
      <c r="H107" s="675">
        <v>4</v>
      </c>
      <c r="I107" s="723">
        <v>60</v>
      </c>
      <c r="J107" s="685">
        <v>-2.1</v>
      </c>
      <c r="K107" s="685">
        <v>-5.6</v>
      </c>
      <c r="L107" s="678">
        <f t="shared" si="29"/>
        <v>1.7499999999999998</v>
      </c>
      <c r="N107" s="675">
        <v>4</v>
      </c>
      <c r="O107" s="688">
        <v>900</v>
      </c>
      <c r="P107" s="686" t="s">
        <v>62</v>
      </c>
      <c r="Q107" s="686" t="s">
        <v>62</v>
      </c>
      <c r="R107" s="678">
        <f t="shared" si="30"/>
        <v>0</v>
      </c>
    </row>
    <row r="108" spans="1:21" ht="13">
      <c r="A108" s="1377"/>
      <c r="B108" s="675">
        <v>5</v>
      </c>
      <c r="C108" s="713">
        <v>35</v>
      </c>
      <c r="D108" s="685">
        <v>0.2</v>
      </c>
      <c r="E108" s="685">
        <v>0.8</v>
      </c>
      <c r="F108" s="678">
        <f t="shared" si="28"/>
        <v>0.30000000000000004</v>
      </c>
      <c r="H108" s="675">
        <v>5</v>
      </c>
      <c r="I108" s="723">
        <v>70</v>
      </c>
      <c r="J108" s="685">
        <v>-0.3</v>
      </c>
      <c r="K108" s="685">
        <v>-5.0999999999999996</v>
      </c>
      <c r="L108" s="678">
        <f>0.5*(MAX(J108:K108)-MIN(J108:K108))</f>
        <v>2.4</v>
      </c>
      <c r="N108" s="675">
        <v>5</v>
      </c>
      <c r="O108" s="688">
        <v>1000</v>
      </c>
      <c r="P108" s="686" t="s">
        <v>62</v>
      </c>
      <c r="Q108" s="686" t="s">
        <v>62</v>
      </c>
      <c r="R108" s="678">
        <f>0.5*(MAX(P108:Q108)-MIN(P108:Q108))</f>
        <v>0</v>
      </c>
    </row>
    <row r="109" spans="1:21" ht="13">
      <c r="A109" s="1377"/>
      <c r="B109" s="675">
        <v>6</v>
      </c>
      <c r="C109" s="713">
        <v>37</v>
      </c>
      <c r="D109" s="685">
        <v>0.2</v>
      </c>
      <c r="E109" s="685">
        <v>0.4</v>
      </c>
      <c r="F109" s="678">
        <f t="shared" si="28"/>
        <v>0.1</v>
      </c>
      <c r="H109" s="675">
        <v>6</v>
      </c>
      <c r="I109" s="723">
        <v>80</v>
      </c>
      <c r="J109" s="685">
        <v>2.2000000000000002</v>
      </c>
      <c r="K109" s="685">
        <v>-4.7</v>
      </c>
      <c r="L109" s="678">
        <f t="shared" ref="L109:L110" si="31">0.5*(MAX(J109:K109)-MIN(J109:K109))</f>
        <v>3.45</v>
      </c>
      <c r="N109" s="675">
        <v>6</v>
      </c>
      <c r="O109" s="688">
        <v>1005</v>
      </c>
      <c r="P109" s="686" t="s">
        <v>62</v>
      </c>
      <c r="Q109" s="686" t="s">
        <v>62</v>
      </c>
      <c r="R109" s="678">
        <f t="shared" ref="R109:R110" si="32">0.5*(MAX(P109:Q109)-MIN(P109:Q109))</f>
        <v>0</v>
      </c>
    </row>
    <row r="110" spans="1:21" ht="13.5" thickBot="1">
      <c r="A110" s="1378"/>
      <c r="B110" s="689">
        <v>7</v>
      </c>
      <c r="C110" s="724">
        <v>40</v>
      </c>
      <c r="D110" s="725">
        <v>0.2</v>
      </c>
      <c r="E110" s="677">
        <v>9.9999999999999995E-7</v>
      </c>
      <c r="F110" s="692">
        <f t="shared" si="28"/>
        <v>9.9999500000000005E-2</v>
      </c>
      <c r="G110" s="693"/>
      <c r="H110" s="689">
        <v>7</v>
      </c>
      <c r="I110" s="724">
        <v>90</v>
      </c>
      <c r="J110" s="726">
        <v>5.4</v>
      </c>
      <c r="K110" s="726">
        <v>0</v>
      </c>
      <c r="L110" s="692">
        <f t="shared" si="31"/>
        <v>2.7</v>
      </c>
      <c r="M110" s="693"/>
      <c r="N110" s="689">
        <v>7</v>
      </c>
      <c r="O110" s="694">
        <v>1020</v>
      </c>
      <c r="P110" s="715" t="s">
        <v>62</v>
      </c>
      <c r="Q110" s="715" t="s">
        <v>62</v>
      </c>
      <c r="R110" s="692">
        <f t="shared" si="32"/>
        <v>0</v>
      </c>
    </row>
    <row r="111" spans="1:21" ht="13.5" thickBot="1">
      <c r="A111" s="704"/>
      <c r="B111" s="705"/>
      <c r="C111" s="705"/>
      <c r="D111" s="705"/>
      <c r="E111" s="706"/>
      <c r="F111" s="716"/>
      <c r="G111" s="708"/>
      <c r="H111" s="705"/>
      <c r="I111" s="705"/>
      <c r="J111" s="705"/>
      <c r="K111" s="706"/>
      <c r="L111" s="716"/>
      <c r="M111" s="708"/>
      <c r="O111" s="670"/>
      <c r="P111" s="698"/>
    </row>
    <row r="112" spans="1:21" ht="13" thickBot="1">
      <c r="A112" s="1376">
        <v>11</v>
      </c>
      <c r="B112" s="1379" t="s">
        <v>247</v>
      </c>
      <c r="C112" s="1380"/>
      <c r="D112" s="1380"/>
      <c r="E112" s="1380"/>
      <c r="F112" s="1381"/>
      <c r="G112" s="670"/>
      <c r="H112" s="1382" t="str">
        <f>B112</f>
        <v>KOREKSI Sekonic HE-21.000670</v>
      </c>
      <c r="I112" s="1383"/>
      <c r="J112" s="1383"/>
      <c r="K112" s="1383"/>
      <c r="L112" s="1384"/>
      <c r="M112" s="670"/>
      <c r="N112" s="1382" t="str">
        <f>H112</f>
        <v>KOREKSI Sekonic HE-21.000670</v>
      </c>
      <c r="O112" s="1383"/>
      <c r="P112" s="1383"/>
      <c r="Q112" s="1383"/>
      <c r="R112" s="1384"/>
      <c r="T112" s="1353" t="s">
        <v>77</v>
      </c>
      <c r="U112" s="1354"/>
    </row>
    <row r="113" spans="1:21" ht="13.5" thickBot="1">
      <c r="A113" s="1377"/>
      <c r="B113" s="1355" t="s">
        <v>239</v>
      </c>
      <c r="C113" s="1356"/>
      <c r="D113" s="1357" t="s">
        <v>75</v>
      </c>
      <c r="E113" s="1358"/>
      <c r="F113" s="1359" t="s">
        <v>74</v>
      </c>
      <c r="H113" s="1355" t="s">
        <v>243</v>
      </c>
      <c r="I113" s="1356"/>
      <c r="J113" s="1357" t="s">
        <v>75</v>
      </c>
      <c r="K113" s="1358"/>
      <c r="L113" s="1359" t="s">
        <v>74</v>
      </c>
      <c r="N113" s="1355" t="s">
        <v>424</v>
      </c>
      <c r="O113" s="1356"/>
      <c r="P113" s="1357" t="s">
        <v>75</v>
      </c>
      <c r="Q113" s="1358"/>
      <c r="R113" s="1359" t="s">
        <v>74</v>
      </c>
      <c r="T113" s="671" t="s">
        <v>239</v>
      </c>
      <c r="U113" s="672">
        <v>0.3</v>
      </c>
    </row>
    <row r="114" spans="1:21" ht="15" thickBot="1">
      <c r="A114" s="1377"/>
      <c r="B114" s="1364" t="s">
        <v>246</v>
      </c>
      <c r="C114" s="1365"/>
      <c r="D114" s="700">
        <v>2020</v>
      </c>
      <c r="E114" s="717">
        <v>2016</v>
      </c>
      <c r="F114" s="1360"/>
      <c r="H114" s="1366" t="s">
        <v>76</v>
      </c>
      <c r="I114" s="1367"/>
      <c r="J114" s="701">
        <f>D114</f>
        <v>2020</v>
      </c>
      <c r="K114" s="701">
        <f>E114</f>
        <v>2016</v>
      </c>
      <c r="L114" s="1360"/>
      <c r="N114" s="1366" t="s">
        <v>425</v>
      </c>
      <c r="O114" s="1367"/>
      <c r="P114" s="701">
        <f>J114</f>
        <v>2020</v>
      </c>
      <c r="Q114" s="701">
        <f>K114</f>
        <v>2016</v>
      </c>
      <c r="R114" s="1360"/>
      <c r="T114" s="671" t="s">
        <v>76</v>
      </c>
      <c r="U114" s="672">
        <v>1.8</v>
      </c>
    </row>
    <row r="115" spans="1:21" ht="13.5" thickBot="1">
      <c r="A115" s="1377"/>
      <c r="B115" s="675">
        <v>1</v>
      </c>
      <c r="C115" s="679">
        <v>15</v>
      </c>
      <c r="D115" s="709">
        <v>0.3</v>
      </c>
      <c r="E115" s="709">
        <v>0.3</v>
      </c>
      <c r="F115" s="703">
        <f t="shared" ref="F115:F121" si="33">0.5*(MAX(D115:E115)-MIN(D115:E115))</f>
        <v>0</v>
      </c>
      <c r="H115" s="675">
        <v>1</v>
      </c>
      <c r="I115" s="679">
        <v>30</v>
      </c>
      <c r="J115" s="709">
        <v>-5.2</v>
      </c>
      <c r="K115" s="709">
        <v>-6.4</v>
      </c>
      <c r="L115" s="703">
        <f t="shared" ref="L115:L121" si="34">0.5*(MAX(J115:K115)-MIN(J115:K115))</f>
        <v>0.60000000000000009</v>
      </c>
      <c r="N115" s="675">
        <v>1</v>
      </c>
      <c r="O115" s="679">
        <v>750</v>
      </c>
      <c r="P115" s="680" t="s">
        <v>62</v>
      </c>
      <c r="Q115" s="718" t="s">
        <v>62</v>
      </c>
      <c r="R115" s="703">
        <f t="shared" ref="R115:R121" si="35">0.5*(MAX(P115:Q115)-MIN(P115:Q115))</f>
        <v>0</v>
      </c>
      <c r="T115" s="681" t="s">
        <v>425</v>
      </c>
      <c r="U115" s="682">
        <v>0</v>
      </c>
    </row>
    <row r="116" spans="1:21" ht="13">
      <c r="A116" s="1377"/>
      <c r="B116" s="675">
        <v>2</v>
      </c>
      <c r="C116" s="683">
        <v>20</v>
      </c>
      <c r="D116" s="676">
        <v>0.4</v>
      </c>
      <c r="E116" s="676">
        <v>0.5</v>
      </c>
      <c r="F116" s="678">
        <f t="shared" si="33"/>
        <v>4.9999999999999989E-2</v>
      </c>
      <c r="H116" s="675">
        <v>2</v>
      </c>
      <c r="I116" s="683">
        <v>40</v>
      </c>
      <c r="J116" s="676">
        <v>-5.5</v>
      </c>
      <c r="K116" s="676">
        <v>-5.9</v>
      </c>
      <c r="L116" s="678">
        <f t="shared" si="34"/>
        <v>0.20000000000000018</v>
      </c>
      <c r="N116" s="675">
        <v>2</v>
      </c>
      <c r="O116" s="683">
        <v>800</v>
      </c>
      <c r="P116" s="684" t="s">
        <v>62</v>
      </c>
      <c r="Q116" s="719" t="s">
        <v>62</v>
      </c>
      <c r="R116" s="678">
        <f t="shared" si="35"/>
        <v>0</v>
      </c>
    </row>
    <row r="117" spans="1:21" ht="13">
      <c r="A117" s="1377"/>
      <c r="B117" s="675">
        <v>3</v>
      </c>
      <c r="C117" s="683">
        <v>25</v>
      </c>
      <c r="D117" s="676">
        <v>0.4</v>
      </c>
      <c r="E117" s="676">
        <v>0.5</v>
      </c>
      <c r="F117" s="678">
        <f t="shared" si="33"/>
        <v>4.9999999999999989E-2</v>
      </c>
      <c r="H117" s="675">
        <v>3</v>
      </c>
      <c r="I117" s="683">
        <v>50</v>
      </c>
      <c r="J117" s="676">
        <v>-5.5</v>
      </c>
      <c r="K117" s="676">
        <v>-5.6</v>
      </c>
      <c r="L117" s="678">
        <f t="shared" si="34"/>
        <v>4.9999999999999822E-2</v>
      </c>
      <c r="N117" s="675">
        <v>3</v>
      </c>
      <c r="O117" s="683">
        <v>850</v>
      </c>
      <c r="P117" s="684" t="s">
        <v>62</v>
      </c>
      <c r="Q117" s="719" t="s">
        <v>62</v>
      </c>
      <c r="R117" s="678">
        <f t="shared" si="35"/>
        <v>0</v>
      </c>
    </row>
    <row r="118" spans="1:21" ht="13">
      <c r="A118" s="1377"/>
      <c r="B118" s="675">
        <v>4</v>
      </c>
      <c r="C118" s="688">
        <v>30</v>
      </c>
      <c r="D118" s="685">
        <v>0.5</v>
      </c>
      <c r="E118" s="685">
        <v>0.4</v>
      </c>
      <c r="F118" s="678">
        <f t="shared" si="33"/>
        <v>4.9999999999999989E-2</v>
      </c>
      <c r="H118" s="675">
        <v>4</v>
      </c>
      <c r="I118" s="688">
        <v>60</v>
      </c>
      <c r="J118" s="685">
        <v>-4.8</v>
      </c>
      <c r="K118" s="685">
        <v>-4.5</v>
      </c>
      <c r="L118" s="678">
        <f t="shared" si="34"/>
        <v>0.14999999999999991</v>
      </c>
      <c r="N118" s="675">
        <v>4</v>
      </c>
      <c r="O118" s="688">
        <v>900</v>
      </c>
      <c r="P118" s="686" t="s">
        <v>62</v>
      </c>
      <c r="Q118" s="687" t="s">
        <v>62</v>
      </c>
      <c r="R118" s="678">
        <f t="shared" si="35"/>
        <v>0</v>
      </c>
    </row>
    <row r="119" spans="1:21" ht="13">
      <c r="A119" s="1377"/>
      <c r="B119" s="675">
        <v>5</v>
      </c>
      <c r="C119" s="688">
        <v>35</v>
      </c>
      <c r="D119" s="685">
        <v>0.5</v>
      </c>
      <c r="E119" s="685">
        <v>0.4</v>
      </c>
      <c r="F119" s="678">
        <f t="shared" si="33"/>
        <v>4.9999999999999989E-2</v>
      </c>
      <c r="H119" s="675">
        <v>5</v>
      </c>
      <c r="I119" s="688">
        <v>70</v>
      </c>
      <c r="J119" s="685">
        <v>-3.4</v>
      </c>
      <c r="K119" s="685">
        <v>-1.7</v>
      </c>
      <c r="L119" s="678">
        <f t="shared" si="34"/>
        <v>0.85</v>
      </c>
      <c r="N119" s="675">
        <v>5</v>
      </c>
      <c r="O119" s="688">
        <v>1000</v>
      </c>
      <c r="P119" s="686" t="s">
        <v>62</v>
      </c>
      <c r="Q119" s="687" t="s">
        <v>62</v>
      </c>
      <c r="R119" s="678">
        <f t="shared" si="35"/>
        <v>0</v>
      </c>
    </row>
    <row r="120" spans="1:21" ht="13">
      <c r="A120" s="1377"/>
      <c r="B120" s="675">
        <v>6</v>
      </c>
      <c r="C120" s="688">
        <v>37</v>
      </c>
      <c r="D120" s="685">
        <v>0.5</v>
      </c>
      <c r="E120" s="685">
        <v>0.5</v>
      </c>
      <c r="F120" s="678">
        <f t="shared" si="33"/>
        <v>0</v>
      </c>
      <c r="H120" s="675">
        <v>6</v>
      </c>
      <c r="I120" s="688">
        <v>80</v>
      </c>
      <c r="J120" s="685">
        <v>-1.4</v>
      </c>
      <c r="K120" s="685">
        <v>2.6</v>
      </c>
      <c r="L120" s="678">
        <f t="shared" si="34"/>
        <v>2</v>
      </c>
      <c r="N120" s="675">
        <v>6</v>
      </c>
      <c r="O120" s="688">
        <v>1005</v>
      </c>
      <c r="P120" s="686" t="s">
        <v>62</v>
      </c>
      <c r="Q120" s="687" t="s">
        <v>62</v>
      </c>
      <c r="R120" s="678">
        <f t="shared" si="35"/>
        <v>0</v>
      </c>
    </row>
    <row r="121" spans="1:21" ht="13.5" thickBot="1">
      <c r="A121" s="1378"/>
      <c r="B121" s="689">
        <v>7</v>
      </c>
      <c r="C121" s="726">
        <v>40</v>
      </c>
      <c r="D121" s="727">
        <v>0.5</v>
      </c>
      <c r="E121" s="677">
        <v>9.9999999999999995E-7</v>
      </c>
      <c r="F121" s="692">
        <f t="shared" si="33"/>
        <v>0.24999950000000001</v>
      </c>
      <c r="G121" s="693"/>
      <c r="H121" s="689">
        <v>7</v>
      </c>
      <c r="I121" s="726">
        <v>90</v>
      </c>
      <c r="J121" s="727">
        <v>1.3</v>
      </c>
      <c r="K121" s="727">
        <v>0</v>
      </c>
      <c r="L121" s="692">
        <f t="shared" si="34"/>
        <v>0.65</v>
      </c>
      <c r="M121" s="693"/>
      <c r="N121" s="689">
        <v>7</v>
      </c>
      <c r="O121" s="694">
        <v>1020</v>
      </c>
      <c r="P121" s="695" t="s">
        <v>62</v>
      </c>
      <c r="Q121" s="691" t="s">
        <v>62</v>
      </c>
      <c r="R121" s="692">
        <f t="shared" si="35"/>
        <v>0</v>
      </c>
    </row>
    <row r="122" spans="1:21" ht="13.5" thickBot="1">
      <c r="A122" s="704"/>
      <c r="B122" s="705"/>
      <c r="C122" s="705"/>
      <c r="D122" s="705"/>
      <c r="E122" s="706"/>
      <c r="F122" s="716"/>
      <c r="G122" s="708"/>
      <c r="H122" s="705"/>
      <c r="I122" s="705"/>
      <c r="J122" s="705"/>
      <c r="K122" s="706"/>
      <c r="L122" s="716"/>
      <c r="O122" s="670"/>
      <c r="P122" s="698"/>
    </row>
    <row r="123" spans="1:21" ht="13" thickBot="1">
      <c r="A123" s="1376">
        <v>12</v>
      </c>
      <c r="B123" s="1379" t="s">
        <v>426</v>
      </c>
      <c r="C123" s="1380"/>
      <c r="D123" s="1380"/>
      <c r="E123" s="1380"/>
      <c r="F123" s="1381"/>
      <c r="G123" s="670"/>
      <c r="H123" s="1379" t="str">
        <f>B123</f>
        <v>KOREKSI EXTECH A.100586</v>
      </c>
      <c r="I123" s="1380"/>
      <c r="J123" s="1380"/>
      <c r="K123" s="1380"/>
      <c r="L123" s="1381"/>
      <c r="M123" s="670"/>
      <c r="N123" s="1379" t="str">
        <f>H123</f>
        <v>KOREKSI EXTECH A.100586</v>
      </c>
      <c r="O123" s="1380"/>
      <c r="P123" s="1380"/>
      <c r="Q123" s="1380"/>
      <c r="R123" s="1381"/>
      <c r="T123" s="1353" t="s">
        <v>77</v>
      </c>
      <c r="U123" s="1354"/>
    </row>
    <row r="124" spans="1:21" ht="13.5" thickBot="1">
      <c r="A124" s="1377"/>
      <c r="B124" s="1355" t="s">
        <v>239</v>
      </c>
      <c r="C124" s="1356"/>
      <c r="D124" s="1357" t="s">
        <v>75</v>
      </c>
      <c r="E124" s="1358"/>
      <c r="F124" s="1359" t="s">
        <v>74</v>
      </c>
      <c r="H124" s="1355" t="s">
        <v>243</v>
      </c>
      <c r="I124" s="1356"/>
      <c r="J124" s="1357" t="s">
        <v>75</v>
      </c>
      <c r="K124" s="1358"/>
      <c r="L124" s="1359" t="s">
        <v>74</v>
      </c>
      <c r="N124" s="1355" t="s">
        <v>424</v>
      </c>
      <c r="O124" s="1356"/>
      <c r="P124" s="1357" t="s">
        <v>75</v>
      </c>
      <c r="Q124" s="1358"/>
      <c r="R124" s="1359" t="s">
        <v>74</v>
      </c>
      <c r="T124" s="671" t="s">
        <v>239</v>
      </c>
      <c r="U124" s="672">
        <v>0.3</v>
      </c>
    </row>
    <row r="125" spans="1:21" ht="15" thickBot="1">
      <c r="A125" s="1377"/>
      <c r="B125" s="1364" t="s">
        <v>246</v>
      </c>
      <c r="C125" s="1365"/>
      <c r="D125" s="700">
        <v>2020</v>
      </c>
      <c r="E125" s="717" t="s">
        <v>62</v>
      </c>
      <c r="F125" s="1360"/>
      <c r="H125" s="1366" t="s">
        <v>76</v>
      </c>
      <c r="I125" s="1367"/>
      <c r="J125" s="701">
        <f>D125</f>
        <v>2020</v>
      </c>
      <c r="K125" s="701" t="str">
        <f>E125</f>
        <v>-</v>
      </c>
      <c r="L125" s="1360"/>
      <c r="N125" s="1366" t="s">
        <v>425</v>
      </c>
      <c r="O125" s="1367"/>
      <c r="P125" s="701">
        <f>J125</f>
        <v>2020</v>
      </c>
      <c r="Q125" s="701" t="str">
        <f>K125</f>
        <v>-</v>
      </c>
      <c r="R125" s="1360"/>
      <c r="T125" s="671" t="s">
        <v>76</v>
      </c>
      <c r="U125" s="672">
        <v>2</v>
      </c>
    </row>
    <row r="126" spans="1:21" ht="13.5" thickBot="1">
      <c r="A126" s="1377"/>
      <c r="B126" s="675">
        <v>1</v>
      </c>
      <c r="C126" s="679">
        <v>15</v>
      </c>
      <c r="D126" s="677">
        <v>9.9999999999999995E-7</v>
      </c>
      <c r="E126" s="718" t="s">
        <v>62</v>
      </c>
      <c r="F126" s="703">
        <f t="shared" ref="F126:F132" si="36">0.5*(MAX(D126:E126)-MIN(D126:E126))</f>
        <v>0</v>
      </c>
      <c r="H126" s="675">
        <v>1</v>
      </c>
      <c r="I126" s="679">
        <v>30</v>
      </c>
      <c r="J126" s="709">
        <v>-0.4</v>
      </c>
      <c r="K126" s="718" t="s">
        <v>62</v>
      </c>
      <c r="L126" s="703">
        <f t="shared" ref="L126:L132" si="37">0.5*(MAX(J126:K126)-MIN(J126:K126))</f>
        <v>0</v>
      </c>
      <c r="N126" s="675">
        <v>1</v>
      </c>
      <c r="O126" s="683">
        <v>800</v>
      </c>
      <c r="P126" s="684">
        <v>-0.4</v>
      </c>
      <c r="Q126" s="718" t="s">
        <v>62</v>
      </c>
      <c r="R126" s="703">
        <f t="shared" ref="R126:R132" si="38">0.5*(MAX(P126:Q126)-MIN(P126:Q126))</f>
        <v>0</v>
      </c>
      <c r="T126" s="681" t="s">
        <v>425</v>
      </c>
      <c r="U126" s="682">
        <v>2.4</v>
      </c>
    </row>
    <row r="127" spans="1:21" ht="13">
      <c r="A127" s="1377"/>
      <c r="B127" s="675">
        <v>2</v>
      </c>
      <c r="C127" s="683">
        <v>20</v>
      </c>
      <c r="D127" s="677">
        <v>9.9999999999999995E-7</v>
      </c>
      <c r="E127" s="719" t="s">
        <v>62</v>
      </c>
      <c r="F127" s="678">
        <f t="shared" si="36"/>
        <v>0</v>
      </c>
      <c r="H127" s="675">
        <v>2</v>
      </c>
      <c r="I127" s="683">
        <v>40</v>
      </c>
      <c r="J127" s="676">
        <v>-0.1</v>
      </c>
      <c r="K127" s="719" t="s">
        <v>62</v>
      </c>
      <c r="L127" s="678">
        <f t="shared" si="37"/>
        <v>0</v>
      </c>
      <c r="N127" s="675">
        <v>2</v>
      </c>
      <c r="O127" s="683">
        <v>850</v>
      </c>
      <c r="P127" s="684">
        <v>-0.5</v>
      </c>
      <c r="Q127" s="719" t="s">
        <v>62</v>
      </c>
      <c r="R127" s="678">
        <f t="shared" si="38"/>
        <v>0</v>
      </c>
    </row>
    <row r="128" spans="1:21" ht="13">
      <c r="A128" s="1377"/>
      <c r="B128" s="675">
        <v>3</v>
      </c>
      <c r="C128" s="683">
        <v>25</v>
      </c>
      <c r="D128" s="677">
        <v>9.9999999999999995E-7</v>
      </c>
      <c r="E128" s="719" t="s">
        <v>62</v>
      </c>
      <c r="F128" s="678">
        <f t="shared" si="36"/>
        <v>0</v>
      </c>
      <c r="H128" s="675">
        <v>3</v>
      </c>
      <c r="I128" s="683">
        <v>50</v>
      </c>
      <c r="J128" s="677">
        <v>9.9999999999999995E-7</v>
      </c>
      <c r="K128" s="719" t="s">
        <v>62</v>
      </c>
      <c r="L128" s="678">
        <f t="shared" si="37"/>
        <v>0</v>
      </c>
      <c r="N128" s="675">
        <v>3</v>
      </c>
      <c r="O128" s="688">
        <v>900</v>
      </c>
      <c r="P128" s="686">
        <v>-0.6</v>
      </c>
      <c r="Q128" s="719" t="s">
        <v>62</v>
      </c>
      <c r="R128" s="678">
        <f t="shared" si="38"/>
        <v>0</v>
      </c>
    </row>
    <row r="129" spans="1:21" ht="13">
      <c r="A129" s="1377"/>
      <c r="B129" s="675">
        <v>4</v>
      </c>
      <c r="C129" s="688">
        <v>30</v>
      </c>
      <c r="D129" s="685">
        <v>-0.1</v>
      </c>
      <c r="E129" s="687" t="s">
        <v>62</v>
      </c>
      <c r="F129" s="678">
        <f t="shared" si="36"/>
        <v>0</v>
      </c>
      <c r="H129" s="675">
        <v>4</v>
      </c>
      <c r="I129" s="688">
        <v>60</v>
      </c>
      <c r="J129" s="677">
        <v>9.9999999999999995E-7</v>
      </c>
      <c r="K129" s="687" t="s">
        <v>62</v>
      </c>
      <c r="L129" s="678">
        <f t="shared" si="37"/>
        <v>0</v>
      </c>
      <c r="N129" s="675">
        <v>4</v>
      </c>
      <c r="O129" s="688">
        <v>950</v>
      </c>
      <c r="P129" s="686">
        <v>-0.7</v>
      </c>
      <c r="Q129" s="687" t="s">
        <v>62</v>
      </c>
      <c r="R129" s="678">
        <f t="shared" si="38"/>
        <v>0</v>
      </c>
    </row>
    <row r="130" spans="1:21" ht="13">
      <c r="A130" s="1377"/>
      <c r="B130" s="675">
        <v>5</v>
      </c>
      <c r="C130" s="688">
        <v>35</v>
      </c>
      <c r="D130" s="685">
        <v>-0.2</v>
      </c>
      <c r="E130" s="687" t="s">
        <v>62</v>
      </c>
      <c r="F130" s="678">
        <f t="shared" si="36"/>
        <v>0</v>
      </c>
      <c r="H130" s="675">
        <v>5</v>
      </c>
      <c r="I130" s="688">
        <v>70</v>
      </c>
      <c r="J130" s="685">
        <v>-0.1</v>
      </c>
      <c r="K130" s="687" t="s">
        <v>62</v>
      </c>
      <c r="L130" s="678">
        <f t="shared" si="37"/>
        <v>0</v>
      </c>
      <c r="N130" s="675">
        <v>5</v>
      </c>
      <c r="O130" s="688">
        <v>1000</v>
      </c>
      <c r="P130" s="686">
        <v>-0.8</v>
      </c>
      <c r="Q130" s="687" t="s">
        <v>62</v>
      </c>
      <c r="R130" s="678">
        <f t="shared" si="38"/>
        <v>0</v>
      </c>
    </row>
    <row r="131" spans="1:21" ht="13.5" thickBot="1">
      <c r="A131" s="1377"/>
      <c r="B131" s="675">
        <v>6</v>
      </c>
      <c r="C131" s="688">
        <v>37</v>
      </c>
      <c r="D131" s="685">
        <v>-0.3</v>
      </c>
      <c r="E131" s="687" t="s">
        <v>62</v>
      </c>
      <c r="F131" s="678">
        <f t="shared" si="36"/>
        <v>0</v>
      </c>
      <c r="H131" s="675">
        <v>6</v>
      </c>
      <c r="I131" s="688">
        <v>80</v>
      </c>
      <c r="J131" s="685">
        <v>-0.5</v>
      </c>
      <c r="K131" s="687" t="s">
        <v>62</v>
      </c>
      <c r="L131" s="678">
        <f t="shared" si="37"/>
        <v>0</v>
      </c>
      <c r="N131" s="675">
        <v>6</v>
      </c>
      <c r="O131" s="694">
        <v>1005</v>
      </c>
      <c r="P131" s="695">
        <v>-0.8</v>
      </c>
      <c r="Q131" s="687" t="s">
        <v>62</v>
      </c>
      <c r="R131" s="678">
        <f t="shared" si="38"/>
        <v>0</v>
      </c>
    </row>
    <row r="132" spans="1:21" ht="13.5" thickBot="1">
      <c r="A132" s="1378"/>
      <c r="B132" s="689">
        <v>7</v>
      </c>
      <c r="C132" s="726">
        <v>40</v>
      </c>
      <c r="D132" s="690">
        <v>-0.4</v>
      </c>
      <c r="E132" s="691" t="s">
        <v>62</v>
      </c>
      <c r="F132" s="692">
        <f t="shared" si="36"/>
        <v>0</v>
      </c>
      <c r="G132" s="693"/>
      <c r="H132" s="689">
        <v>7</v>
      </c>
      <c r="I132" s="726">
        <v>90</v>
      </c>
      <c r="J132" s="690">
        <v>-0.9</v>
      </c>
      <c r="K132" s="691" t="s">
        <v>62</v>
      </c>
      <c r="L132" s="692">
        <f t="shared" si="37"/>
        <v>0</v>
      </c>
      <c r="M132" s="693"/>
      <c r="N132" s="689">
        <v>7</v>
      </c>
      <c r="O132" s="694">
        <v>1020</v>
      </c>
      <c r="P132" s="677">
        <v>9.9999999999999995E-7</v>
      </c>
      <c r="Q132" s="691" t="s">
        <v>62</v>
      </c>
      <c r="R132" s="692">
        <f t="shared" si="38"/>
        <v>0</v>
      </c>
    </row>
    <row r="133" spans="1:21" ht="13" thickBot="1">
      <c r="A133" s="728"/>
      <c r="C133" s="729"/>
      <c r="D133" s="730"/>
      <c r="E133" s="731"/>
      <c r="F133" s="425"/>
      <c r="I133" s="729"/>
      <c r="J133" s="730"/>
      <c r="K133" s="731"/>
      <c r="L133" s="425"/>
      <c r="O133" s="730"/>
      <c r="P133" s="732"/>
      <c r="Q133" s="731"/>
      <c r="R133" s="425"/>
    </row>
    <row r="134" spans="1:21" ht="13" thickBot="1">
      <c r="A134" s="1376">
        <v>13</v>
      </c>
      <c r="B134" s="1379" t="s">
        <v>427</v>
      </c>
      <c r="C134" s="1380"/>
      <c r="D134" s="1380"/>
      <c r="E134" s="1380"/>
      <c r="F134" s="1381"/>
      <c r="G134" s="670"/>
      <c r="H134" s="1379" t="str">
        <f>B134</f>
        <v>KOREKSI EXTECH A.100605</v>
      </c>
      <c r="I134" s="1380"/>
      <c r="J134" s="1380"/>
      <c r="K134" s="1380"/>
      <c r="L134" s="1381"/>
      <c r="M134" s="670"/>
      <c r="N134" s="1379" t="str">
        <f>H134</f>
        <v>KOREKSI EXTECH A.100605</v>
      </c>
      <c r="O134" s="1380"/>
      <c r="P134" s="1380"/>
      <c r="Q134" s="1380"/>
      <c r="R134" s="1381"/>
      <c r="T134" s="1353" t="s">
        <v>77</v>
      </c>
      <c r="U134" s="1354"/>
    </row>
    <row r="135" spans="1:21" ht="13.5" thickBot="1">
      <c r="A135" s="1377"/>
      <c r="B135" s="1355" t="s">
        <v>239</v>
      </c>
      <c r="C135" s="1356"/>
      <c r="D135" s="1357" t="s">
        <v>75</v>
      </c>
      <c r="E135" s="1358"/>
      <c r="F135" s="1359" t="s">
        <v>74</v>
      </c>
      <c r="H135" s="1355" t="s">
        <v>243</v>
      </c>
      <c r="I135" s="1356"/>
      <c r="J135" s="1357" t="s">
        <v>75</v>
      </c>
      <c r="K135" s="1358"/>
      <c r="L135" s="1359" t="s">
        <v>74</v>
      </c>
      <c r="N135" s="1355" t="s">
        <v>424</v>
      </c>
      <c r="O135" s="1356"/>
      <c r="P135" s="1357" t="s">
        <v>75</v>
      </c>
      <c r="Q135" s="1358"/>
      <c r="R135" s="1359" t="s">
        <v>74</v>
      </c>
      <c r="T135" s="671" t="s">
        <v>239</v>
      </c>
      <c r="U135" s="672">
        <v>0.3</v>
      </c>
    </row>
    <row r="136" spans="1:21" ht="15" thickBot="1">
      <c r="A136" s="1377"/>
      <c r="B136" s="1364" t="s">
        <v>246</v>
      </c>
      <c r="C136" s="1365"/>
      <c r="D136" s="700">
        <v>2020</v>
      </c>
      <c r="E136" s="717" t="s">
        <v>62</v>
      </c>
      <c r="F136" s="1360"/>
      <c r="H136" s="1366" t="s">
        <v>76</v>
      </c>
      <c r="I136" s="1367"/>
      <c r="J136" s="701">
        <f>D136</f>
        <v>2020</v>
      </c>
      <c r="K136" s="701" t="str">
        <f>E136</f>
        <v>-</v>
      </c>
      <c r="L136" s="1360"/>
      <c r="N136" s="1366" t="s">
        <v>425</v>
      </c>
      <c r="O136" s="1367"/>
      <c r="P136" s="701">
        <f>J136</f>
        <v>2020</v>
      </c>
      <c r="Q136" s="701" t="str">
        <f>K136</f>
        <v>-</v>
      </c>
      <c r="R136" s="1360"/>
      <c r="T136" s="671" t="s">
        <v>76</v>
      </c>
      <c r="U136" s="672">
        <v>2.7</v>
      </c>
    </row>
    <row r="137" spans="1:21" ht="13.5" thickBot="1">
      <c r="A137" s="1377"/>
      <c r="B137" s="675">
        <v>1</v>
      </c>
      <c r="C137" s="679">
        <v>15</v>
      </c>
      <c r="D137" s="709">
        <v>-0.7</v>
      </c>
      <c r="E137" s="718" t="s">
        <v>62</v>
      </c>
      <c r="F137" s="703">
        <f t="shared" ref="F137:F143" si="39">0.5*(MAX(D137:E137)-MIN(D137:E137))</f>
        <v>0</v>
      </c>
      <c r="H137" s="675">
        <v>1</v>
      </c>
      <c r="I137" s="679">
        <v>35</v>
      </c>
      <c r="J137" s="709">
        <v>-1.4</v>
      </c>
      <c r="K137" s="718" t="s">
        <v>62</v>
      </c>
      <c r="L137" s="703">
        <f t="shared" ref="L137:L143" si="40">0.5*(MAX(J137:K137)-MIN(J137:K137))</f>
        <v>0</v>
      </c>
      <c r="N137" s="675">
        <v>1</v>
      </c>
      <c r="O137" s="683">
        <v>960</v>
      </c>
      <c r="P137" s="684">
        <v>0.9</v>
      </c>
      <c r="Q137" s="718" t="s">
        <v>62</v>
      </c>
      <c r="R137" s="703">
        <f t="shared" ref="R137:R143" si="41">0.5*(MAX(P137:Q137)-MIN(P137:Q137))</f>
        <v>0</v>
      </c>
      <c r="T137" s="681" t="s">
        <v>425</v>
      </c>
      <c r="U137" s="682">
        <v>1.5</v>
      </c>
    </row>
    <row r="138" spans="1:21" ht="13">
      <c r="A138" s="1377"/>
      <c r="B138" s="675">
        <v>2</v>
      </c>
      <c r="C138" s="683">
        <v>20</v>
      </c>
      <c r="D138" s="676">
        <v>-0.4</v>
      </c>
      <c r="E138" s="719" t="s">
        <v>62</v>
      </c>
      <c r="F138" s="678">
        <f t="shared" si="39"/>
        <v>0</v>
      </c>
      <c r="H138" s="675">
        <v>2</v>
      </c>
      <c r="I138" s="683">
        <v>40</v>
      </c>
      <c r="J138" s="676">
        <v>-1.3</v>
      </c>
      <c r="K138" s="719" t="s">
        <v>62</v>
      </c>
      <c r="L138" s="678">
        <f t="shared" si="40"/>
        <v>0</v>
      </c>
      <c r="N138" s="675">
        <v>2</v>
      </c>
      <c r="O138" s="683">
        <v>970</v>
      </c>
      <c r="P138" s="684">
        <v>1</v>
      </c>
      <c r="Q138" s="719" t="s">
        <v>62</v>
      </c>
      <c r="R138" s="678">
        <f t="shared" si="41"/>
        <v>0</v>
      </c>
    </row>
    <row r="139" spans="1:21" ht="13">
      <c r="A139" s="1377"/>
      <c r="B139" s="675">
        <v>3</v>
      </c>
      <c r="C139" s="683">
        <v>25</v>
      </c>
      <c r="D139" s="676">
        <v>-0.2</v>
      </c>
      <c r="E139" s="719" t="s">
        <v>62</v>
      </c>
      <c r="F139" s="678">
        <f t="shared" si="39"/>
        <v>0</v>
      </c>
      <c r="H139" s="675">
        <v>3</v>
      </c>
      <c r="I139" s="683">
        <v>50</v>
      </c>
      <c r="J139" s="676">
        <v>-1.3</v>
      </c>
      <c r="K139" s="719" t="s">
        <v>62</v>
      </c>
      <c r="L139" s="678">
        <f t="shared" si="40"/>
        <v>0</v>
      </c>
      <c r="N139" s="675">
        <v>3</v>
      </c>
      <c r="O139" s="688">
        <v>980</v>
      </c>
      <c r="P139" s="686">
        <v>1</v>
      </c>
      <c r="Q139" s="719" t="s">
        <v>62</v>
      </c>
      <c r="R139" s="678">
        <f t="shared" si="41"/>
        <v>0</v>
      </c>
    </row>
    <row r="140" spans="1:21" ht="13">
      <c r="A140" s="1377"/>
      <c r="B140" s="675">
        <v>4</v>
      </c>
      <c r="C140" s="688">
        <v>30</v>
      </c>
      <c r="D140" s="685">
        <v>0.1</v>
      </c>
      <c r="E140" s="687" t="s">
        <v>62</v>
      </c>
      <c r="F140" s="678">
        <f t="shared" si="39"/>
        <v>0</v>
      </c>
      <c r="H140" s="675">
        <v>4</v>
      </c>
      <c r="I140" s="688">
        <v>60</v>
      </c>
      <c r="J140" s="685">
        <v>-1.5</v>
      </c>
      <c r="K140" s="687" t="s">
        <v>62</v>
      </c>
      <c r="L140" s="678">
        <f t="shared" si="40"/>
        <v>0</v>
      </c>
      <c r="N140" s="675">
        <v>4</v>
      </c>
      <c r="O140" s="688">
        <v>990</v>
      </c>
      <c r="P140" s="686">
        <v>1.1000000000000001</v>
      </c>
      <c r="Q140" s="687" t="s">
        <v>62</v>
      </c>
      <c r="R140" s="678">
        <f t="shared" si="41"/>
        <v>0</v>
      </c>
    </row>
    <row r="141" spans="1:21" ht="13">
      <c r="A141" s="1377"/>
      <c r="B141" s="675">
        <v>5</v>
      </c>
      <c r="C141" s="688">
        <v>35</v>
      </c>
      <c r="D141" s="685">
        <v>0.3</v>
      </c>
      <c r="E141" s="687" t="s">
        <v>62</v>
      </c>
      <c r="F141" s="678">
        <f t="shared" si="39"/>
        <v>0</v>
      </c>
      <c r="H141" s="675">
        <v>5</v>
      </c>
      <c r="I141" s="688">
        <v>70</v>
      </c>
      <c r="J141" s="685">
        <v>-1.9</v>
      </c>
      <c r="K141" s="687" t="s">
        <v>62</v>
      </c>
      <c r="L141" s="678">
        <f t="shared" si="40"/>
        <v>0</v>
      </c>
      <c r="N141" s="675">
        <v>5</v>
      </c>
      <c r="O141" s="688">
        <v>1000</v>
      </c>
      <c r="P141" s="686">
        <v>1.1000000000000001</v>
      </c>
      <c r="Q141" s="687" t="s">
        <v>62</v>
      </c>
      <c r="R141" s="678">
        <f t="shared" si="41"/>
        <v>0</v>
      </c>
    </row>
    <row r="142" spans="1:21" ht="13.5" thickBot="1">
      <c r="A142" s="1377"/>
      <c r="B142" s="675">
        <v>6</v>
      </c>
      <c r="C142" s="688">
        <v>37</v>
      </c>
      <c r="D142" s="685">
        <v>0.4</v>
      </c>
      <c r="E142" s="687" t="s">
        <v>62</v>
      </c>
      <c r="F142" s="678">
        <f t="shared" si="39"/>
        <v>0</v>
      </c>
      <c r="H142" s="675">
        <v>6</v>
      </c>
      <c r="I142" s="688">
        <v>80</v>
      </c>
      <c r="J142" s="685">
        <v>-2.5</v>
      </c>
      <c r="K142" s="687" t="s">
        <v>62</v>
      </c>
      <c r="L142" s="678">
        <f t="shared" si="40"/>
        <v>0</v>
      </c>
      <c r="N142" s="675">
        <v>6</v>
      </c>
      <c r="O142" s="694">
        <v>1005</v>
      </c>
      <c r="P142" s="695">
        <v>1.1000000000000001</v>
      </c>
      <c r="Q142" s="687" t="s">
        <v>62</v>
      </c>
      <c r="R142" s="678">
        <f t="shared" si="41"/>
        <v>0</v>
      </c>
    </row>
    <row r="143" spans="1:21" ht="13.5" thickBot="1">
      <c r="A143" s="1378"/>
      <c r="B143" s="689">
        <v>7</v>
      </c>
      <c r="C143" s="726">
        <v>40</v>
      </c>
      <c r="D143" s="690">
        <v>0.5</v>
      </c>
      <c r="E143" s="691" t="s">
        <v>62</v>
      </c>
      <c r="F143" s="692">
        <f t="shared" si="39"/>
        <v>0</v>
      </c>
      <c r="G143" s="693"/>
      <c r="H143" s="689">
        <v>7</v>
      </c>
      <c r="I143" s="726">
        <v>90</v>
      </c>
      <c r="J143" s="690">
        <v>-3.2</v>
      </c>
      <c r="K143" s="691" t="s">
        <v>62</v>
      </c>
      <c r="L143" s="692">
        <f t="shared" si="40"/>
        <v>0</v>
      </c>
      <c r="M143" s="693"/>
      <c r="N143" s="689">
        <v>7</v>
      </c>
      <c r="O143" s="694">
        <v>1020</v>
      </c>
      <c r="P143" s="677">
        <v>9.9999999999999995E-7</v>
      </c>
      <c r="Q143" s="691" t="s">
        <v>62</v>
      </c>
      <c r="R143" s="692">
        <f t="shared" si="41"/>
        <v>0</v>
      </c>
    </row>
    <row r="144" spans="1:21" ht="13" thickBot="1">
      <c r="A144" s="728"/>
      <c r="C144" s="729"/>
      <c r="D144" s="730"/>
      <c r="E144" s="731"/>
      <c r="F144" s="425"/>
      <c r="I144" s="729"/>
      <c r="J144" s="730"/>
      <c r="K144" s="731"/>
      <c r="L144" s="425"/>
      <c r="O144" s="730"/>
      <c r="P144" s="732"/>
      <c r="Q144" s="731"/>
      <c r="R144" s="425"/>
    </row>
    <row r="145" spans="1:21" ht="13" thickBot="1">
      <c r="A145" s="1376">
        <v>14</v>
      </c>
      <c r="B145" s="1379" t="s">
        <v>428</v>
      </c>
      <c r="C145" s="1380"/>
      <c r="D145" s="1380"/>
      <c r="E145" s="1380"/>
      <c r="F145" s="1381"/>
      <c r="G145" s="670"/>
      <c r="H145" s="1379" t="str">
        <f>B145</f>
        <v>KOREKSI EXTECH A.100609</v>
      </c>
      <c r="I145" s="1380"/>
      <c r="J145" s="1380"/>
      <c r="K145" s="1380"/>
      <c r="L145" s="1381"/>
      <c r="M145" s="670"/>
      <c r="N145" s="1379" t="str">
        <f>H145</f>
        <v>KOREKSI EXTECH A.100609</v>
      </c>
      <c r="O145" s="1380"/>
      <c r="P145" s="1380"/>
      <c r="Q145" s="1380"/>
      <c r="R145" s="1381"/>
      <c r="T145" s="1353" t="s">
        <v>77</v>
      </c>
      <c r="U145" s="1354"/>
    </row>
    <row r="146" spans="1:21" ht="13.5" thickBot="1">
      <c r="A146" s="1377"/>
      <c r="B146" s="1355" t="s">
        <v>239</v>
      </c>
      <c r="C146" s="1356"/>
      <c r="D146" s="1357" t="s">
        <v>75</v>
      </c>
      <c r="E146" s="1358"/>
      <c r="F146" s="1359" t="s">
        <v>74</v>
      </c>
      <c r="H146" s="1355" t="s">
        <v>243</v>
      </c>
      <c r="I146" s="1356"/>
      <c r="J146" s="1357" t="s">
        <v>75</v>
      </c>
      <c r="K146" s="1358"/>
      <c r="L146" s="1359" t="s">
        <v>74</v>
      </c>
      <c r="N146" s="1355" t="s">
        <v>424</v>
      </c>
      <c r="O146" s="1356"/>
      <c r="P146" s="1357" t="s">
        <v>75</v>
      </c>
      <c r="Q146" s="1358"/>
      <c r="R146" s="1359" t="s">
        <v>74</v>
      </c>
      <c r="T146" s="671" t="s">
        <v>239</v>
      </c>
      <c r="U146" s="672">
        <v>0.4</v>
      </c>
    </row>
    <row r="147" spans="1:21" ht="15" thickBot="1">
      <c r="A147" s="1377"/>
      <c r="B147" s="1364" t="s">
        <v>246</v>
      </c>
      <c r="C147" s="1365"/>
      <c r="D147" s="700">
        <v>2020</v>
      </c>
      <c r="E147" s="717" t="s">
        <v>62</v>
      </c>
      <c r="F147" s="1360"/>
      <c r="H147" s="1366" t="s">
        <v>76</v>
      </c>
      <c r="I147" s="1367"/>
      <c r="J147" s="701">
        <f>D147</f>
        <v>2020</v>
      </c>
      <c r="K147" s="701" t="str">
        <f>E147</f>
        <v>-</v>
      </c>
      <c r="L147" s="1360"/>
      <c r="N147" s="1366" t="s">
        <v>425</v>
      </c>
      <c r="O147" s="1367"/>
      <c r="P147" s="701">
        <f>J147</f>
        <v>2020</v>
      </c>
      <c r="Q147" s="701" t="str">
        <f>K147</f>
        <v>-</v>
      </c>
      <c r="R147" s="1360"/>
      <c r="T147" s="671" t="s">
        <v>76</v>
      </c>
      <c r="U147" s="672">
        <v>2.2000000000000002</v>
      </c>
    </row>
    <row r="148" spans="1:21" ht="13.5" thickBot="1">
      <c r="A148" s="1377"/>
      <c r="B148" s="675">
        <v>1</v>
      </c>
      <c r="C148" s="679">
        <v>15</v>
      </c>
      <c r="D148" s="709">
        <v>-0.2</v>
      </c>
      <c r="E148" s="718" t="s">
        <v>62</v>
      </c>
      <c r="F148" s="703">
        <f t="shared" ref="F148:F154" si="42">0.5*(MAX(D148:E148)-MIN(D148:E148))</f>
        <v>0</v>
      </c>
      <c r="H148" s="675">
        <v>1</v>
      </c>
      <c r="I148" s="679">
        <v>35</v>
      </c>
      <c r="J148" s="709">
        <v>0.6</v>
      </c>
      <c r="K148" s="718" t="s">
        <v>62</v>
      </c>
      <c r="L148" s="703">
        <f t="shared" ref="L148:L154" si="43">0.5*(MAX(J148:K148)-MIN(J148:K148))</f>
        <v>0</v>
      </c>
      <c r="N148" s="675">
        <v>1</v>
      </c>
      <c r="O148" s="683">
        <v>960</v>
      </c>
      <c r="P148" s="684">
        <v>0.9</v>
      </c>
      <c r="Q148" s="718" t="s">
        <v>62</v>
      </c>
      <c r="R148" s="703">
        <f t="shared" ref="R148:R154" si="44">0.5*(MAX(P148:Q148)-MIN(P148:Q148))</f>
        <v>0</v>
      </c>
      <c r="T148" s="681" t="s">
        <v>425</v>
      </c>
      <c r="U148" s="682">
        <v>1.5</v>
      </c>
    </row>
    <row r="149" spans="1:21" ht="13">
      <c r="A149" s="1377"/>
      <c r="B149" s="675">
        <v>2</v>
      </c>
      <c r="C149" s="683">
        <v>20</v>
      </c>
      <c r="D149" s="676">
        <v>-0.1</v>
      </c>
      <c r="E149" s="719" t="s">
        <v>62</v>
      </c>
      <c r="F149" s="678">
        <f t="shared" si="42"/>
        <v>0</v>
      </c>
      <c r="H149" s="675">
        <v>2</v>
      </c>
      <c r="I149" s="683">
        <v>40</v>
      </c>
      <c r="J149" s="676">
        <v>0.3</v>
      </c>
      <c r="K149" s="719" t="s">
        <v>62</v>
      </c>
      <c r="L149" s="678">
        <f t="shared" si="43"/>
        <v>0</v>
      </c>
      <c r="N149" s="675">
        <v>2</v>
      </c>
      <c r="O149" s="683">
        <v>970</v>
      </c>
      <c r="P149" s="684">
        <v>1</v>
      </c>
      <c r="Q149" s="719" t="s">
        <v>62</v>
      </c>
      <c r="R149" s="678">
        <f t="shared" si="44"/>
        <v>0</v>
      </c>
    </row>
    <row r="150" spans="1:21" ht="13">
      <c r="A150" s="1377"/>
      <c r="B150" s="675">
        <v>3</v>
      </c>
      <c r="C150" s="683">
        <v>25</v>
      </c>
      <c r="D150" s="676">
        <v>-0.1</v>
      </c>
      <c r="E150" s="719" t="s">
        <v>62</v>
      </c>
      <c r="F150" s="678">
        <f t="shared" si="42"/>
        <v>0</v>
      </c>
      <c r="H150" s="675">
        <v>3</v>
      </c>
      <c r="I150" s="683">
        <v>50</v>
      </c>
      <c r="J150" s="676">
        <v>-0.2</v>
      </c>
      <c r="K150" s="719" t="s">
        <v>62</v>
      </c>
      <c r="L150" s="678">
        <f t="shared" si="43"/>
        <v>0</v>
      </c>
      <c r="N150" s="675">
        <v>3</v>
      </c>
      <c r="O150" s="688">
        <v>980</v>
      </c>
      <c r="P150" s="686">
        <v>1</v>
      </c>
      <c r="Q150" s="719" t="s">
        <v>62</v>
      </c>
      <c r="R150" s="678">
        <f t="shared" si="44"/>
        <v>0</v>
      </c>
    </row>
    <row r="151" spans="1:21" ht="13">
      <c r="A151" s="1377"/>
      <c r="B151" s="675">
        <v>4</v>
      </c>
      <c r="C151" s="688">
        <v>30</v>
      </c>
      <c r="D151" s="685">
        <v>-0.3</v>
      </c>
      <c r="E151" s="687" t="s">
        <v>62</v>
      </c>
      <c r="F151" s="678">
        <f t="shared" si="42"/>
        <v>0</v>
      </c>
      <c r="H151" s="675">
        <v>4</v>
      </c>
      <c r="I151" s="688">
        <v>60</v>
      </c>
      <c r="J151" s="685">
        <v>-0.6</v>
      </c>
      <c r="K151" s="687" t="s">
        <v>62</v>
      </c>
      <c r="L151" s="678">
        <f t="shared" si="43"/>
        <v>0</v>
      </c>
      <c r="N151" s="675">
        <v>4</v>
      </c>
      <c r="O151" s="688">
        <v>990</v>
      </c>
      <c r="P151" s="686">
        <v>1.1000000000000001</v>
      </c>
      <c r="Q151" s="687" t="s">
        <v>62</v>
      </c>
      <c r="R151" s="678">
        <f t="shared" si="44"/>
        <v>0</v>
      </c>
    </row>
    <row r="152" spans="1:21" ht="13">
      <c r="A152" s="1377"/>
      <c r="B152" s="675">
        <v>5</v>
      </c>
      <c r="C152" s="688">
        <v>35</v>
      </c>
      <c r="D152" s="685">
        <v>-0.6</v>
      </c>
      <c r="E152" s="687" t="s">
        <v>62</v>
      </c>
      <c r="F152" s="678">
        <f t="shared" si="42"/>
        <v>0</v>
      </c>
      <c r="H152" s="675">
        <v>5</v>
      </c>
      <c r="I152" s="688">
        <v>70</v>
      </c>
      <c r="J152" s="685">
        <v>-0.8</v>
      </c>
      <c r="K152" s="687" t="s">
        <v>62</v>
      </c>
      <c r="L152" s="678">
        <f t="shared" si="43"/>
        <v>0</v>
      </c>
      <c r="N152" s="675">
        <v>5</v>
      </c>
      <c r="O152" s="688">
        <v>1000</v>
      </c>
      <c r="P152" s="686">
        <v>1.1000000000000001</v>
      </c>
      <c r="Q152" s="687" t="s">
        <v>62</v>
      </c>
      <c r="R152" s="678">
        <f t="shared" si="44"/>
        <v>0</v>
      </c>
    </row>
    <row r="153" spans="1:21" ht="13.5" thickBot="1">
      <c r="A153" s="1377"/>
      <c r="B153" s="675">
        <v>6</v>
      </c>
      <c r="C153" s="688">
        <v>37</v>
      </c>
      <c r="D153" s="685">
        <v>-0.8</v>
      </c>
      <c r="E153" s="687" t="s">
        <v>62</v>
      </c>
      <c r="F153" s="678">
        <f t="shared" si="42"/>
        <v>0</v>
      </c>
      <c r="H153" s="675">
        <v>6</v>
      </c>
      <c r="I153" s="688">
        <v>80</v>
      </c>
      <c r="J153" s="685">
        <v>-0.9</v>
      </c>
      <c r="K153" s="687" t="s">
        <v>62</v>
      </c>
      <c r="L153" s="678">
        <f t="shared" si="43"/>
        <v>0</v>
      </c>
      <c r="N153" s="675">
        <v>6</v>
      </c>
      <c r="O153" s="694">
        <v>1005</v>
      </c>
      <c r="P153" s="695">
        <v>1.1000000000000001</v>
      </c>
      <c r="Q153" s="687" t="s">
        <v>62</v>
      </c>
      <c r="R153" s="678">
        <f t="shared" si="44"/>
        <v>0</v>
      </c>
    </row>
    <row r="154" spans="1:21" ht="13.5" thickBot="1">
      <c r="A154" s="1378"/>
      <c r="B154" s="689">
        <v>7</v>
      </c>
      <c r="C154" s="726">
        <v>40</v>
      </c>
      <c r="D154" s="690">
        <v>-1.1000000000000001</v>
      </c>
      <c r="E154" s="691" t="s">
        <v>62</v>
      </c>
      <c r="F154" s="692">
        <f t="shared" si="42"/>
        <v>0</v>
      </c>
      <c r="G154" s="693"/>
      <c r="H154" s="689">
        <v>7</v>
      </c>
      <c r="I154" s="726">
        <v>90</v>
      </c>
      <c r="J154" s="690">
        <v>-0.8</v>
      </c>
      <c r="K154" s="691" t="s">
        <v>62</v>
      </c>
      <c r="L154" s="692">
        <f t="shared" si="43"/>
        <v>0</v>
      </c>
      <c r="M154" s="693"/>
      <c r="N154" s="689">
        <v>7</v>
      </c>
      <c r="O154" s="694">
        <v>1020</v>
      </c>
      <c r="P154" s="677">
        <v>9.9999999999999995E-7</v>
      </c>
      <c r="Q154" s="691" t="s">
        <v>62</v>
      </c>
      <c r="R154" s="692">
        <f t="shared" si="44"/>
        <v>0</v>
      </c>
    </row>
    <row r="155" spans="1:21" ht="13" thickBot="1">
      <c r="A155" s="728"/>
      <c r="C155" s="729"/>
      <c r="D155" s="730"/>
      <c r="E155" s="731"/>
      <c r="F155" s="425"/>
      <c r="I155" s="729"/>
      <c r="J155" s="730"/>
      <c r="K155" s="731"/>
      <c r="L155" s="425"/>
      <c r="O155" s="730"/>
      <c r="P155" s="732"/>
      <c r="Q155" s="731"/>
      <c r="R155" s="425"/>
    </row>
    <row r="156" spans="1:21" ht="13" thickBot="1">
      <c r="A156" s="1376">
        <v>15</v>
      </c>
      <c r="B156" s="1379" t="s">
        <v>429</v>
      </c>
      <c r="C156" s="1380"/>
      <c r="D156" s="1380"/>
      <c r="E156" s="1380"/>
      <c r="F156" s="1381"/>
      <c r="G156" s="670"/>
      <c r="H156" s="1379" t="str">
        <f>B156</f>
        <v>KOREKSI EXTECH A.100611</v>
      </c>
      <c r="I156" s="1380"/>
      <c r="J156" s="1380"/>
      <c r="K156" s="1380"/>
      <c r="L156" s="1381"/>
      <c r="M156" s="670"/>
      <c r="N156" s="1379" t="str">
        <f>H156</f>
        <v>KOREKSI EXTECH A.100611</v>
      </c>
      <c r="O156" s="1380"/>
      <c r="P156" s="1380"/>
      <c r="Q156" s="1380"/>
      <c r="R156" s="1381"/>
      <c r="T156" s="1353" t="s">
        <v>77</v>
      </c>
      <c r="U156" s="1354"/>
    </row>
    <row r="157" spans="1:21" ht="13.5" thickBot="1">
      <c r="A157" s="1377"/>
      <c r="B157" s="1355" t="s">
        <v>239</v>
      </c>
      <c r="C157" s="1356"/>
      <c r="D157" s="1357" t="s">
        <v>75</v>
      </c>
      <c r="E157" s="1358"/>
      <c r="F157" s="1359" t="s">
        <v>74</v>
      </c>
      <c r="H157" s="1355" t="s">
        <v>243</v>
      </c>
      <c r="I157" s="1356"/>
      <c r="J157" s="1357" t="s">
        <v>75</v>
      </c>
      <c r="K157" s="1358"/>
      <c r="L157" s="1359" t="s">
        <v>74</v>
      </c>
      <c r="N157" s="1355" t="s">
        <v>424</v>
      </c>
      <c r="O157" s="1356"/>
      <c r="P157" s="1357" t="s">
        <v>75</v>
      </c>
      <c r="Q157" s="1358"/>
      <c r="R157" s="1359" t="s">
        <v>74</v>
      </c>
      <c r="T157" s="671" t="s">
        <v>239</v>
      </c>
      <c r="U157" s="672">
        <v>0.3</v>
      </c>
    </row>
    <row r="158" spans="1:21" ht="15" thickBot="1">
      <c r="A158" s="1377"/>
      <c r="B158" s="1364" t="s">
        <v>246</v>
      </c>
      <c r="C158" s="1365"/>
      <c r="D158" s="700">
        <v>2020</v>
      </c>
      <c r="E158" s="717" t="s">
        <v>62</v>
      </c>
      <c r="F158" s="1360"/>
      <c r="H158" s="1366" t="s">
        <v>76</v>
      </c>
      <c r="I158" s="1367"/>
      <c r="J158" s="701">
        <f>D158</f>
        <v>2020</v>
      </c>
      <c r="K158" s="701" t="str">
        <f>E158</f>
        <v>-</v>
      </c>
      <c r="L158" s="1360"/>
      <c r="N158" s="1366" t="s">
        <v>425</v>
      </c>
      <c r="O158" s="1367"/>
      <c r="P158" s="701">
        <f>J158</f>
        <v>2020</v>
      </c>
      <c r="Q158" s="701" t="str">
        <f>K158</f>
        <v>-</v>
      </c>
      <c r="R158" s="1360"/>
      <c r="T158" s="671" t="s">
        <v>76</v>
      </c>
      <c r="U158" s="672">
        <v>2.7</v>
      </c>
    </row>
    <row r="159" spans="1:21" ht="13.5" thickBot="1">
      <c r="A159" s="1377"/>
      <c r="B159" s="675">
        <v>1</v>
      </c>
      <c r="C159" s="679">
        <v>15</v>
      </c>
      <c r="D159" s="709">
        <v>-0.6</v>
      </c>
      <c r="E159" s="718" t="s">
        <v>62</v>
      </c>
      <c r="F159" s="703">
        <f t="shared" ref="F159:F165" si="45">0.5*(MAX(D159:E159)-MIN(D159:E159))</f>
        <v>0</v>
      </c>
      <c r="H159" s="675">
        <v>1</v>
      </c>
      <c r="I159" s="679">
        <v>35</v>
      </c>
      <c r="J159" s="709">
        <v>-0.4</v>
      </c>
      <c r="K159" s="718" t="s">
        <v>62</v>
      </c>
      <c r="L159" s="703">
        <f t="shared" ref="L159:L165" si="46">0.5*(MAX(J159:K159)-MIN(J159:K159))</f>
        <v>0</v>
      </c>
      <c r="N159" s="675">
        <v>1</v>
      </c>
      <c r="O159" s="683">
        <v>960</v>
      </c>
      <c r="P159" s="684">
        <v>0.9</v>
      </c>
      <c r="Q159" s="718" t="s">
        <v>62</v>
      </c>
      <c r="R159" s="703">
        <f t="shared" ref="R159:R165" si="47">0.5*(MAX(P159:Q159)-MIN(P159:Q159))</f>
        <v>0</v>
      </c>
      <c r="T159" s="681" t="s">
        <v>425</v>
      </c>
      <c r="U159" s="682">
        <v>1.5</v>
      </c>
    </row>
    <row r="160" spans="1:21" ht="13">
      <c r="A160" s="1377"/>
      <c r="B160" s="675">
        <v>2</v>
      </c>
      <c r="C160" s="683">
        <v>20</v>
      </c>
      <c r="D160" s="676">
        <v>-0.5</v>
      </c>
      <c r="E160" s="719" t="s">
        <v>62</v>
      </c>
      <c r="F160" s="678">
        <f t="shared" si="45"/>
        <v>0</v>
      </c>
      <c r="H160" s="675">
        <v>2</v>
      </c>
      <c r="I160" s="683">
        <v>40</v>
      </c>
      <c r="J160" s="676">
        <v>-0.3</v>
      </c>
      <c r="K160" s="719" t="s">
        <v>62</v>
      </c>
      <c r="L160" s="678">
        <f t="shared" si="46"/>
        <v>0</v>
      </c>
      <c r="N160" s="675">
        <v>2</v>
      </c>
      <c r="O160" s="683">
        <v>970</v>
      </c>
      <c r="P160" s="684">
        <v>1</v>
      </c>
      <c r="Q160" s="719" t="s">
        <v>62</v>
      </c>
      <c r="R160" s="678">
        <f t="shared" si="47"/>
        <v>0</v>
      </c>
    </row>
    <row r="161" spans="1:21" ht="13">
      <c r="A161" s="1377"/>
      <c r="B161" s="675">
        <v>3</v>
      </c>
      <c r="C161" s="683">
        <v>25</v>
      </c>
      <c r="D161" s="676">
        <v>-0.4</v>
      </c>
      <c r="E161" s="719" t="s">
        <v>62</v>
      </c>
      <c r="F161" s="678">
        <f t="shared" si="45"/>
        <v>0</v>
      </c>
      <c r="H161" s="675">
        <v>3</v>
      </c>
      <c r="I161" s="683">
        <v>50</v>
      </c>
      <c r="J161" s="676">
        <v>-0.3</v>
      </c>
      <c r="K161" s="719" t="s">
        <v>62</v>
      </c>
      <c r="L161" s="678">
        <f t="shared" si="46"/>
        <v>0</v>
      </c>
      <c r="N161" s="675">
        <v>3</v>
      </c>
      <c r="O161" s="688">
        <v>980</v>
      </c>
      <c r="P161" s="686">
        <v>1</v>
      </c>
      <c r="Q161" s="719" t="s">
        <v>62</v>
      </c>
      <c r="R161" s="678">
        <f t="shared" si="47"/>
        <v>0</v>
      </c>
    </row>
    <row r="162" spans="1:21" ht="13">
      <c r="A162" s="1377"/>
      <c r="B162" s="675">
        <v>4</v>
      </c>
      <c r="C162" s="688">
        <v>30</v>
      </c>
      <c r="D162" s="685">
        <v>-0.2</v>
      </c>
      <c r="E162" s="687" t="s">
        <v>62</v>
      </c>
      <c r="F162" s="678">
        <f t="shared" si="45"/>
        <v>0</v>
      </c>
      <c r="H162" s="675">
        <v>4</v>
      </c>
      <c r="I162" s="688">
        <v>60</v>
      </c>
      <c r="J162" s="685">
        <v>-0.5</v>
      </c>
      <c r="K162" s="687" t="s">
        <v>62</v>
      </c>
      <c r="L162" s="678">
        <f t="shared" si="46"/>
        <v>0</v>
      </c>
      <c r="N162" s="675">
        <v>4</v>
      </c>
      <c r="O162" s="688">
        <v>990</v>
      </c>
      <c r="P162" s="686">
        <v>1.1000000000000001</v>
      </c>
      <c r="Q162" s="687" t="s">
        <v>62</v>
      </c>
      <c r="R162" s="678">
        <f t="shared" si="47"/>
        <v>0</v>
      </c>
    </row>
    <row r="163" spans="1:21" ht="13">
      <c r="A163" s="1377"/>
      <c r="B163" s="675">
        <v>5</v>
      </c>
      <c r="C163" s="688">
        <v>35</v>
      </c>
      <c r="D163" s="685">
        <v>-0.1</v>
      </c>
      <c r="E163" s="687" t="s">
        <v>62</v>
      </c>
      <c r="F163" s="678">
        <f t="shared" si="45"/>
        <v>0</v>
      </c>
      <c r="H163" s="675">
        <v>5</v>
      </c>
      <c r="I163" s="688">
        <v>70</v>
      </c>
      <c r="J163" s="685">
        <v>-0.8</v>
      </c>
      <c r="K163" s="687" t="s">
        <v>62</v>
      </c>
      <c r="L163" s="678">
        <f t="shared" si="46"/>
        <v>0</v>
      </c>
      <c r="N163" s="675">
        <v>5</v>
      </c>
      <c r="O163" s="688">
        <v>1000</v>
      </c>
      <c r="P163" s="686">
        <v>1.1000000000000001</v>
      </c>
      <c r="Q163" s="687" t="s">
        <v>62</v>
      </c>
      <c r="R163" s="678">
        <f t="shared" si="47"/>
        <v>0</v>
      </c>
    </row>
    <row r="164" spans="1:21" ht="13.5" thickBot="1">
      <c r="A164" s="1377"/>
      <c r="B164" s="675">
        <v>6</v>
      </c>
      <c r="C164" s="688">
        <v>37</v>
      </c>
      <c r="D164" s="685">
        <v>-0.1</v>
      </c>
      <c r="E164" s="687" t="s">
        <v>62</v>
      </c>
      <c r="F164" s="678">
        <f t="shared" si="45"/>
        <v>0</v>
      </c>
      <c r="H164" s="675">
        <v>6</v>
      </c>
      <c r="I164" s="688">
        <v>80</v>
      </c>
      <c r="J164" s="685">
        <v>-1.3</v>
      </c>
      <c r="K164" s="687" t="s">
        <v>62</v>
      </c>
      <c r="L164" s="678">
        <f t="shared" si="46"/>
        <v>0</v>
      </c>
      <c r="N164" s="675">
        <v>6</v>
      </c>
      <c r="O164" s="694">
        <v>1005</v>
      </c>
      <c r="P164" s="695">
        <v>1.1000000000000001</v>
      </c>
      <c r="Q164" s="687" t="s">
        <v>62</v>
      </c>
      <c r="R164" s="678">
        <f t="shared" si="47"/>
        <v>0</v>
      </c>
    </row>
    <row r="165" spans="1:21" ht="13.5" thickBot="1">
      <c r="A165" s="1378"/>
      <c r="B165" s="689">
        <v>7</v>
      </c>
      <c r="C165" s="726">
        <v>40</v>
      </c>
      <c r="D165" s="677">
        <v>9.9999999999999995E-7</v>
      </c>
      <c r="E165" s="691" t="s">
        <v>62</v>
      </c>
      <c r="F165" s="692">
        <f t="shared" si="45"/>
        <v>0</v>
      </c>
      <c r="G165" s="693"/>
      <c r="H165" s="689">
        <v>7</v>
      </c>
      <c r="I165" s="726">
        <v>90</v>
      </c>
      <c r="J165" s="690">
        <v>-2</v>
      </c>
      <c r="K165" s="691" t="s">
        <v>62</v>
      </c>
      <c r="L165" s="692">
        <f t="shared" si="46"/>
        <v>0</v>
      </c>
      <c r="M165" s="693"/>
      <c r="N165" s="689">
        <v>7</v>
      </c>
      <c r="O165" s="694">
        <v>1020</v>
      </c>
      <c r="P165" s="677">
        <v>9.9999999999999995E-7</v>
      </c>
      <c r="Q165" s="691" t="s">
        <v>62</v>
      </c>
      <c r="R165" s="692">
        <f t="shared" si="47"/>
        <v>0</v>
      </c>
    </row>
    <row r="166" spans="1:21" ht="13" thickBot="1">
      <c r="A166" s="728"/>
      <c r="C166" s="729"/>
      <c r="D166" s="730"/>
      <c r="E166" s="731"/>
      <c r="F166" s="425"/>
      <c r="I166" s="729"/>
      <c r="J166" s="730"/>
      <c r="K166" s="731"/>
      <c r="L166" s="425"/>
      <c r="O166" s="730"/>
      <c r="P166" s="732"/>
      <c r="Q166" s="731"/>
      <c r="R166" s="425"/>
    </row>
    <row r="167" spans="1:21" ht="13" thickBot="1">
      <c r="A167" s="1376">
        <v>16</v>
      </c>
      <c r="B167" s="1379" t="s">
        <v>430</v>
      </c>
      <c r="C167" s="1380"/>
      <c r="D167" s="1380"/>
      <c r="E167" s="1380"/>
      <c r="F167" s="1381"/>
      <c r="G167" s="670"/>
      <c r="H167" s="1379" t="str">
        <f>B167</f>
        <v>KOREKSI EXTECH A.100616</v>
      </c>
      <c r="I167" s="1380"/>
      <c r="J167" s="1380"/>
      <c r="K167" s="1380"/>
      <c r="L167" s="1381"/>
      <c r="M167" s="670"/>
      <c r="N167" s="1379" t="str">
        <f>H167</f>
        <v>KOREKSI EXTECH A.100616</v>
      </c>
      <c r="O167" s="1380"/>
      <c r="P167" s="1380"/>
      <c r="Q167" s="1380"/>
      <c r="R167" s="1381"/>
      <c r="T167" s="1353" t="s">
        <v>77</v>
      </c>
      <c r="U167" s="1354"/>
    </row>
    <row r="168" spans="1:21" ht="13.5" thickBot="1">
      <c r="A168" s="1377"/>
      <c r="B168" s="1355" t="s">
        <v>239</v>
      </c>
      <c r="C168" s="1356"/>
      <c r="D168" s="1357" t="s">
        <v>75</v>
      </c>
      <c r="E168" s="1358"/>
      <c r="F168" s="1359" t="s">
        <v>74</v>
      </c>
      <c r="H168" s="1355" t="s">
        <v>243</v>
      </c>
      <c r="I168" s="1356"/>
      <c r="J168" s="1357" t="s">
        <v>75</v>
      </c>
      <c r="K168" s="1358"/>
      <c r="L168" s="1359" t="s">
        <v>74</v>
      </c>
      <c r="N168" s="1355" t="s">
        <v>424</v>
      </c>
      <c r="O168" s="1356"/>
      <c r="P168" s="1357" t="s">
        <v>75</v>
      </c>
      <c r="Q168" s="1358"/>
      <c r="R168" s="1359" t="s">
        <v>74</v>
      </c>
      <c r="T168" s="671" t="s">
        <v>239</v>
      </c>
      <c r="U168" s="672">
        <v>0.4</v>
      </c>
    </row>
    <row r="169" spans="1:21" ht="15" thickBot="1">
      <c r="A169" s="1377"/>
      <c r="B169" s="1364" t="s">
        <v>246</v>
      </c>
      <c r="C169" s="1365"/>
      <c r="D169" s="700">
        <v>2020</v>
      </c>
      <c r="E169" s="717" t="s">
        <v>62</v>
      </c>
      <c r="F169" s="1360"/>
      <c r="H169" s="1366" t="s">
        <v>76</v>
      </c>
      <c r="I169" s="1367"/>
      <c r="J169" s="701">
        <f>D169</f>
        <v>2020</v>
      </c>
      <c r="K169" s="701" t="str">
        <f>E169</f>
        <v>-</v>
      </c>
      <c r="L169" s="1360"/>
      <c r="N169" s="1366" t="s">
        <v>425</v>
      </c>
      <c r="O169" s="1367"/>
      <c r="P169" s="701">
        <f>J169</f>
        <v>2020</v>
      </c>
      <c r="Q169" s="701" t="str">
        <f>K169</f>
        <v>-</v>
      </c>
      <c r="R169" s="1360"/>
      <c r="T169" s="671" t="s">
        <v>76</v>
      </c>
      <c r="U169" s="672">
        <v>2.2000000000000002</v>
      </c>
    </row>
    <row r="170" spans="1:21" ht="13.5" thickBot="1">
      <c r="A170" s="1377"/>
      <c r="B170" s="675">
        <v>1</v>
      </c>
      <c r="C170" s="679">
        <v>15</v>
      </c>
      <c r="D170" s="709">
        <v>0.1</v>
      </c>
      <c r="E170" s="718" t="s">
        <v>62</v>
      </c>
      <c r="F170" s="703">
        <f t="shared" ref="F170:F176" si="48">0.5*(MAX(D170:E170)-MIN(D170:E170))</f>
        <v>0</v>
      </c>
      <c r="H170" s="675">
        <v>1</v>
      </c>
      <c r="I170" s="679">
        <v>30</v>
      </c>
      <c r="J170" s="709">
        <v>-1.6</v>
      </c>
      <c r="K170" s="718" t="s">
        <v>62</v>
      </c>
      <c r="L170" s="703">
        <f t="shared" ref="L170:L176" si="49">0.5*(MAX(J170:K170)-MIN(J170:K170))</f>
        <v>0</v>
      </c>
      <c r="N170" s="675">
        <v>1</v>
      </c>
      <c r="O170" s="683">
        <v>800</v>
      </c>
      <c r="P170" s="684">
        <v>-2.9</v>
      </c>
      <c r="Q170" s="718" t="s">
        <v>62</v>
      </c>
      <c r="R170" s="703">
        <f t="shared" ref="R170:R176" si="50">0.5*(MAX(P170:Q170)-MIN(P170:Q170))</f>
        <v>0</v>
      </c>
      <c r="T170" s="681" t="s">
        <v>425</v>
      </c>
      <c r="U170" s="682">
        <v>2.2999999999999998</v>
      </c>
    </row>
    <row r="171" spans="1:21" ht="13">
      <c r="A171" s="1377"/>
      <c r="B171" s="675">
        <v>2</v>
      </c>
      <c r="C171" s="683">
        <v>20</v>
      </c>
      <c r="D171" s="676">
        <v>0.2</v>
      </c>
      <c r="E171" s="719" t="s">
        <v>62</v>
      </c>
      <c r="F171" s="678">
        <f t="shared" si="48"/>
        <v>0</v>
      </c>
      <c r="H171" s="675">
        <v>2</v>
      </c>
      <c r="I171" s="683">
        <v>40</v>
      </c>
      <c r="J171" s="676">
        <v>-1.4</v>
      </c>
      <c r="K171" s="719" t="s">
        <v>62</v>
      </c>
      <c r="L171" s="678">
        <f t="shared" si="49"/>
        <v>0</v>
      </c>
      <c r="N171" s="675">
        <v>2</v>
      </c>
      <c r="O171" s="683">
        <v>850</v>
      </c>
      <c r="P171" s="684">
        <v>-2.2999999999999998</v>
      </c>
      <c r="Q171" s="719" t="s">
        <v>62</v>
      </c>
      <c r="R171" s="678">
        <f t="shared" si="50"/>
        <v>0</v>
      </c>
    </row>
    <row r="172" spans="1:21" ht="13">
      <c r="A172" s="1377"/>
      <c r="B172" s="675">
        <v>3</v>
      </c>
      <c r="C172" s="683">
        <v>25</v>
      </c>
      <c r="D172" s="676">
        <v>0.2</v>
      </c>
      <c r="E172" s="719" t="s">
        <v>62</v>
      </c>
      <c r="F172" s="678">
        <f t="shared" si="48"/>
        <v>0</v>
      </c>
      <c r="H172" s="675">
        <v>3</v>
      </c>
      <c r="I172" s="683">
        <v>50</v>
      </c>
      <c r="J172" s="676">
        <v>-1.4</v>
      </c>
      <c r="K172" s="719" t="s">
        <v>62</v>
      </c>
      <c r="L172" s="678">
        <f t="shared" si="49"/>
        <v>0</v>
      </c>
      <c r="N172" s="675">
        <v>3</v>
      </c>
      <c r="O172" s="688">
        <v>900</v>
      </c>
      <c r="P172" s="686">
        <v>-1.7</v>
      </c>
      <c r="Q172" s="719" t="s">
        <v>62</v>
      </c>
      <c r="R172" s="678">
        <f t="shared" si="50"/>
        <v>0</v>
      </c>
    </row>
    <row r="173" spans="1:21" ht="13">
      <c r="A173" s="1377"/>
      <c r="B173" s="675">
        <v>4</v>
      </c>
      <c r="C173" s="688">
        <v>30</v>
      </c>
      <c r="D173" s="685">
        <v>0.2</v>
      </c>
      <c r="E173" s="687" t="s">
        <v>62</v>
      </c>
      <c r="F173" s="678">
        <f t="shared" si="48"/>
        <v>0</v>
      </c>
      <c r="H173" s="675">
        <v>4</v>
      </c>
      <c r="I173" s="688">
        <v>60</v>
      </c>
      <c r="J173" s="685">
        <v>-1.5</v>
      </c>
      <c r="K173" s="687" t="s">
        <v>62</v>
      </c>
      <c r="L173" s="678">
        <f t="shared" si="49"/>
        <v>0</v>
      </c>
      <c r="N173" s="675">
        <v>4</v>
      </c>
      <c r="O173" s="688">
        <v>950</v>
      </c>
      <c r="P173" s="686">
        <v>-1.1000000000000001</v>
      </c>
      <c r="Q173" s="687" t="s">
        <v>62</v>
      </c>
      <c r="R173" s="678">
        <f t="shared" si="50"/>
        <v>0</v>
      </c>
    </row>
    <row r="174" spans="1:21" ht="13">
      <c r="A174" s="1377"/>
      <c r="B174" s="675">
        <v>5</v>
      </c>
      <c r="C174" s="688">
        <v>35</v>
      </c>
      <c r="D174" s="685">
        <v>0.1</v>
      </c>
      <c r="E174" s="687" t="s">
        <v>62</v>
      </c>
      <c r="F174" s="678">
        <f t="shared" si="48"/>
        <v>0</v>
      </c>
      <c r="H174" s="675">
        <v>5</v>
      </c>
      <c r="I174" s="688">
        <v>70</v>
      </c>
      <c r="J174" s="685">
        <v>-1.8</v>
      </c>
      <c r="K174" s="687" t="s">
        <v>62</v>
      </c>
      <c r="L174" s="678">
        <f t="shared" si="49"/>
        <v>0</v>
      </c>
      <c r="N174" s="675">
        <v>5</v>
      </c>
      <c r="O174" s="688">
        <v>1000</v>
      </c>
      <c r="P174" s="686">
        <v>-0.4</v>
      </c>
      <c r="Q174" s="687" t="s">
        <v>62</v>
      </c>
      <c r="R174" s="678">
        <f t="shared" si="50"/>
        <v>0</v>
      </c>
    </row>
    <row r="175" spans="1:21" ht="13.5" thickBot="1">
      <c r="A175" s="1377"/>
      <c r="B175" s="675">
        <v>6</v>
      </c>
      <c r="C175" s="688">
        <v>37</v>
      </c>
      <c r="D175" s="677">
        <v>9.9999999999999995E-7</v>
      </c>
      <c r="E175" s="687" t="s">
        <v>62</v>
      </c>
      <c r="F175" s="678">
        <f t="shared" si="48"/>
        <v>0</v>
      </c>
      <c r="H175" s="675">
        <v>6</v>
      </c>
      <c r="I175" s="688">
        <v>80</v>
      </c>
      <c r="J175" s="685">
        <v>-2.2999999999999998</v>
      </c>
      <c r="K175" s="687" t="s">
        <v>62</v>
      </c>
      <c r="L175" s="678">
        <f t="shared" si="49"/>
        <v>0</v>
      </c>
      <c r="N175" s="675">
        <v>6</v>
      </c>
      <c r="O175" s="694">
        <v>1005</v>
      </c>
      <c r="P175" s="695">
        <v>-0.4</v>
      </c>
      <c r="Q175" s="687" t="s">
        <v>62</v>
      </c>
      <c r="R175" s="678">
        <f t="shared" si="50"/>
        <v>0</v>
      </c>
    </row>
    <row r="176" spans="1:21" ht="13.5" thickBot="1">
      <c r="A176" s="1378"/>
      <c r="B176" s="689">
        <v>7</v>
      </c>
      <c r="C176" s="726">
        <v>40</v>
      </c>
      <c r="D176" s="677">
        <v>9.9999999999999995E-7</v>
      </c>
      <c r="E176" s="691" t="s">
        <v>62</v>
      </c>
      <c r="F176" s="692">
        <f t="shared" si="48"/>
        <v>0</v>
      </c>
      <c r="G176" s="693"/>
      <c r="H176" s="689">
        <v>7</v>
      </c>
      <c r="I176" s="726">
        <v>90</v>
      </c>
      <c r="J176" s="690">
        <v>-3</v>
      </c>
      <c r="K176" s="691" t="s">
        <v>62</v>
      </c>
      <c r="L176" s="692">
        <f t="shared" si="49"/>
        <v>0</v>
      </c>
      <c r="M176" s="693"/>
      <c r="N176" s="689">
        <v>7</v>
      </c>
      <c r="O176" s="694">
        <v>1020</v>
      </c>
      <c r="P176" s="677">
        <v>9.9999999999999995E-7</v>
      </c>
      <c r="Q176" s="691" t="s">
        <v>62</v>
      </c>
      <c r="R176" s="692">
        <f t="shared" si="50"/>
        <v>0</v>
      </c>
    </row>
    <row r="177" spans="1:21" ht="13" thickBot="1">
      <c r="A177" s="728"/>
      <c r="C177" s="729"/>
      <c r="D177" s="730"/>
      <c r="E177" s="731"/>
      <c r="F177" s="425"/>
      <c r="I177" s="729"/>
      <c r="J177" s="730"/>
      <c r="K177" s="731"/>
      <c r="L177" s="425"/>
      <c r="O177" s="730"/>
      <c r="P177" s="732"/>
      <c r="Q177" s="731"/>
      <c r="R177" s="425"/>
    </row>
    <row r="178" spans="1:21" ht="13" thickBot="1">
      <c r="A178" s="1376">
        <v>17</v>
      </c>
      <c r="B178" s="1379" t="s">
        <v>431</v>
      </c>
      <c r="C178" s="1380"/>
      <c r="D178" s="1380"/>
      <c r="E178" s="1380"/>
      <c r="F178" s="1381"/>
      <c r="G178" s="670"/>
      <c r="H178" s="1379" t="str">
        <f>B178</f>
        <v>KOREKSI EXTECH A.100617</v>
      </c>
      <c r="I178" s="1380"/>
      <c r="J178" s="1380"/>
      <c r="K178" s="1380"/>
      <c r="L178" s="1381"/>
      <c r="M178" s="670"/>
      <c r="N178" s="1379" t="str">
        <f>H178</f>
        <v>KOREKSI EXTECH A.100617</v>
      </c>
      <c r="O178" s="1380"/>
      <c r="P178" s="1380"/>
      <c r="Q178" s="1380"/>
      <c r="R178" s="1381"/>
      <c r="T178" s="1353" t="s">
        <v>77</v>
      </c>
      <c r="U178" s="1354"/>
    </row>
    <row r="179" spans="1:21" ht="13.5" thickBot="1">
      <c r="A179" s="1377"/>
      <c r="B179" s="1355" t="s">
        <v>239</v>
      </c>
      <c r="C179" s="1356"/>
      <c r="D179" s="1357" t="s">
        <v>75</v>
      </c>
      <c r="E179" s="1358"/>
      <c r="F179" s="1359" t="s">
        <v>74</v>
      </c>
      <c r="H179" s="1355" t="s">
        <v>243</v>
      </c>
      <c r="I179" s="1356"/>
      <c r="J179" s="1357" t="s">
        <v>75</v>
      </c>
      <c r="K179" s="1358"/>
      <c r="L179" s="1359" t="s">
        <v>74</v>
      </c>
      <c r="N179" s="1355" t="s">
        <v>424</v>
      </c>
      <c r="O179" s="1356"/>
      <c r="P179" s="1357" t="s">
        <v>75</v>
      </c>
      <c r="Q179" s="1358"/>
      <c r="R179" s="1359" t="s">
        <v>74</v>
      </c>
      <c r="T179" s="671" t="s">
        <v>239</v>
      </c>
      <c r="U179" s="672">
        <v>0.3</v>
      </c>
    </row>
    <row r="180" spans="1:21" ht="15" thickBot="1">
      <c r="A180" s="1377"/>
      <c r="B180" s="1364" t="s">
        <v>246</v>
      </c>
      <c r="C180" s="1365"/>
      <c r="D180" s="700">
        <v>2020</v>
      </c>
      <c r="E180" s="717" t="s">
        <v>62</v>
      </c>
      <c r="F180" s="1360"/>
      <c r="H180" s="1366" t="s">
        <v>76</v>
      </c>
      <c r="I180" s="1367"/>
      <c r="J180" s="701">
        <f>D180</f>
        <v>2020</v>
      </c>
      <c r="K180" s="701" t="str">
        <f>E180</f>
        <v>-</v>
      </c>
      <c r="L180" s="1360"/>
      <c r="N180" s="1366" t="s">
        <v>425</v>
      </c>
      <c r="O180" s="1367"/>
      <c r="P180" s="701">
        <f>J180</f>
        <v>2020</v>
      </c>
      <c r="Q180" s="701" t="str">
        <f>K180</f>
        <v>-</v>
      </c>
      <c r="R180" s="1360"/>
      <c r="T180" s="671" t="s">
        <v>76</v>
      </c>
      <c r="U180" s="672">
        <v>2.8</v>
      </c>
    </row>
    <row r="181" spans="1:21" ht="13.5" thickBot="1">
      <c r="A181" s="1377"/>
      <c r="B181" s="675">
        <v>1</v>
      </c>
      <c r="C181" s="679">
        <v>15</v>
      </c>
      <c r="D181" s="709">
        <v>0.1</v>
      </c>
      <c r="E181" s="718" t="s">
        <v>62</v>
      </c>
      <c r="F181" s="703">
        <f t="shared" ref="F181:F187" si="51">0.5*(MAX(D181:E181)-MIN(D181:E181))</f>
        <v>0</v>
      </c>
      <c r="H181" s="675">
        <v>1</v>
      </c>
      <c r="I181" s="679">
        <v>30</v>
      </c>
      <c r="J181" s="709">
        <v>0.1</v>
      </c>
      <c r="K181" s="718" t="s">
        <v>62</v>
      </c>
      <c r="L181" s="703">
        <f t="shared" ref="L181:L187" si="52">0.5*(MAX(J181:K181)-MIN(J181:K181))</f>
        <v>0</v>
      </c>
      <c r="N181" s="675">
        <v>1</v>
      </c>
      <c r="O181" s="683">
        <v>960</v>
      </c>
      <c r="P181" s="684">
        <v>-0.6</v>
      </c>
      <c r="Q181" s="718" t="s">
        <v>62</v>
      </c>
      <c r="R181" s="703">
        <f t="shared" ref="R181:R187" si="53">0.5*(MAX(P181:Q181)-MIN(P181:Q181))</f>
        <v>0</v>
      </c>
      <c r="T181" s="681" t="s">
        <v>425</v>
      </c>
      <c r="U181" s="682">
        <v>2.1</v>
      </c>
    </row>
    <row r="182" spans="1:21" ht="13">
      <c r="A182" s="1377"/>
      <c r="B182" s="675">
        <v>2</v>
      </c>
      <c r="C182" s="683">
        <v>20</v>
      </c>
      <c r="D182" s="676">
        <v>0.1</v>
      </c>
      <c r="E182" s="719" t="s">
        <v>62</v>
      </c>
      <c r="F182" s="678">
        <f t="shared" si="51"/>
        <v>0</v>
      </c>
      <c r="H182" s="675">
        <v>2</v>
      </c>
      <c r="I182" s="683">
        <v>40</v>
      </c>
      <c r="J182" s="676">
        <v>0.2</v>
      </c>
      <c r="K182" s="719" t="s">
        <v>62</v>
      </c>
      <c r="L182" s="678">
        <f t="shared" si="52"/>
        <v>0</v>
      </c>
      <c r="N182" s="675">
        <v>2</v>
      </c>
      <c r="O182" s="683">
        <v>970</v>
      </c>
      <c r="P182" s="684">
        <v>-0.6</v>
      </c>
      <c r="Q182" s="719" t="s">
        <v>62</v>
      </c>
      <c r="R182" s="678">
        <f t="shared" si="53"/>
        <v>0</v>
      </c>
    </row>
    <row r="183" spans="1:21" ht="13">
      <c r="A183" s="1377"/>
      <c r="B183" s="675">
        <v>3</v>
      </c>
      <c r="C183" s="683">
        <v>25</v>
      </c>
      <c r="D183" s="677">
        <v>9.9999999999999995E-7</v>
      </c>
      <c r="E183" s="719" t="s">
        <v>62</v>
      </c>
      <c r="F183" s="678">
        <f t="shared" si="51"/>
        <v>0</v>
      </c>
      <c r="H183" s="675">
        <v>3</v>
      </c>
      <c r="I183" s="683">
        <v>50</v>
      </c>
      <c r="J183" s="676">
        <v>0.2</v>
      </c>
      <c r="K183" s="719" t="s">
        <v>62</v>
      </c>
      <c r="L183" s="678">
        <f t="shared" si="52"/>
        <v>0</v>
      </c>
      <c r="N183" s="675">
        <v>3</v>
      </c>
      <c r="O183" s="688">
        <v>980</v>
      </c>
      <c r="P183" s="686">
        <v>-0.6</v>
      </c>
      <c r="Q183" s="719" t="s">
        <v>62</v>
      </c>
      <c r="R183" s="678">
        <f t="shared" si="53"/>
        <v>0</v>
      </c>
    </row>
    <row r="184" spans="1:21" ht="13">
      <c r="A184" s="1377"/>
      <c r="B184" s="675">
        <v>4</v>
      </c>
      <c r="C184" s="688">
        <v>30</v>
      </c>
      <c r="D184" s="685">
        <v>-0.2</v>
      </c>
      <c r="E184" s="687" t="s">
        <v>62</v>
      </c>
      <c r="F184" s="678">
        <f t="shared" si="51"/>
        <v>0</v>
      </c>
      <c r="H184" s="675">
        <v>4</v>
      </c>
      <c r="I184" s="688">
        <v>60</v>
      </c>
      <c r="J184" s="677">
        <v>9.9999999999999995E-7</v>
      </c>
      <c r="K184" s="687" t="s">
        <v>62</v>
      </c>
      <c r="L184" s="678">
        <f t="shared" si="52"/>
        <v>0</v>
      </c>
      <c r="N184" s="675">
        <v>4</v>
      </c>
      <c r="O184" s="688">
        <v>990</v>
      </c>
      <c r="P184" s="686">
        <v>-0.6</v>
      </c>
      <c r="Q184" s="687" t="s">
        <v>62</v>
      </c>
      <c r="R184" s="678">
        <f t="shared" si="53"/>
        <v>0</v>
      </c>
    </row>
    <row r="185" spans="1:21" ht="13">
      <c r="A185" s="1377"/>
      <c r="B185" s="675">
        <v>5</v>
      </c>
      <c r="C185" s="688">
        <v>35</v>
      </c>
      <c r="D185" s="685">
        <v>-0.5</v>
      </c>
      <c r="E185" s="687" t="s">
        <v>62</v>
      </c>
      <c r="F185" s="678">
        <f t="shared" si="51"/>
        <v>0</v>
      </c>
      <c r="H185" s="675">
        <v>5</v>
      </c>
      <c r="I185" s="688">
        <v>70</v>
      </c>
      <c r="J185" s="685">
        <v>-0.3</v>
      </c>
      <c r="K185" s="687" t="s">
        <v>62</v>
      </c>
      <c r="L185" s="678">
        <f t="shared" si="52"/>
        <v>0</v>
      </c>
      <c r="N185" s="675">
        <v>5</v>
      </c>
      <c r="O185" s="688">
        <v>1000</v>
      </c>
      <c r="P185" s="686">
        <v>-0.6</v>
      </c>
      <c r="Q185" s="687" t="s">
        <v>62</v>
      </c>
      <c r="R185" s="678">
        <f t="shared" si="53"/>
        <v>0</v>
      </c>
    </row>
    <row r="186" spans="1:21" ht="13.5" thickBot="1">
      <c r="A186" s="1377"/>
      <c r="B186" s="675">
        <v>6</v>
      </c>
      <c r="C186" s="688">
        <v>37</v>
      </c>
      <c r="D186" s="685">
        <v>-0.6</v>
      </c>
      <c r="E186" s="687" t="s">
        <v>62</v>
      </c>
      <c r="F186" s="678">
        <f t="shared" si="51"/>
        <v>0</v>
      </c>
      <c r="H186" s="675">
        <v>6</v>
      </c>
      <c r="I186" s="688">
        <v>80</v>
      </c>
      <c r="J186" s="685">
        <v>-0.8</v>
      </c>
      <c r="K186" s="687" t="s">
        <v>62</v>
      </c>
      <c r="L186" s="678">
        <f t="shared" si="52"/>
        <v>0</v>
      </c>
      <c r="N186" s="675">
        <v>6</v>
      </c>
      <c r="O186" s="694">
        <v>1005</v>
      </c>
      <c r="P186" s="695">
        <v>-0.6</v>
      </c>
      <c r="Q186" s="687" t="s">
        <v>62</v>
      </c>
      <c r="R186" s="678">
        <f t="shared" si="53"/>
        <v>0</v>
      </c>
    </row>
    <row r="187" spans="1:21" ht="13.5" thickBot="1">
      <c r="A187" s="1378"/>
      <c r="B187" s="689">
        <v>7</v>
      </c>
      <c r="C187" s="726">
        <v>40</v>
      </c>
      <c r="D187" s="690">
        <v>-0.8</v>
      </c>
      <c r="E187" s="691" t="s">
        <v>62</v>
      </c>
      <c r="F187" s="692">
        <f t="shared" si="51"/>
        <v>0</v>
      </c>
      <c r="G187" s="693"/>
      <c r="H187" s="689">
        <v>7</v>
      </c>
      <c r="I187" s="726">
        <v>90</v>
      </c>
      <c r="J187" s="690">
        <v>-1.4</v>
      </c>
      <c r="K187" s="691" t="s">
        <v>62</v>
      </c>
      <c r="L187" s="692">
        <f t="shared" si="52"/>
        <v>0</v>
      </c>
      <c r="M187" s="693"/>
      <c r="N187" s="689">
        <v>7</v>
      </c>
      <c r="O187" s="694">
        <v>1020</v>
      </c>
      <c r="P187" s="677">
        <v>9.9999999999999995E-7</v>
      </c>
      <c r="Q187" s="691" t="s">
        <v>62</v>
      </c>
      <c r="R187" s="692">
        <f t="shared" si="53"/>
        <v>0</v>
      </c>
    </row>
    <row r="188" spans="1:21" ht="13" thickBot="1">
      <c r="A188" s="728"/>
      <c r="C188" s="729"/>
      <c r="D188" s="730"/>
      <c r="E188" s="731"/>
      <c r="F188" s="425"/>
      <c r="I188" s="729"/>
      <c r="J188" s="730"/>
      <c r="K188" s="731"/>
      <c r="L188" s="425"/>
      <c r="O188" s="730"/>
      <c r="P188" s="732"/>
      <c r="Q188" s="731"/>
      <c r="R188" s="425"/>
    </row>
    <row r="189" spans="1:21" ht="13" thickBot="1">
      <c r="A189" s="1376">
        <v>18</v>
      </c>
      <c r="B189" s="1379" t="s">
        <v>432</v>
      </c>
      <c r="C189" s="1380"/>
      <c r="D189" s="1380"/>
      <c r="E189" s="1380"/>
      <c r="F189" s="1381"/>
      <c r="G189" s="670"/>
      <c r="H189" s="1379" t="str">
        <f>B189</f>
        <v>KOREKSI EXTECH A.100618</v>
      </c>
      <c r="I189" s="1380"/>
      <c r="J189" s="1380"/>
      <c r="K189" s="1380"/>
      <c r="L189" s="1381"/>
      <c r="M189" s="670"/>
      <c r="N189" s="1379" t="str">
        <f>H189</f>
        <v>KOREKSI EXTECH A.100618</v>
      </c>
      <c r="O189" s="1380"/>
      <c r="P189" s="1380"/>
      <c r="Q189" s="1380"/>
      <c r="R189" s="1381"/>
      <c r="T189" s="1353" t="s">
        <v>77</v>
      </c>
      <c r="U189" s="1354"/>
    </row>
    <row r="190" spans="1:21" ht="13.5" thickBot="1">
      <c r="A190" s="1377"/>
      <c r="B190" s="1355" t="s">
        <v>239</v>
      </c>
      <c r="C190" s="1356"/>
      <c r="D190" s="1357" t="s">
        <v>75</v>
      </c>
      <c r="E190" s="1358"/>
      <c r="F190" s="1359" t="s">
        <v>74</v>
      </c>
      <c r="H190" s="1355" t="s">
        <v>243</v>
      </c>
      <c r="I190" s="1356"/>
      <c r="J190" s="1357" t="s">
        <v>75</v>
      </c>
      <c r="K190" s="1358"/>
      <c r="L190" s="1359" t="s">
        <v>74</v>
      </c>
      <c r="N190" s="1355" t="s">
        <v>424</v>
      </c>
      <c r="O190" s="1356"/>
      <c r="P190" s="1357" t="s">
        <v>75</v>
      </c>
      <c r="Q190" s="1358"/>
      <c r="R190" s="1359" t="s">
        <v>74</v>
      </c>
      <c r="T190" s="671" t="s">
        <v>239</v>
      </c>
      <c r="U190" s="672">
        <v>0.3</v>
      </c>
    </row>
    <row r="191" spans="1:21" ht="15" thickBot="1">
      <c r="A191" s="1377"/>
      <c r="B191" s="1364" t="s">
        <v>246</v>
      </c>
      <c r="C191" s="1365"/>
      <c r="D191" s="700">
        <v>2020</v>
      </c>
      <c r="E191" s="717" t="s">
        <v>62</v>
      </c>
      <c r="F191" s="1360"/>
      <c r="H191" s="1366" t="s">
        <v>76</v>
      </c>
      <c r="I191" s="1367"/>
      <c r="J191" s="701">
        <f>D191</f>
        <v>2020</v>
      </c>
      <c r="K191" s="701" t="str">
        <f>E191</f>
        <v>-</v>
      </c>
      <c r="L191" s="1360"/>
      <c r="N191" s="1366" t="s">
        <v>425</v>
      </c>
      <c r="O191" s="1367"/>
      <c r="P191" s="701">
        <f>J191</f>
        <v>2020</v>
      </c>
      <c r="Q191" s="701" t="str">
        <f>K191</f>
        <v>-</v>
      </c>
      <c r="R191" s="1360"/>
      <c r="T191" s="671" t="s">
        <v>76</v>
      </c>
      <c r="U191" s="672">
        <v>1.6</v>
      </c>
    </row>
    <row r="192" spans="1:21" ht="13.5" thickBot="1">
      <c r="A192" s="1377"/>
      <c r="B192" s="675">
        <v>1</v>
      </c>
      <c r="C192" s="679">
        <v>15</v>
      </c>
      <c r="D192" s="677">
        <v>9.9999999999999995E-7</v>
      </c>
      <c r="E192" s="718" t="s">
        <v>62</v>
      </c>
      <c r="F192" s="703">
        <f t="shared" ref="F192:F198" si="54">0.5*(MAX(D192:E192)-MIN(D192:E192))</f>
        <v>0</v>
      </c>
      <c r="H192" s="675">
        <v>1</v>
      </c>
      <c r="I192" s="679">
        <v>30</v>
      </c>
      <c r="J192" s="709">
        <v>-0.4</v>
      </c>
      <c r="K192" s="718" t="s">
        <v>62</v>
      </c>
      <c r="L192" s="703">
        <f t="shared" ref="L192:L198" si="55">0.5*(MAX(J192:K192)-MIN(J192:K192))</f>
        <v>0</v>
      </c>
      <c r="N192" s="675">
        <v>1</v>
      </c>
      <c r="O192" s="683">
        <v>800</v>
      </c>
      <c r="P192" s="684">
        <v>-1.5</v>
      </c>
      <c r="Q192" s="718" t="s">
        <v>62</v>
      </c>
      <c r="R192" s="703">
        <f t="shared" ref="R192:R198" si="56">0.5*(MAX(P192:Q192)-MIN(P192:Q192))</f>
        <v>0</v>
      </c>
      <c r="T192" s="681" t="s">
        <v>425</v>
      </c>
      <c r="U192" s="682">
        <v>2.4</v>
      </c>
    </row>
    <row r="193" spans="1:21" ht="13">
      <c r="A193" s="1377"/>
      <c r="B193" s="675">
        <v>2</v>
      </c>
      <c r="C193" s="683">
        <v>20</v>
      </c>
      <c r="D193" s="676">
        <v>-0.1</v>
      </c>
      <c r="E193" s="719" t="s">
        <v>62</v>
      </c>
      <c r="F193" s="678">
        <f t="shared" si="54"/>
        <v>0</v>
      </c>
      <c r="H193" s="675">
        <v>2</v>
      </c>
      <c r="I193" s="683">
        <v>40</v>
      </c>
      <c r="J193" s="676">
        <v>-0.2</v>
      </c>
      <c r="K193" s="719" t="s">
        <v>62</v>
      </c>
      <c r="L193" s="678">
        <f t="shared" si="55"/>
        <v>0</v>
      </c>
      <c r="N193" s="675">
        <v>2</v>
      </c>
      <c r="O193" s="683">
        <v>850</v>
      </c>
      <c r="P193" s="684">
        <v>-1.3</v>
      </c>
      <c r="Q193" s="719" t="s">
        <v>62</v>
      </c>
      <c r="R193" s="678">
        <f t="shared" si="56"/>
        <v>0</v>
      </c>
    </row>
    <row r="194" spans="1:21" ht="13">
      <c r="A194" s="1377"/>
      <c r="B194" s="675">
        <v>3</v>
      </c>
      <c r="C194" s="683">
        <v>25</v>
      </c>
      <c r="D194" s="676">
        <v>-0.2</v>
      </c>
      <c r="E194" s="719" t="s">
        <v>62</v>
      </c>
      <c r="F194" s="678">
        <f t="shared" si="54"/>
        <v>0</v>
      </c>
      <c r="H194" s="675">
        <v>3</v>
      </c>
      <c r="I194" s="683">
        <v>50</v>
      </c>
      <c r="J194" s="676">
        <v>-0.2</v>
      </c>
      <c r="K194" s="719" t="s">
        <v>62</v>
      </c>
      <c r="L194" s="678">
        <f t="shared" si="55"/>
        <v>0</v>
      </c>
      <c r="N194" s="675">
        <v>3</v>
      </c>
      <c r="O194" s="688">
        <v>900</v>
      </c>
      <c r="P194" s="686">
        <v>-1.1000000000000001</v>
      </c>
      <c r="Q194" s="719" t="s">
        <v>62</v>
      </c>
      <c r="R194" s="678">
        <f t="shared" si="56"/>
        <v>0</v>
      </c>
    </row>
    <row r="195" spans="1:21" ht="13">
      <c r="A195" s="1377"/>
      <c r="B195" s="675">
        <v>4</v>
      </c>
      <c r="C195" s="688">
        <v>30</v>
      </c>
      <c r="D195" s="685">
        <v>-0.2</v>
      </c>
      <c r="E195" s="687" t="s">
        <v>62</v>
      </c>
      <c r="F195" s="678">
        <f t="shared" si="54"/>
        <v>0</v>
      </c>
      <c r="H195" s="675">
        <v>4</v>
      </c>
      <c r="I195" s="688">
        <v>60</v>
      </c>
      <c r="J195" s="685">
        <v>-0.2</v>
      </c>
      <c r="K195" s="687" t="s">
        <v>62</v>
      </c>
      <c r="L195" s="678">
        <f t="shared" si="55"/>
        <v>0</v>
      </c>
      <c r="N195" s="675">
        <v>4</v>
      </c>
      <c r="O195" s="688">
        <v>950</v>
      </c>
      <c r="P195" s="686">
        <v>-0.9</v>
      </c>
      <c r="Q195" s="687" t="s">
        <v>62</v>
      </c>
      <c r="R195" s="678">
        <f t="shared" si="56"/>
        <v>0</v>
      </c>
    </row>
    <row r="196" spans="1:21" ht="13">
      <c r="A196" s="1377"/>
      <c r="B196" s="675">
        <v>5</v>
      </c>
      <c r="C196" s="688">
        <v>35</v>
      </c>
      <c r="D196" s="685">
        <v>-0.3</v>
      </c>
      <c r="E196" s="687" t="s">
        <v>62</v>
      </c>
      <c r="F196" s="678">
        <f t="shared" si="54"/>
        <v>0</v>
      </c>
      <c r="H196" s="675">
        <v>5</v>
      </c>
      <c r="I196" s="688">
        <v>70</v>
      </c>
      <c r="J196" s="685">
        <v>-0.3</v>
      </c>
      <c r="K196" s="687" t="s">
        <v>62</v>
      </c>
      <c r="L196" s="678">
        <f t="shared" si="55"/>
        <v>0</v>
      </c>
      <c r="N196" s="675">
        <v>5</v>
      </c>
      <c r="O196" s="688">
        <v>1000</v>
      </c>
      <c r="P196" s="686">
        <v>-0.8</v>
      </c>
      <c r="Q196" s="687" t="s">
        <v>62</v>
      </c>
      <c r="R196" s="678">
        <f t="shared" si="56"/>
        <v>0</v>
      </c>
    </row>
    <row r="197" spans="1:21" ht="13.5" thickBot="1">
      <c r="A197" s="1377"/>
      <c r="B197" s="675">
        <v>6</v>
      </c>
      <c r="C197" s="688">
        <v>37</v>
      </c>
      <c r="D197" s="685">
        <v>-0.3</v>
      </c>
      <c r="E197" s="687" t="s">
        <v>62</v>
      </c>
      <c r="F197" s="678">
        <f t="shared" si="54"/>
        <v>0</v>
      </c>
      <c r="H197" s="675">
        <v>6</v>
      </c>
      <c r="I197" s="688">
        <v>80</v>
      </c>
      <c r="J197" s="685">
        <v>-0.5</v>
      </c>
      <c r="K197" s="687" t="s">
        <v>62</v>
      </c>
      <c r="L197" s="678">
        <f t="shared" si="55"/>
        <v>0</v>
      </c>
      <c r="N197" s="675">
        <v>6</v>
      </c>
      <c r="O197" s="694">
        <v>1005</v>
      </c>
      <c r="P197" s="695">
        <v>-0.7</v>
      </c>
      <c r="Q197" s="687" t="s">
        <v>62</v>
      </c>
      <c r="R197" s="678">
        <f t="shared" si="56"/>
        <v>0</v>
      </c>
    </row>
    <row r="198" spans="1:21" ht="13.5" thickBot="1">
      <c r="A198" s="1378"/>
      <c r="B198" s="689">
        <v>7</v>
      </c>
      <c r="C198" s="726">
        <v>40</v>
      </c>
      <c r="D198" s="690">
        <v>-0.4</v>
      </c>
      <c r="E198" s="691" t="s">
        <v>62</v>
      </c>
      <c r="F198" s="692">
        <f t="shared" si="54"/>
        <v>0</v>
      </c>
      <c r="G198" s="693"/>
      <c r="H198" s="689">
        <v>7</v>
      </c>
      <c r="I198" s="726">
        <v>90</v>
      </c>
      <c r="J198" s="690">
        <v>-0.8</v>
      </c>
      <c r="K198" s="691" t="s">
        <v>62</v>
      </c>
      <c r="L198" s="692">
        <f t="shared" si="55"/>
        <v>0</v>
      </c>
      <c r="M198" s="693"/>
      <c r="N198" s="689">
        <v>7</v>
      </c>
      <c r="O198" s="694">
        <v>1020</v>
      </c>
      <c r="P198" s="677">
        <v>9.9999999999999995E-7</v>
      </c>
      <c r="Q198" s="691" t="s">
        <v>62</v>
      </c>
      <c r="R198" s="692">
        <f t="shared" si="56"/>
        <v>0</v>
      </c>
    </row>
    <row r="199" spans="1:21" ht="13" thickBot="1">
      <c r="A199" s="728"/>
      <c r="C199" s="729"/>
      <c r="D199" s="730"/>
      <c r="E199" s="731"/>
      <c r="F199" s="425"/>
      <c r="I199" s="729"/>
      <c r="J199" s="730"/>
      <c r="K199" s="731"/>
      <c r="L199" s="425"/>
      <c r="O199" s="730"/>
      <c r="P199" s="732"/>
      <c r="Q199" s="731"/>
      <c r="R199" s="425"/>
    </row>
    <row r="200" spans="1:21" ht="13" thickBot="1">
      <c r="A200" s="1376">
        <v>19</v>
      </c>
      <c r="B200" s="1379" t="s">
        <v>433</v>
      </c>
      <c r="C200" s="1380"/>
      <c r="D200" s="1380"/>
      <c r="E200" s="1380"/>
      <c r="F200" s="1381"/>
      <c r="G200" s="670"/>
      <c r="H200" s="1379" t="str">
        <f>B200</f>
        <v>KOREKSI EXTECH A.100615</v>
      </c>
      <c r="I200" s="1380"/>
      <c r="J200" s="1380"/>
      <c r="K200" s="1380"/>
      <c r="L200" s="1381"/>
      <c r="M200" s="670"/>
      <c r="N200" s="1379" t="str">
        <f>H200</f>
        <v>KOREKSI EXTECH A.100615</v>
      </c>
      <c r="O200" s="1380"/>
      <c r="P200" s="1380"/>
      <c r="Q200" s="1380"/>
      <c r="R200" s="1381"/>
      <c r="T200" s="1353" t="s">
        <v>77</v>
      </c>
      <c r="U200" s="1354"/>
    </row>
    <row r="201" spans="1:21" ht="13.5" thickBot="1">
      <c r="A201" s="1377"/>
      <c r="B201" s="1355" t="s">
        <v>239</v>
      </c>
      <c r="C201" s="1356"/>
      <c r="D201" s="1357" t="s">
        <v>75</v>
      </c>
      <c r="E201" s="1358"/>
      <c r="F201" s="1359" t="s">
        <v>74</v>
      </c>
      <c r="H201" s="1355" t="s">
        <v>243</v>
      </c>
      <c r="I201" s="1356"/>
      <c r="J201" s="1357" t="s">
        <v>75</v>
      </c>
      <c r="K201" s="1358"/>
      <c r="L201" s="1359" t="s">
        <v>74</v>
      </c>
      <c r="N201" s="1355" t="s">
        <v>424</v>
      </c>
      <c r="O201" s="1356"/>
      <c r="P201" s="1357" t="s">
        <v>75</v>
      </c>
      <c r="Q201" s="1358"/>
      <c r="R201" s="1359" t="s">
        <v>74</v>
      </c>
      <c r="T201" s="671" t="s">
        <v>239</v>
      </c>
      <c r="U201" s="672">
        <v>0.1</v>
      </c>
    </row>
    <row r="202" spans="1:21" ht="15" thickBot="1">
      <c r="A202" s="1377"/>
      <c r="B202" s="1364" t="s">
        <v>246</v>
      </c>
      <c r="C202" s="1365"/>
      <c r="D202" s="700">
        <v>2021</v>
      </c>
      <c r="E202" s="717" t="s">
        <v>62</v>
      </c>
      <c r="F202" s="1360"/>
      <c r="H202" s="1366" t="s">
        <v>76</v>
      </c>
      <c r="I202" s="1367"/>
      <c r="J202" s="701">
        <f>D202</f>
        <v>2021</v>
      </c>
      <c r="K202" s="701" t="str">
        <f>E202</f>
        <v>-</v>
      </c>
      <c r="L202" s="1360"/>
      <c r="N202" s="1366" t="s">
        <v>425</v>
      </c>
      <c r="O202" s="1367"/>
      <c r="P202" s="701">
        <f>J202</f>
        <v>2021</v>
      </c>
      <c r="Q202" s="701" t="str">
        <f>K202</f>
        <v>-</v>
      </c>
      <c r="R202" s="1360"/>
      <c r="T202" s="671" t="s">
        <v>76</v>
      </c>
      <c r="U202" s="672">
        <v>1.5</v>
      </c>
    </row>
    <row r="203" spans="1:21" ht="13.5" thickBot="1">
      <c r="A203" s="1377"/>
      <c r="B203" s="675">
        <v>1</v>
      </c>
      <c r="C203" s="679">
        <v>15</v>
      </c>
      <c r="D203" s="677">
        <v>9.9999999999999995E-7</v>
      </c>
      <c r="E203" s="718" t="s">
        <v>62</v>
      </c>
      <c r="F203" s="703">
        <f t="shared" ref="F203:F209" si="57">0.5*(MAX(D203:E203)-MIN(D203:E203))</f>
        <v>0</v>
      </c>
      <c r="H203" s="675">
        <v>1</v>
      </c>
      <c r="I203" s="679">
        <v>30</v>
      </c>
      <c r="J203" s="709">
        <v>-1.5</v>
      </c>
      <c r="K203" s="718" t="s">
        <v>62</v>
      </c>
      <c r="L203" s="703">
        <f t="shared" ref="L203:L209" si="58">0.5*(MAX(J203:K203)-MIN(J203:K203))</f>
        <v>0</v>
      </c>
      <c r="N203" s="675">
        <v>1</v>
      </c>
      <c r="O203" s="679">
        <v>750</v>
      </c>
      <c r="P203" s="680">
        <v>2.5</v>
      </c>
      <c r="Q203" s="718" t="s">
        <v>62</v>
      </c>
      <c r="R203" s="703">
        <f t="shared" ref="R203:R209" si="59">0.5*(MAX(P203:Q203)-MIN(P203:Q203))</f>
        <v>0</v>
      </c>
      <c r="T203" s="681" t="s">
        <v>425</v>
      </c>
      <c r="U203" s="682">
        <v>0.4</v>
      </c>
    </row>
    <row r="204" spans="1:21" ht="13">
      <c r="A204" s="1377"/>
      <c r="B204" s="675">
        <v>2</v>
      </c>
      <c r="C204" s="683">
        <v>20</v>
      </c>
      <c r="D204" s="676">
        <v>0.1</v>
      </c>
      <c r="E204" s="719" t="s">
        <v>62</v>
      </c>
      <c r="F204" s="678">
        <f t="shared" si="57"/>
        <v>0</v>
      </c>
      <c r="H204" s="675">
        <v>2</v>
      </c>
      <c r="I204" s="683">
        <v>40</v>
      </c>
      <c r="J204" s="676">
        <v>-0.8</v>
      </c>
      <c r="K204" s="719" t="s">
        <v>62</v>
      </c>
      <c r="L204" s="678">
        <f t="shared" si="58"/>
        <v>0</v>
      </c>
      <c r="N204" s="675">
        <v>2</v>
      </c>
      <c r="O204" s="683">
        <v>800</v>
      </c>
      <c r="P204" s="684">
        <v>2.5</v>
      </c>
      <c r="Q204" s="719" t="s">
        <v>62</v>
      </c>
      <c r="R204" s="678">
        <f t="shared" si="59"/>
        <v>0</v>
      </c>
    </row>
    <row r="205" spans="1:21" ht="13">
      <c r="A205" s="1377"/>
      <c r="B205" s="675">
        <v>3</v>
      </c>
      <c r="C205" s="683">
        <v>25</v>
      </c>
      <c r="D205" s="677">
        <v>9.9999999999999995E-7</v>
      </c>
      <c r="E205" s="719" t="s">
        <v>62</v>
      </c>
      <c r="F205" s="678">
        <f t="shared" si="57"/>
        <v>0</v>
      </c>
      <c r="H205" s="675">
        <v>3</v>
      </c>
      <c r="I205" s="683">
        <v>50</v>
      </c>
      <c r="J205" s="676">
        <v>-0.2</v>
      </c>
      <c r="K205" s="719" t="s">
        <v>62</v>
      </c>
      <c r="L205" s="678">
        <f t="shared" si="58"/>
        <v>0</v>
      </c>
      <c r="N205" s="675">
        <v>3</v>
      </c>
      <c r="O205" s="683">
        <v>850</v>
      </c>
      <c r="P205" s="684">
        <v>2.4</v>
      </c>
      <c r="Q205" s="719" t="s">
        <v>62</v>
      </c>
      <c r="R205" s="678">
        <f t="shared" si="59"/>
        <v>0</v>
      </c>
    </row>
    <row r="206" spans="1:21" ht="13">
      <c r="A206" s="1377"/>
      <c r="B206" s="675">
        <v>4</v>
      </c>
      <c r="C206" s="688">
        <v>30</v>
      </c>
      <c r="D206" s="685">
        <v>-0.1</v>
      </c>
      <c r="E206" s="687" t="s">
        <v>62</v>
      </c>
      <c r="F206" s="678">
        <f t="shared" si="57"/>
        <v>0</v>
      </c>
      <c r="H206" s="675">
        <v>4</v>
      </c>
      <c r="I206" s="688">
        <v>60</v>
      </c>
      <c r="J206" s="685">
        <v>0.4</v>
      </c>
      <c r="K206" s="687" t="s">
        <v>62</v>
      </c>
      <c r="L206" s="678">
        <f t="shared" si="58"/>
        <v>0</v>
      </c>
      <c r="N206" s="675">
        <v>4</v>
      </c>
      <c r="O206" s="688">
        <v>900</v>
      </c>
      <c r="P206" s="686">
        <v>2.2999999999999998</v>
      </c>
      <c r="Q206" s="687" t="s">
        <v>62</v>
      </c>
      <c r="R206" s="678">
        <f t="shared" si="59"/>
        <v>0</v>
      </c>
    </row>
    <row r="207" spans="1:21" ht="13">
      <c r="A207" s="1377"/>
      <c r="B207" s="675">
        <v>5</v>
      </c>
      <c r="C207" s="688">
        <v>35</v>
      </c>
      <c r="D207" s="685">
        <v>-0.1</v>
      </c>
      <c r="E207" s="687" t="s">
        <v>62</v>
      </c>
      <c r="F207" s="678">
        <f t="shared" si="57"/>
        <v>0</v>
      </c>
      <c r="H207" s="675">
        <v>5</v>
      </c>
      <c r="I207" s="688">
        <v>70</v>
      </c>
      <c r="J207" s="685">
        <v>-0.7</v>
      </c>
      <c r="K207" s="687" t="s">
        <v>62</v>
      </c>
      <c r="L207" s="678">
        <f t="shared" si="58"/>
        <v>0</v>
      </c>
      <c r="N207" s="675">
        <v>5</v>
      </c>
      <c r="O207" s="688">
        <v>1000</v>
      </c>
      <c r="P207" s="686">
        <v>2.2000000000000002</v>
      </c>
      <c r="Q207" s="687" t="s">
        <v>62</v>
      </c>
      <c r="R207" s="678">
        <f t="shared" si="59"/>
        <v>0</v>
      </c>
    </row>
    <row r="208" spans="1:21" ht="13">
      <c r="A208" s="1377"/>
      <c r="B208" s="675">
        <v>6</v>
      </c>
      <c r="C208" s="688">
        <v>37</v>
      </c>
      <c r="D208" s="677">
        <v>9.9999999999999995E-7</v>
      </c>
      <c r="E208" s="687" t="s">
        <v>62</v>
      </c>
      <c r="F208" s="678">
        <f t="shared" si="57"/>
        <v>0</v>
      </c>
      <c r="H208" s="675">
        <v>6</v>
      </c>
      <c r="I208" s="688">
        <v>80</v>
      </c>
      <c r="J208" s="685">
        <v>-0.9</v>
      </c>
      <c r="K208" s="687" t="s">
        <v>62</v>
      </c>
      <c r="L208" s="678">
        <f t="shared" si="58"/>
        <v>0</v>
      </c>
      <c r="N208" s="675">
        <v>6</v>
      </c>
      <c r="O208" s="688">
        <v>1005</v>
      </c>
      <c r="P208" s="686">
        <v>2.2000000000000002</v>
      </c>
      <c r="Q208" s="687" t="s">
        <v>62</v>
      </c>
      <c r="R208" s="678">
        <f t="shared" si="59"/>
        <v>0</v>
      </c>
    </row>
    <row r="209" spans="1:23" ht="13.5" thickBot="1">
      <c r="A209" s="1378"/>
      <c r="B209" s="689">
        <v>7</v>
      </c>
      <c r="C209" s="726">
        <v>40</v>
      </c>
      <c r="D209" s="690">
        <v>0.2</v>
      </c>
      <c r="E209" s="691" t="s">
        <v>62</v>
      </c>
      <c r="F209" s="692">
        <f t="shared" si="57"/>
        <v>0</v>
      </c>
      <c r="G209" s="693"/>
      <c r="H209" s="689">
        <v>7</v>
      </c>
      <c r="I209" s="726">
        <v>90</v>
      </c>
      <c r="J209" s="690">
        <v>-0.6</v>
      </c>
      <c r="K209" s="691" t="s">
        <v>62</v>
      </c>
      <c r="L209" s="692">
        <f t="shared" si="58"/>
        <v>0</v>
      </c>
      <c r="M209" s="693"/>
      <c r="N209" s="689">
        <v>7</v>
      </c>
      <c r="O209" s="694">
        <v>1020</v>
      </c>
      <c r="P209" s="695">
        <v>2.2999999999999998</v>
      </c>
      <c r="Q209" s="691" t="s">
        <v>62</v>
      </c>
      <c r="R209" s="692">
        <f t="shared" si="59"/>
        <v>0</v>
      </c>
    </row>
    <row r="210" spans="1:23" ht="13" thickBot="1">
      <c r="A210" s="728"/>
      <c r="C210" s="729"/>
      <c r="D210" s="730"/>
      <c r="E210" s="731"/>
      <c r="F210" s="425"/>
      <c r="I210" s="729"/>
      <c r="J210" s="730"/>
      <c r="K210" s="731"/>
      <c r="L210" s="425"/>
      <c r="O210" s="730"/>
      <c r="P210" s="732"/>
      <c r="Q210" s="731"/>
      <c r="R210" s="425"/>
    </row>
    <row r="211" spans="1:23" ht="13" thickBot="1">
      <c r="A211" s="1376">
        <v>20</v>
      </c>
      <c r="B211" s="1379">
        <v>20</v>
      </c>
      <c r="C211" s="1380"/>
      <c r="D211" s="1380"/>
      <c r="E211" s="1380"/>
      <c r="F211" s="1381"/>
      <c r="G211" s="670"/>
      <c r="H211" s="1379">
        <f>B211</f>
        <v>20</v>
      </c>
      <c r="I211" s="1380"/>
      <c r="J211" s="1380"/>
      <c r="K211" s="1380"/>
      <c r="L211" s="1381"/>
      <c r="M211" s="670"/>
      <c r="N211" s="1379">
        <f>H211</f>
        <v>20</v>
      </c>
      <c r="O211" s="1380"/>
      <c r="P211" s="1380"/>
      <c r="Q211" s="1380"/>
      <c r="R211" s="1381"/>
      <c r="T211" s="1353" t="s">
        <v>77</v>
      </c>
      <c r="U211" s="1354"/>
    </row>
    <row r="212" spans="1:23" ht="13.5" thickBot="1">
      <c r="A212" s="1377"/>
      <c r="B212" s="1355" t="s">
        <v>239</v>
      </c>
      <c r="C212" s="1356"/>
      <c r="D212" s="1357" t="s">
        <v>75</v>
      </c>
      <c r="E212" s="1358"/>
      <c r="F212" s="1359" t="s">
        <v>74</v>
      </c>
      <c r="H212" s="1355" t="s">
        <v>243</v>
      </c>
      <c r="I212" s="1356"/>
      <c r="J212" s="1357" t="s">
        <v>75</v>
      </c>
      <c r="K212" s="1358"/>
      <c r="L212" s="1359" t="s">
        <v>74</v>
      </c>
      <c r="N212" s="1355" t="s">
        <v>424</v>
      </c>
      <c r="O212" s="1356"/>
      <c r="P212" s="1357" t="s">
        <v>75</v>
      </c>
      <c r="Q212" s="1358"/>
      <c r="R212" s="1359" t="s">
        <v>74</v>
      </c>
      <c r="T212" s="671" t="s">
        <v>239</v>
      </c>
      <c r="U212" s="672">
        <v>0</v>
      </c>
    </row>
    <row r="213" spans="1:23" ht="15" thickBot="1">
      <c r="A213" s="1377"/>
      <c r="B213" s="1364" t="s">
        <v>246</v>
      </c>
      <c r="C213" s="1365"/>
      <c r="D213" s="700">
        <v>2017</v>
      </c>
      <c r="E213" s="717" t="s">
        <v>62</v>
      </c>
      <c r="F213" s="1360"/>
      <c r="H213" s="1366" t="s">
        <v>76</v>
      </c>
      <c r="I213" s="1367"/>
      <c r="J213" s="701">
        <f>D213</f>
        <v>2017</v>
      </c>
      <c r="K213" s="701" t="str">
        <f>E213</f>
        <v>-</v>
      </c>
      <c r="L213" s="1360"/>
      <c r="N213" s="1366" t="s">
        <v>425</v>
      </c>
      <c r="O213" s="1367"/>
      <c r="P213" s="701">
        <f>J213</f>
        <v>2017</v>
      </c>
      <c r="Q213" s="701" t="str">
        <f>K213</f>
        <v>-</v>
      </c>
      <c r="R213" s="1360"/>
      <c r="T213" s="671" t="s">
        <v>76</v>
      </c>
      <c r="U213" s="672">
        <v>0</v>
      </c>
    </row>
    <row r="214" spans="1:23" ht="13.5" thickBot="1">
      <c r="A214" s="1377"/>
      <c r="B214" s="675">
        <v>1</v>
      </c>
      <c r="C214" s="679">
        <v>14.8</v>
      </c>
      <c r="D214" s="677">
        <v>9.9999999999999995E-7</v>
      </c>
      <c r="E214" s="718" t="s">
        <v>62</v>
      </c>
      <c r="F214" s="703">
        <f t="shared" ref="F214:F220" si="60">0.5*(MAX(D214:E214)-MIN(D214:E214))</f>
        <v>0</v>
      </c>
      <c r="H214" s="675">
        <v>1</v>
      </c>
      <c r="I214" s="679">
        <v>45.7</v>
      </c>
      <c r="J214" s="677">
        <v>9.9999999999999995E-7</v>
      </c>
      <c r="K214" s="718" t="s">
        <v>62</v>
      </c>
      <c r="L214" s="703">
        <f t="shared" ref="L214:L220" si="61">0.5*(MAX(J214:K214)-MIN(J214:K214))</f>
        <v>0</v>
      </c>
      <c r="N214" s="675">
        <v>1</v>
      </c>
      <c r="O214" s="679">
        <v>750</v>
      </c>
      <c r="P214" s="680" t="s">
        <v>62</v>
      </c>
      <c r="Q214" s="718" t="s">
        <v>62</v>
      </c>
      <c r="R214" s="703">
        <f t="shared" ref="R214:R220" si="62">0.5*(MAX(P214:Q214)-MIN(P214:Q214))</f>
        <v>0</v>
      </c>
      <c r="T214" s="681" t="s">
        <v>425</v>
      </c>
      <c r="U214" s="682">
        <v>0</v>
      </c>
    </row>
    <row r="215" spans="1:23" ht="13">
      <c r="A215" s="1377"/>
      <c r="B215" s="675">
        <v>2</v>
      </c>
      <c r="C215" s="683">
        <v>19.7</v>
      </c>
      <c r="D215" s="677">
        <v>9.9999999999999995E-7</v>
      </c>
      <c r="E215" s="719" t="s">
        <v>62</v>
      </c>
      <c r="F215" s="678">
        <f t="shared" si="60"/>
        <v>0</v>
      </c>
      <c r="H215" s="675">
        <v>2</v>
      </c>
      <c r="I215" s="683">
        <v>54.3</v>
      </c>
      <c r="J215" s="677">
        <v>9.9999999999999995E-7</v>
      </c>
      <c r="K215" s="719" t="s">
        <v>62</v>
      </c>
      <c r="L215" s="678">
        <f t="shared" si="61"/>
        <v>0</v>
      </c>
      <c r="N215" s="675">
        <v>2</v>
      </c>
      <c r="O215" s="683">
        <v>800</v>
      </c>
      <c r="P215" s="684" t="s">
        <v>62</v>
      </c>
      <c r="Q215" s="719" t="s">
        <v>62</v>
      </c>
      <c r="R215" s="678">
        <f t="shared" si="62"/>
        <v>0</v>
      </c>
    </row>
    <row r="216" spans="1:23" ht="13">
      <c r="A216" s="1377"/>
      <c r="B216" s="675">
        <v>3</v>
      </c>
      <c r="C216" s="683">
        <v>24.6</v>
      </c>
      <c r="D216" s="677">
        <v>9.9999999999999995E-7</v>
      </c>
      <c r="E216" s="719" t="s">
        <v>62</v>
      </c>
      <c r="F216" s="678">
        <f t="shared" si="60"/>
        <v>0</v>
      </c>
      <c r="H216" s="675">
        <v>3</v>
      </c>
      <c r="I216" s="683">
        <v>62.5</v>
      </c>
      <c r="J216" s="677">
        <v>9.9999999999999995E-7</v>
      </c>
      <c r="K216" s="719" t="s">
        <v>62</v>
      </c>
      <c r="L216" s="678">
        <f t="shared" si="61"/>
        <v>0</v>
      </c>
      <c r="N216" s="675">
        <v>3</v>
      </c>
      <c r="O216" s="683">
        <v>850</v>
      </c>
      <c r="P216" s="684" t="s">
        <v>62</v>
      </c>
      <c r="Q216" s="719" t="s">
        <v>62</v>
      </c>
      <c r="R216" s="678">
        <f t="shared" si="62"/>
        <v>0</v>
      </c>
    </row>
    <row r="217" spans="1:23" ht="13">
      <c r="A217" s="1377"/>
      <c r="B217" s="675">
        <v>4</v>
      </c>
      <c r="C217" s="688">
        <v>29.5</v>
      </c>
      <c r="D217" s="677">
        <v>9.9999999999999995E-7</v>
      </c>
      <c r="E217" s="687" t="s">
        <v>62</v>
      </c>
      <c r="F217" s="678">
        <f t="shared" si="60"/>
        <v>0</v>
      </c>
      <c r="H217" s="675">
        <v>4</v>
      </c>
      <c r="I217" s="688">
        <v>71.5</v>
      </c>
      <c r="J217" s="677">
        <v>9.9999999999999995E-7</v>
      </c>
      <c r="K217" s="687" t="s">
        <v>62</v>
      </c>
      <c r="L217" s="678">
        <f t="shared" si="61"/>
        <v>0</v>
      </c>
      <c r="N217" s="675">
        <v>4</v>
      </c>
      <c r="O217" s="688">
        <v>900</v>
      </c>
      <c r="P217" s="686" t="s">
        <v>62</v>
      </c>
      <c r="Q217" s="687" t="s">
        <v>62</v>
      </c>
      <c r="R217" s="678">
        <f t="shared" si="62"/>
        <v>0</v>
      </c>
    </row>
    <row r="218" spans="1:23" ht="13">
      <c r="A218" s="1377"/>
      <c r="B218" s="675">
        <v>5</v>
      </c>
      <c r="C218" s="688">
        <v>34.5</v>
      </c>
      <c r="D218" s="677">
        <v>9.9999999999999995E-7</v>
      </c>
      <c r="E218" s="687" t="s">
        <v>62</v>
      </c>
      <c r="F218" s="678">
        <f t="shared" si="60"/>
        <v>0</v>
      </c>
      <c r="H218" s="675">
        <v>5</v>
      </c>
      <c r="I218" s="688">
        <v>80.8</v>
      </c>
      <c r="J218" s="677">
        <v>9.9999999999999995E-7</v>
      </c>
      <c r="K218" s="687" t="s">
        <v>62</v>
      </c>
      <c r="L218" s="678">
        <f t="shared" si="61"/>
        <v>0</v>
      </c>
      <c r="N218" s="675">
        <v>5</v>
      </c>
      <c r="O218" s="688">
        <v>1000</v>
      </c>
      <c r="P218" s="686" t="s">
        <v>62</v>
      </c>
      <c r="Q218" s="687" t="s">
        <v>62</v>
      </c>
      <c r="R218" s="678">
        <f t="shared" si="62"/>
        <v>0</v>
      </c>
    </row>
    <row r="219" spans="1:23" ht="13">
      <c r="A219" s="1377"/>
      <c r="B219" s="675">
        <v>6</v>
      </c>
      <c r="C219" s="688">
        <v>39.5</v>
      </c>
      <c r="D219" s="677">
        <v>9.9999999999999995E-7</v>
      </c>
      <c r="E219" s="687" t="s">
        <v>62</v>
      </c>
      <c r="F219" s="678">
        <f t="shared" si="60"/>
        <v>0</v>
      </c>
      <c r="H219" s="675">
        <v>6</v>
      </c>
      <c r="I219" s="688">
        <v>88.7</v>
      </c>
      <c r="J219" s="677">
        <v>9.9999999999999995E-7</v>
      </c>
      <c r="K219" s="687" t="s">
        <v>62</v>
      </c>
      <c r="L219" s="678">
        <f t="shared" si="61"/>
        <v>0</v>
      </c>
      <c r="N219" s="675">
        <v>6</v>
      </c>
      <c r="O219" s="688">
        <v>1005</v>
      </c>
      <c r="P219" s="686" t="s">
        <v>62</v>
      </c>
      <c r="Q219" s="687" t="s">
        <v>62</v>
      </c>
      <c r="R219" s="678">
        <f t="shared" si="62"/>
        <v>0</v>
      </c>
    </row>
    <row r="220" spans="1:23" ht="13.5" thickBot="1">
      <c r="A220" s="1378"/>
      <c r="B220" s="689">
        <v>7</v>
      </c>
      <c r="C220" s="726">
        <v>40</v>
      </c>
      <c r="D220" s="677">
        <v>9.9999999999999995E-7</v>
      </c>
      <c r="E220" s="691" t="s">
        <v>62</v>
      </c>
      <c r="F220" s="692">
        <f t="shared" si="60"/>
        <v>0</v>
      </c>
      <c r="G220" s="693"/>
      <c r="H220" s="689">
        <v>7</v>
      </c>
      <c r="I220" s="726">
        <v>90</v>
      </c>
      <c r="J220" s="677">
        <v>9.9999999999999995E-7</v>
      </c>
      <c r="K220" s="691" t="s">
        <v>62</v>
      </c>
      <c r="L220" s="692">
        <f t="shared" si="61"/>
        <v>0</v>
      </c>
      <c r="M220" s="693"/>
      <c r="N220" s="689">
        <v>7</v>
      </c>
      <c r="O220" s="694">
        <v>1020</v>
      </c>
      <c r="P220" s="695" t="s">
        <v>62</v>
      </c>
      <c r="Q220" s="691" t="s">
        <v>62</v>
      </c>
      <c r="R220" s="692">
        <f t="shared" si="62"/>
        <v>0</v>
      </c>
    </row>
    <row r="221" spans="1:23" ht="13.5" thickBot="1">
      <c r="A221" s="733"/>
      <c r="B221" s="1363"/>
      <c r="C221" s="1363"/>
      <c r="D221" s="1363"/>
      <c r="E221" s="1363"/>
      <c r="F221" s="1363"/>
      <c r="G221" s="1363"/>
      <c r="H221" s="1363"/>
      <c r="I221" s="1363"/>
      <c r="J221" s="1363"/>
      <c r="K221" s="1363"/>
      <c r="L221" s="1363"/>
      <c r="M221" s="1363"/>
      <c r="N221" s="1363"/>
      <c r="O221" s="1363"/>
      <c r="P221" s="1363"/>
      <c r="Q221" s="1363"/>
      <c r="R221" s="1363"/>
      <c r="S221" s="1363"/>
      <c r="T221" s="1363"/>
      <c r="U221" s="1363"/>
    </row>
    <row r="222" spans="1:23" ht="13">
      <c r="A222" s="698"/>
      <c r="B222" s="698"/>
      <c r="C222" s="698"/>
      <c r="D222" s="698"/>
      <c r="E222" s="698"/>
      <c r="F222" s="698"/>
      <c r="G222" s="698"/>
      <c r="H222" s="698"/>
      <c r="I222" s="698"/>
      <c r="J222" s="698"/>
      <c r="K222" s="698"/>
      <c r="L222" s="698"/>
      <c r="M222" s="698"/>
      <c r="N222" s="698"/>
      <c r="O222" s="698"/>
      <c r="P222" s="698"/>
    </row>
    <row r="223" spans="1:23" ht="12.75" hidden="1" customHeight="1">
      <c r="A223" s="1368" t="s">
        <v>12</v>
      </c>
      <c r="B223" s="1370" t="s">
        <v>245</v>
      </c>
      <c r="C223" s="1372" t="s">
        <v>73</v>
      </c>
      <c r="D223" s="1372"/>
      <c r="E223" s="1372"/>
      <c r="F223" s="1372"/>
      <c r="G223" s="258"/>
      <c r="H223" s="1373" t="s">
        <v>12</v>
      </c>
      <c r="I223" s="1370" t="s">
        <v>245</v>
      </c>
      <c r="J223" s="1372" t="s">
        <v>73</v>
      </c>
      <c r="K223" s="1372"/>
      <c r="L223" s="1372"/>
      <c r="M223" s="1372"/>
      <c r="N223" s="257"/>
      <c r="O223" s="1373" t="s">
        <v>12</v>
      </c>
      <c r="P223" s="1370" t="s">
        <v>245</v>
      </c>
      <c r="Q223" s="1372" t="s">
        <v>73</v>
      </c>
      <c r="R223" s="1372"/>
      <c r="S223" s="1372"/>
      <c r="T223" s="1375"/>
      <c r="V223" s="1347" t="s">
        <v>77</v>
      </c>
      <c r="W223" s="1348"/>
    </row>
    <row r="224" spans="1:23" ht="13.5" hidden="1">
      <c r="A224" s="1369"/>
      <c r="B224" s="1371"/>
      <c r="C224" s="734" t="s">
        <v>239</v>
      </c>
      <c r="D224" s="1361" t="s">
        <v>75</v>
      </c>
      <c r="E224" s="1361"/>
      <c r="F224" s="1361" t="s">
        <v>74</v>
      </c>
      <c r="G224" s="698"/>
      <c r="H224" s="1374"/>
      <c r="I224" s="1371"/>
      <c r="J224" s="734" t="s">
        <v>243</v>
      </c>
      <c r="K224" s="1361" t="s">
        <v>75</v>
      </c>
      <c r="L224" s="1361"/>
      <c r="M224" s="1361" t="s">
        <v>74</v>
      </c>
      <c r="N224" s="698"/>
      <c r="O224" s="1374"/>
      <c r="P224" s="1371"/>
      <c r="Q224" s="734" t="s">
        <v>424</v>
      </c>
      <c r="R224" s="1361" t="s">
        <v>75</v>
      </c>
      <c r="S224" s="1361"/>
      <c r="T224" s="1362" t="s">
        <v>74</v>
      </c>
      <c r="V224" s="1349" t="s">
        <v>239</v>
      </c>
      <c r="W224" s="1350"/>
    </row>
    <row r="225" spans="1:23" ht="14" hidden="1">
      <c r="A225" s="1369"/>
      <c r="B225" s="1371"/>
      <c r="C225" s="735" t="s">
        <v>240</v>
      </c>
      <c r="D225" s="734"/>
      <c r="E225" s="734"/>
      <c r="F225" s="1361"/>
      <c r="G225" s="698"/>
      <c r="H225" s="1374"/>
      <c r="I225" s="1371"/>
      <c r="J225" s="735" t="s">
        <v>76</v>
      </c>
      <c r="K225" s="734"/>
      <c r="L225" s="734"/>
      <c r="M225" s="1361"/>
      <c r="N225" s="698"/>
      <c r="O225" s="1374"/>
      <c r="P225" s="1371"/>
      <c r="Q225" s="735" t="s">
        <v>425</v>
      </c>
      <c r="R225" s="734"/>
      <c r="S225" s="734"/>
      <c r="T225" s="1362"/>
      <c r="V225" s="736">
        <v>1</v>
      </c>
      <c r="W225" s="737">
        <f>U3</f>
        <v>0.6</v>
      </c>
    </row>
    <row r="226" spans="1:23" ht="13" hidden="1">
      <c r="A226" s="1351">
        <v>1</v>
      </c>
      <c r="B226" s="738">
        <v>1</v>
      </c>
      <c r="C226" s="739">
        <f>C5</f>
        <v>15</v>
      </c>
      <c r="D226" s="739">
        <f t="shared" ref="D226:F226" si="63">D5</f>
        <v>-0.5</v>
      </c>
      <c r="E226" s="739">
        <f t="shared" si="63"/>
        <v>0.3</v>
      </c>
      <c r="F226" s="739">
        <f t="shared" si="63"/>
        <v>0.4</v>
      </c>
      <c r="G226" s="698"/>
      <c r="H226" s="1352">
        <v>1</v>
      </c>
      <c r="I226" s="738">
        <v>1</v>
      </c>
      <c r="J226" s="739">
        <f>I5</f>
        <v>35</v>
      </c>
      <c r="K226" s="739">
        <f t="shared" ref="K226:M226" si="64">J5</f>
        <v>-6</v>
      </c>
      <c r="L226" s="739">
        <f t="shared" si="64"/>
        <v>-9.4</v>
      </c>
      <c r="M226" s="739">
        <f t="shared" si="64"/>
        <v>1.7000000000000002</v>
      </c>
      <c r="N226" s="698"/>
      <c r="O226" s="1352">
        <v>1</v>
      </c>
      <c r="P226" s="738">
        <v>1</v>
      </c>
      <c r="Q226" s="739">
        <f>O5</f>
        <v>750</v>
      </c>
      <c r="R226" s="739" t="str">
        <f t="shared" ref="R226:T226" si="65">P5</f>
        <v>-</v>
      </c>
      <c r="S226" s="739" t="str">
        <f t="shared" si="65"/>
        <v>-</v>
      </c>
      <c r="T226" s="740">
        <f t="shared" si="65"/>
        <v>0</v>
      </c>
      <c r="V226" s="741">
        <v>2</v>
      </c>
      <c r="W226" s="742">
        <f>U14</f>
        <v>0.8</v>
      </c>
    </row>
    <row r="227" spans="1:23" ht="13" hidden="1">
      <c r="A227" s="1342"/>
      <c r="B227" s="738">
        <v>2</v>
      </c>
      <c r="C227" s="739">
        <f>C16</f>
        <v>15</v>
      </c>
      <c r="D227" s="739">
        <f t="shared" ref="D227:F227" si="66">D16</f>
        <v>0.4</v>
      </c>
      <c r="E227" s="739">
        <f t="shared" si="66"/>
        <v>9.9999999999999995E-7</v>
      </c>
      <c r="F227" s="739">
        <f t="shared" si="66"/>
        <v>0.19999950000000002</v>
      </c>
      <c r="G227" s="698"/>
      <c r="H227" s="1345"/>
      <c r="I227" s="738">
        <v>2</v>
      </c>
      <c r="J227" s="739">
        <f>I16</f>
        <v>35</v>
      </c>
      <c r="K227" s="739">
        <f t="shared" ref="K227:M227" si="67">J16</f>
        <v>-6.9</v>
      </c>
      <c r="L227" s="739">
        <f t="shared" si="67"/>
        <v>-1.6</v>
      </c>
      <c r="M227" s="739">
        <f t="shared" si="67"/>
        <v>2.6500000000000004</v>
      </c>
      <c r="N227" s="698"/>
      <c r="O227" s="1345"/>
      <c r="P227" s="738">
        <v>2</v>
      </c>
      <c r="Q227" s="739">
        <f>O16</f>
        <v>750</v>
      </c>
      <c r="R227" s="739" t="str">
        <f t="shared" ref="R227:T227" si="68">P16</f>
        <v>-</v>
      </c>
      <c r="S227" s="739" t="str">
        <f t="shared" si="68"/>
        <v>-</v>
      </c>
      <c r="T227" s="740">
        <f t="shared" si="68"/>
        <v>0</v>
      </c>
      <c r="V227" s="741">
        <v>3</v>
      </c>
      <c r="W227" s="743">
        <f>U25</f>
        <v>0.5</v>
      </c>
    </row>
    <row r="228" spans="1:23" ht="13" hidden="1">
      <c r="A228" s="1342"/>
      <c r="B228" s="738">
        <v>3</v>
      </c>
      <c r="C228" s="739">
        <f>C27</f>
        <v>15</v>
      </c>
      <c r="D228" s="739">
        <f t="shared" ref="D228:F228" si="69">D27</f>
        <v>0.4</v>
      </c>
      <c r="E228" s="739">
        <f t="shared" si="69"/>
        <v>9.9999999999999995E-7</v>
      </c>
      <c r="F228" s="739">
        <f t="shared" si="69"/>
        <v>0.19999950000000002</v>
      </c>
      <c r="G228" s="698"/>
      <c r="H228" s="1345"/>
      <c r="I228" s="738">
        <v>3</v>
      </c>
      <c r="J228" s="739">
        <f>I27</f>
        <v>30</v>
      </c>
      <c r="K228" s="739">
        <f t="shared" ref="K228:M228" si="70">J27</f>
        <v>-7.3</v>
      </c>
      <c r="L228" s="739">
        <f t="shared" si="70"/>
        <v>-5.7</v>
      </c>
      <c r="M228" s="739">
        <f t="shared" si="70"/>
        <v>0.79999999999999982</v>
      </c>
      <c r="N228" s="698"/>
      <c r="O228" s="1345"/>
      <c r="P228" s="738">
        <v>3</v>
      </c>
      <c r="Q228" s="739">
        <f>O27</f>
        <v>750</v>
      </c>
      <c r="R228" s="739" t="str">
        <f t="shared" ref="R228:T228" si="71">P27</f>
        <v>-</v>
      </c>
      <c r="S228" s="739" t="str">
        <f t="shared" si="71"/>
        <v>-</v>
      </c>
      <c r="T228" s="740">
        <f t="shared" si="71"/>
        <v>0</v>
      </c>
      <c r="V228" s="741">
        <v>4</v>
      </c>
      <c r="W228" s="743">
        <f>U37</f>
        <v>0.3</v>
      </c>
    </row>
    <row r="229" spans="1:23" ht="13" hidden="1">
      <c r="A229" s="1342"/>
      <c r="B229" s="738">
        <v>4</v>
      </c>
      <c r="C229" s="744">
        <f>C38</f>
        <v>15</v>
      </c>
      <c r="D229" s="744">
        <f t="shared" ref="D229:F229" si="72">D38</f>
        <v>-0.2</v>
      </c>
      <c r="E229" s="744">
        <f t="shared" si="72"/>
        <v>-0.1</v>
      </c>
      <c r="F229" s="744">
        <f t="shared" si="72"/>
        <v>0.05</v>
      </c>
      <c r="G229" s="698"/>
      <c r="H229" s="1345"/>
      <c r="I229" s="738">
        <v>4</v>
      </c>
      <c r="J229" s="744">
        <f>I38</f>
        <v>35</v>
      </c>
      <c r="K229" s="744">
        <f t="shared" ref="K229:M229" si="73">J38</f>
        <v>-4.5</v>
      </c>
      <c r="L229" s="744">
        <f t="shared" si="73"/>
        <v>-1.7</v>
      </c>
      <c r="M229" s="744">
        <f t="shared" si="73"/>
        <v>1.4</v>
      </c>
      <c r="N229" s="698"/>
      <c r="O229" s="1345"/>
      <c r="P229" s="738">
        <v>4</v>
      </c>
      <c r="Q229" s="744">
        <f>O38</f>
        <v>750</v>
      </c>
      <c r="R229" s="744" t="str">
        <f t="shared" ref="R229:T229" si="74">P38</f>
        <v>-</v>
      </c>
      <c r="S229" s="744" t="str">
        <f t="shared" si="74"/>
        <v>-</v>
      </c>
      <c r="T229" s="745">
        <f t="shared" si="74"/>
        <v>0</v>
      </c>
      <c r="V229" s="741">
        <v>5</v>
      </c>
      <c r="W229" s="743">
        <f>U47</f>
        <v>0.4</v>
      </c>
    </row>
    <row r="230" spans="1:23" ht="13" hidden="1">
      <c r="A230" s="1342"/>
      <c r="B230" s="738">
        <v>5</v>
      </c>
      <c r="C230" s="744">
        <f>C49</f>
        <v>15</v>
      </c>
      <c r="D230" s="744">
        <f t="shared" ref="D230:F230" si="75">D49</f>
        <v>-0.3</v>
      </c>
      <c r="E230" s="744">
        <f t="shared" si="75"/>
        <v>0.3</v>
      </c>
      <c r="F230" s="744">
        <f t="shared" si="75"/>
        <v>0.3</v>
      </c>
      <c r="G230" s="698"/>
      <c r="H230" s="1345"/>
      <c r="I230" s="738">
        <v>5</v>
      </c>
      <c r="J230" s="744">
        <f>I49</f>
        <v>35</v>
      </c>
      <c r="K230" s="744">
        <f t="shared" ref="K230:M230" si="76">J49</f>
        <v>-7.7</v>
      </c>
      <c r="L230" s="744">
        <f t="shared" si="76"/>
        <v>-9.6</v>
      </c>
      <c r="M230" s="744">
        <f t="shared" si="76"/>
        <v>0.94999999999999973</v>
      </c>
      <c r="N230" s="698"/>
      <c r="O230" s="1345"/>
      <c r="P230" s="738">
        <v>5</v>
      </c>
      <c r="Q230" s="744">
        <f>O49</f>
        <v>750</v>
      </c>
      <c r="R230" s="744" t="str">
        <f t="shared" ref="R230:T230" si="77">P49</f>
        <v>-</v>
      </c>
      <c r="S230" s="744" t="str">
        <f t="shared" si="77"/>
        <v>-</v>
      </c>
      <c r="T230" s="745">
        <f t="shared" si="77"/>
        <v>0</v>
      </c>
      <c r="V230" s="736">
        <v>6</v>
      </c>
      <c r="W230" s="737">
        <f>U58</f>
        <v>0.8</v>
      </c>
    </row>
    <row r="231" spans="1:23" ht="13" hidden="1">
      <c r="A231" s="1342"/>
      <c r="B231" s="738">
        <v>6</v>
      </c>
      <c r="C231" s="744">
        <f>C60</f>
        <v>15</v>
      </c>
      <c r="D231" s="744">
        <f t="shared" ref="D231:F231" si="78">D60</f>
        <v>0.4</v>
      </c>
      <c r="E231" s="744">
        <f t="shared" si="78"/>
        <v>0.4</v>
      </c>
      <c r="F231" s="744">
        <f t="shared" si="78"/>
        <v>0</v>
      </c>
      <c r="G231" s="698"/>
      <c r="H231" s="1345"/>
      <c r="I231" s="738">
        <v>6</v>
      </c>
      <c r="J231" s="744">
        <f>I60</f>
        <v>30</v>
      </c>
      <c r="K231" s="744">
        <f t="shared" ref="K231:M231" si="79">J60</f>
        <v>-1.5</v>
      </c>
      <c r="L231" s="744">
        <f t="shared" si="79"/>
        <v>1.7</v>
      </c>
      <c r="M231" s="744">
        <f t="shared" si="79"/>
        <v>1.6</v>
      </c>
      <c r="N231" s="698"/>
      <c r="O231" s="1345"/>
      <c r="P231" s="738">
        <v>6</v>
      </c>
      <c r="Q231" s="744">
        <f>O60</f>
        <v>750</v>
      </c>
      <c r="R231" s="744">
        <f t="shared" ref="R231:T231" si="80">P60</f>
        <v>0.9</v>
      </c>
      <c r="S231" s="744">
        <f t="shared" si="80"/>
        <v>2.1</v>
      </c>
      <c r="T231" s="745">
        <f t="shared" si="80"/>
        <v>0.60000000000000009</v>
      </c>
      <c r="V231" s="736">
        <v>7</v>
      </c>
      <c r="W231" s="737">
        <f>U69</f>
        <v>0.2</v>
      </c>
    </row>
    <row r="232" spans="1:23" ht="13" hidden="1">
      <c r="A232" s="1342"/>
      <c r="B232" s="738">
        <v>7</v>
      </c>
      <c r="C232" s="744">
        <f>C71</f>
        <v>15</v>
      </c>
      <c r="D232" s="744">
        <f t="shared" ref="D232:F232" si="81">D71</f>
        <v>0.1</v>
      </c>
      <c r="E232" s="744">
        <f t="shared" si="81"/>
        <v>0.3</v>
      </c>
      <c r="F232" s="744">
        <f t="shared" si="81"/>
        <v>9.9999999999999992E-2</v>
      </c>
      <c r="G232" s="698"/>
      <c r="H232" s="1345"/>
      <c r="I232" s="738">
        <v>7</v>
      </c>
      <c r="J232" s="744">
        <f>I71</f>
        <v>30</v>
      </c>
      <c r="K232" s="744">
        <f t="shared" ref="K232:M232" si="82">J71</f>
        <v>-1.9</v>
      </c>
      <c r="L232" s="744">
        <f t="shared" si="82"/>
        <v>1.8</v>
      </c>
      <c r="M232" s="744">
        <f t="shared" si="82"/>
        <v>1.85</v>
      </c>
      <c r="N232" s="698"/>
      <c r="O232" s="1345"/>
      <c r="P232" s="738">
        <v>7</v>
      </c>
      <c r="Q232" s="744">
        <f>O71</f>
        <v>750</v>
      </c>
      <c r="R232" s="744">
        <f t="shared" ref="R232:T232" si="83">P71</f>
        <v>9.9999999999999995E-7</v>
      </c>
      <c r="S232" s="744">
        <f t="shared" si="83"/>
        <v>3.2</v>
      </c>
      <c r="T232" s="745">
        <f t="shared" si="83"/>
        <v>1.5999995</v>
      </c>
      <c r="V232" s="736">
        <v>8</v>
      </c>
      <c r="W232" s="737">
        <f>U80</f>
        <v>0.3</v>
      </c>
    </row>
    <row r="233" spans="1:23" ht="13" hidden="1">
      <c r="A233" s="1342"/>
      <c r="B233" s="738">
        <v>8</v>
      </c>
      <c r="C233" s="744">
        <f>C82</f>
        <v>15</v>
      </c>
      <c r="D233" s="744">
        <f t="shared" ref="D233:F233" si="84">D82</f>
        <v>0.1</v>
      </c>
      <c r="E233" s="744">
        <f t="shared" si="84"/>
        <v>9.9999999999999995E-7</v>
      </c>
      <c r="F233" s="744">
        <f t="shared" si="84"/>
        <v>4.9999500000000002E-2</v>
      </c>
      <c r="G233" s="698"/>
      <c r="H233" s="1345"/>
      <c r="I233" s="738">
        <v>8</v>
      </c>
      <c r="J233" s="744">
        <f>I82</f>
        <v>30</v>
      </c>
      <c r="K233" s="744">
        <f t="shared" ref="K233:M233" si="85">J82</f>
        <v>-4</v>
      </c>
      <c r="L233" s="744">
        <f t="shared" si="85"/>
        <v>-1.4</v>
      </c>
      <c r="M233" s="744">
        <f t="shared" si="85"/>
        <v>1.3</v>
      </c>
      <c r="N233" s="698"/>
      <c r="O233" s="1345"/>
      <c r="P233" s="738">
        <v>8</v>
      </c>
      <c r="Q233" s="744">
        <f>O82</f>
        <v>750</v>
      </c>
      <c r="R233" s="744">
        <f t="shared" ref="R233:T233" si="86">P82</f>
        <v>9.9999999999999995E-7</v>
      </c>
      <c r="S233" s="744">
        <f t="shared" si="86"/>
        <v>9.9999999999999995E-7</v>
      </c>
      <c r="T233" s="745">
        <f t="shared" si="86"/>
        <v>0</v>
      </c>
      <c r="V233" s="736">
        <v>9</v>
      </c>
      <c r="W233" s="737">
        <f>U91</f>
        <v>0.3</v>
      </c>
    </row>
    <row r="234" spans="1:23" ht="13" hidden="1">
      <c r="A234" s="1342"/>
      <c r="B234" s="738">
        <v>9</v>
      </c>
      <c r="C234" s="744">
        <f>C93</f>
        <v>15</v>
      </c>
      <c r="D234" s="744">
        <f t="shared" ref="D234:F234" si="87">D93</f>
        <v>9.9999999999999995E-7</v>
      </c>
      <c r="E234" s="744" t="str">
        <f t="shared" si="87"/>
        <v>-</v>
      </c>
      <c r="F234" s="744">
        <f t="shared" si="87"/>
        <v>0</v>
      </c>
      <c r="G234" s="698"/>
      <c r="H234" s="1345"/>
      <c r="I234" s="738">
        <v>9</v>
      </c>
      <c r="J234" s="744">
        <f>I93</f>
        <v>30</v>
      </c>
      <c r="K234" s="744">
        <f t="shared" ref="K234:M234" si="88">J93</f>
        <v>-1.2</v>
      </c>
      <c r="L234" s="744" t="str">
        <f t="shared" si="88"/>
        <v>-</v>
      </c>
      <c r="M234" s="744">
        <f t="shared" si="88"/>
        <v>0</v>
      </c>
      <c r="N234" s="698"/>
      <c r="O234" s="1345"/>
      <c r="P234" s="738">
        <v>9</v>
      </c>
      <c r="Q234" s="744">
        <f>O93</f>
        <v>750</v>
      </c>
      <c r="R234" s="744">
        <f t="shared" ref="R234:T234" si="89">P93</f>
        <v>9.9999999999999995E-7</v>
      </c>
      <c r="S234" s="744" t="str">
        <f t="shared" si="89"/>
        <v>-</v>
      </c>
      <c r="T234" s="745">
        <f t="shared" si="89"/>
        <v>0</v>
      </c>
      <c r="V234" s="736">
        <v>10</v>
      </c>
      <c r="W234" s="737">
        <f>U102</f>
        <v>0.3</v>
      </c>
    </row>
    <row r="235" spans="1:23" ht="13" hidden="1">
      <c r="A235" s="1342"/>
      <c r="B235" s="738">
        <v>10</v>
      </c>
      <c r="C235" s="744">
        <f>C104</f>
        <v>15</v>
      </c>
      <c r="D235" s="744">
        <f t="shared" ref="D235:F235" si="90">D104</f>
        <v>0.2</v>
      </c>
      <c r="E235" s="744">
        <f t="shared" si="90"/>
        <v>0.2</v>
      </c>
      <c r="F235" s="744">
        <f t="shared" si="90"/>
        <v>0</v>
      </c>
      <c r="G235" s="698"/>
      <c r="H235" s="1345"/>
      <c r="I235" s="738">
        <v>10</v>
      </c>
      <c r="J235" s="744">
        <f>I104</f>
        <v>30</v>
      </c>
      <c r="K235" s="744">
        <f t="shared" ref="K235:M235" si="91">J104</f>
        <v>-2.9</v>
      </c>
      <c r="L235" s="744">
        <f t="shared" si="91"/>
        <v>-5.8</v>
      </c>
      <c r="M235" s="744">
        <f t="shared" si="91"/>
        <v>1.45</v>
      </c>
      <c r="N235" s="698"/>
      <c r="O235" s="1345"/>
      <c r="P235" s="738">
        <v>10</v>
      </c>
      <c r="Q235" s="744">
        <f>O104</f>
        <v>750</v>
      </c>
      <c r="R235" s="744" t="str">
        <f t="shared" ref="R235:T235" si="92">P104</f>
        <v>-</v>
      </c>
      <c r="S235" s="744" t="str">
        <f t="shared" si="92"/>
        <v>-</v>
      </c>
      <c r="T235" s="745">
        <f t="shared" si="92"/>
        <v>0</v>
      </c>
      <c r="V235" s="736">
        <v>11</v>
      </c>
      <c r="W235" s="737">
        <f>U113</f>
        <v>0.3</v>
      </c>
    </row>
    <row r="236" spans="1:23" ht="13" hidden="1">
      <c r="A236" s="1342"/>
      <c r="B236" s="738">
        <v>11</v>
      </c>
      <c r="C236" s="744">
        <f>C115</f>
        <v>15</v>
      </c>
      <c r="D236" s="744">
        <f t="shared" ref="D236:F236" si="93">D115</f>
        <v>0.3</v>
      </c>
      <c r="E236" s="744">
        <f t="shared" si="93"/>
        <v>0.3</v>
      </c>
      <c r="F236" s="744">
        <f t="shared" si="93"/>
        <v>0</v>
      </c>
      <c r="G236" s="698"/>
      <c r="H236" s="1345"/>
      <c r="I236" s="738">
        <v>11</v>
      </c>
      <c r="J236" s="744">
        <f>I115</f>
        <v>30</v>
      </c>
      <c r="K236" s="744">
        <f t="shared" ref="K236:M236" si="94">J115</f>
        <v>-5.2</v>
      </c>
      <c r="L236" s="744">
        <f t="shared" si="94"/>
        <v>-6.4</v>
      </c>
      <c r="M236" s="744">
        <f t="shared" si="94"/>
        <v>0.60000000000000009</v>
      </c>
      <c r="N236" s="698"/>
      <c r="O236" s="1345"/>
      <c r="P236" s="738">
        <v>11</v>
      </c>
      <c r="Q236" s="744">
        <f>O115</f>
        <v>750</v>
      </c>
      <c r="R236" s="744" t="str">
        <f t="shared" ref="R236:T236" si="95">P115</f>
        <v>-</v>
      </c>
      <c r="S236" s="744" t="str">
        <f t="shared" si="95"/>
        <v>-</v>
      </c>
      <c r="T236" s="745">
        <f t="shared" si="95"/>
        <v>0</v>
      </c>
      <c r="V236" s="736">
        <v>12</v>
      </c>
      <c r="W236" s="737">
        <f>U124</f>
        <v>0.3</v>
      </c>
    </row>
    <row r="237" spans="1:23" ht="13" hidden="1">
      <c r="A237" s="1342"/>
      <c r="B237" s="738">
        <v>12</v>
      </c>
      <c r="C237" s="744">
        <f>C126</f>
        <v>15</v>
      </c>
      <c r="D237" s="744">
        <f t="shared" ref="D237:F237" si="96">D126</f>
        <v>9.9999999999999995E-7</v>
      </c>
      <c r="E237" s="744" t="str">
        <f t="shared" si="96"/>
        <v>-</v>
      </c>
      <c r="F237" s="744">
        <f t="shared" si="96"/>
        <v>0</v>
      </c>
      <c r="G237" s="698"/>
      <c r="H237" s="1345"/>
      <c r="I237" s="738">
        <v>12</v>
      </c>
      <c r="J237" s="744">
        <f>I126</f>
        <v>30</v>
      </c>
      <c r="K237" s="744">
        <f t="shared" ref="K237:M237" si="97">J126</f>
        <v>-0.4</v>
      </c>
      <c r="L237" s="744" t="str">
        <f t="shared" si="97"/>
        <v>-</v>
      </c>
      <c r="M237" s="744">
        <f t="shared" si="97"/>
        <v>0</v>
      </c>
      <c r="N237" s="698"/>
      <c r="O237" s="1345"/>
      <c r="P237" s="738">
        <v>12</v>
      </c>
      <c r="Q237" s="744">
        <f>O126</f>
        <v>800</v>
      </c>
      <c r="R237" s="744">
        <f t="shared" ref="R237:T237" si="98">P126</f>
        <v>-0.4</v>
      </c>
      <c r="S237" s="744" t="str">
        <f t="shared" si="98"/>
        <v>-</v>
      </c>
      <c r="T237" s="745">
        <f t="shared" si="98"/>
        <v>0</v>
      </c>
      <c r="U237" s="698"/>
      <c r="V237" s="736">
        <v>13</v>
      </c>
      <c r="W237" s="746">
        <f>U135</f>
        <v>0.3</v>
      </c>
    </row>
    <row r="238" spans="1:23" ht="13" hidden="1">
      <c r="A238" s="1342"/>
      <c r="B238" s="738">
        <v>13</v>
      </c>
      <c r="C238" s="744">
        <f>C137</f>
        <v>15</v>
      </c>
      <c r="D238" s="744">
        <f t="shared" ref="D238:F238" si="99">D137</f>
        <v>-0.7</v>
      </c>
      <c r="E238" s="744" t="str">
        <f t="shared" si="99"/>
        <v>-</v>
      </c>
      <c r="F238" s="744">
        <f t="shared" si="99"/>
        <v>0</v>
      </c>
      <c r="G238" s="698"/>
      <c r="H238" s="1345"/>
      <c r="I238" s="738">
        <v>13</v>
      </c>
      <c r="J238" s="744">
        <f>I137</f>
        <v>35</v>
      </c>
      <c r="K238" s="744">
        <f t="shared" ref="K238:M238" si="100">J137</f>
        <v>-1.4</v>
      </c>
      <c r="L238" s="744" t="str">
        <f t="shared" si="100"/>
        <v>-</v>
      </c>
      <c r="M238" s="744">
        <f t="shared" si="100"/>
        <v>0</v>
      </c>
      <c r="N238" s="698"/>
      <c r="O238" s="1345"/>
      <c r="P238" s="738">
        <v>13</v>
      </c>
      <c r="Q238" s="744">
        <f>O137</f>
        <v>960</v>
      </c>
      <c r="R238" s="744">
        <f t="shared" ref="R238:T238" si="101">P137</f>
        <v>0.9</v>
      </c>
      <c r="S238" s="744" t="str">
        <f t="shared" si="101"/>
        <v>-</v>
      </c>
      <c r="T238" s="745">
        <f t="shared" si="101"/>
        <v>0</v>
      </c>
      <c r="U238" s="698"/>
      <c r="V238" s="736">
        <v>14</v>
      </c>
      <c r="W238" s="746">
        <f>U146</f>
        <v>0.4</v>
      </c>
    </row>
    <row r="239" spans="1:23" ht="13" hidden="1">
      <c r="A239" s="1342"/>
      <c r="B239" s="738">
        <v>14</v>
      </c>
      <c r="C239" s="744">
        <f>C148</f>
        <v>15</v>
      </c>
      <c r="D239" s="744">
        <f t="shared" ref="D239:F239" si="102">D148</f>
        <v>-0.2</v>
      </c>
      <c r="E239" s="744" t="str">
        <f t="shared" si="102"/>
        <v>-</v>
      </c>
      <c r="F239" s="744">
        <f t="shared" si="102"/>
        <v>0</v>
      </c>
      <c r="G239" s="698"/>
      <c r="H239" s="1345"/>
      <c r="I239" s="738">
        <v>14</v>
      </c>
      <c r="J239" s="744">
        <f>I148</f>
        <v>35</v>
      </c>
      <c r="K239" s="744">
        <f t="shared" ref="K239:M239" si="103">J148</f>
        <v>0.6</v>
      </c>
      <c r="L239" s="744" t="str">
        <f t="shared" si="103"/>
        <v>-</v>
      </c>
      <c r="M239" s="744">
        <f t="shared" si="103"/>
        <v>0</v>
      </c>
      <c r="N239" s="698"/>
      <c r="O239" s="1345"/>
      <c r="P239" s="738">
        <v>14</v>
      </c>
      <c r="Q239" s="744">
        <f>O148</f>
        <v>960</v>
      </c>
      <c r="R239" s="744">
        <f t="shared" ref="R239:T239" si="104">P148</f>
        <v>0.9</v>
      </c>
      <c r="S239" s="744" t="str">
        <f t="shared" si="104"/>
        <v>-</v>
      </c>
      <c r="T239" s="745">
        <f t="shared" si="104"/>
        <v>0</v>
      </c>
      <c r="U239" s="698"/>
      <c r="V239" s="736">
        <v>15</v>
      </c>
      <c r="W239" s="746">
        <f>U157</f>
        <v>0.3</v>
      </c>
    </row>
    <row r="240" spans="1:23" ht="13" hidden="1">
      <c r="A240" s="1342"/>
      <c r="B240" s="738">
        <v>15</v>
      </c>
      <c r="C240" s="744">
        <f>C159</f>
        <v>15</v>
      </c>
      <c r="D240" s="744">
        <f t="shared" ref="D240:F240" si="105">D159</f>
        <v>-0.6</v>
      </c>
      <c r="E240" s="744" t="str">
        <f t="shared" si="105"/>
        <v>-</v>
      </c>
      <c r="F240" s="744">
        <f t="shared" si="105"/>
        <v>0</v>
      </c>
      <c r="G240" s="698"/>
      <c r="H240" s="1345"/>
      <c r="I240" s="738">
        <v>15</v>
      </c>
      <c r="J240" s="744">
        <f>I159</f>
        <v>35</v>
      </c>
      <c r="K240" s="744">
        <f t="shared" ref="K240:M240" si="106">J159</f>
        <v>-0.4</v>
      </c>
      <c r="L240" s="744" t="str">
        <f t="shared" si="106"/>
        <v>-</v>
      </c>
      <c r="M240" s="744">
        <f t="shared" si="106"/>
        <v>0</v>
      </c>
      <c r="N240" s="698"/>
      <c r="O240" s="1345"/>
      <c r="P240" s="738">
        <v>15</v>
      </c>
      <c r="Q240" s="744">
        <f>O159</f>
        <v>960</v>
      </c>
      <c r="R240" s="744">
        <f t="shared" ref="R240:T240" si="107">P159</f>
        <v>0.9</v>
      </c>
      <c r="S240" s="744" t="str">
        <f t="shared" si="107"/>
        <v>-</v>
      </c>
      <c r="T240" s="745">
        <f t="shared" si="107"/>
        <v>0</v>
      </c>
      <c r="U240" s="698"/>
      <c r="V240" s="736">
        <v>16</v>
      </c>
      <c r="W240" s="746">
        <f>U168</f>
        <v>0.4</v>
      </c>
    </row>
    <row r="241" spans="1:23" ht="13" hidden="1">
      <c r="A241" s="1342"/>
      <c r="B241" s="738">
        <v>16</v>
      </c>
      <c r="C241" s="744">
        <f>C170</f>
        <v>15</v>
      </c>
      <c r="D241" s="744">
        <f t="shared" ref="D241:F241" si="108">D170</f>
        <v>0.1</v>
      </c>
      <c r="E241" s="744" t="str">
        <f t="shared" si="108"/>
        <v>-</v>
      </c>
      <c r="F241" s="744">
        <f t="shared" si="108"/>
        <v>0</v>
      </c>
      <c r="G241" s="698"/>
      <c r="H241" s="1345"/>
      <c r="I241" s="738">
        <v>16</v>
      </c>
      <c r="J241" s="744">
        <f>I170</f>
        <v>30</v>
      </c>
      <c r="K241" s="744">
        <f t="shared" ref="K241:M241" si="109">J170</f>
        <v>-1.6</v>
      </c>
      <c r="L241" s="744" t="str">
        <f t="shared" si="109"/>
        <v>-</v>
      </c>
      <c r="M241" s="744">
        <f t="shared" si="109"/>
        <v>0</v>
      </c>
      <c r="N241" s="698"/>
      <c r="O241" s="1345"/>
      <c r="P241" s="738">
        <v>16</v>
      </c>
      <c r="Q241" s="744">
        <f>O170</f>
        <v>800</v>
      </c>
      <c r="R241" s="744">
        <f t="shared" ref="R241:T241" si="110">P170</f>
        <v>-2.9</v>
      </c>
      <c r="S241" s="744" t="str">
        <f t="shared" si="110"/>
        <v>-</v>
      </c>
      <c r="T241" s="745">
        <f t="shared" si="110"/>
        <v>0</v>
      </c>
      <c r="U241" s="698"/>
      <c r="V241" s="736">
        <v>17</v>
      </c>
      <c r="W241" s="746">
        <f>U179</f>
        <v>0.3</v>
      </c>
    </row>
    <row r="242" spans="1:23" ht="13" hidden="1">
      <c r="A242" s="1342"/>
      <c r="B242" s="738">
        <v>17</v>
      </c>
      <c r="C242" s="744">
        <f>C181</f>
        <v>15</v>
      </c>
      <c r="D242" s="744">
        <f t="shared" ref="D242:F242" si="111">D181</f>
        <v>0.1</v>
      </c>
      <c r="E242" s="744" t="str">
        <f t="shared" si="111"/>
        <v>-</v>
      </c>
      <c r="F242" s="744">
        <f t="shared" si="111"/>
        <v>0</v>
      </c>
      <c r="G242" s="698"/>
      <c r="H242" s="1345"/>
      <c r="I242" s="738">
        <v>17</v>
      </c>
      <c r="J242" s="744">
        <f>I181</f>
        <v>30</v>
      </c>
      <c r="K242" s="744">
        <f t="shared" ref="K242:M242" si="112">J181</f>
        <v>0.1</v>
      </c>
      <c r="L242" s="744" t="str">
        <f t="shared" si="112"/>
        <v>-</v>
      </c>
      <c r="M242" s="744">
        <f t="shared" si="112"/>
        <v>0</v>
      </c>
      <c r="N242" s="698"/>
      <c r="O242" s="1345"/>
      <c r="P242" s="738">
        <v>17</v>
      </c>
      <c r="Q242" s="744">
        <f>O181</f>
        <v>960</v>
      </c>
      <c r="R242" s="744">
        <f t="shared" ref="R242:T242" si="113">P181</f>
        <v>-0.6</v>
      </c>
      <c r="S242" s="744" t="str">
        <f t="shared" si="113"/>
        <v>-</v>
      </c>
      <c r="T242" s="745">
        <f t="shared" si="113"/>
        <v>0</v>
      </c>
      <c r="U242" s="698"/>
      <c r="V242" s="736">
        <v>18</v>
      </c>
      <c r="W242" s="746">
        <f>U190</f>
        <v>0.3</v>
      </c>
    </row>
    <row r="243" spans="1:23" ht="13" hidden="1">
      <c r="A243" s="1342"/>
      <c r="B243" s="738">
        <v>18</v>
      </c>
      <c r="C243" s="744">
        <f>C192</f>
        <v>15</v>
      </c>
      <c r="D243" s="744">
        <f t="shared" ref="D243:F243" si="114">D192</f>
        <v>9.9999999999999995E-7</v>
      </c>
      <c r="E243" s="744" t="str">
        <f t="shared" si="114"/>
        <v>-</v>
      </c>
      <c r="F243" s="744">
        <f t="shared" si="114"/>
        <v>0</v>
      </c>
      <c r="G243" s="698"/>
      <c r="H243" s="1345"/>
      <c r="I243" s="738">
        <v>18</v>
      </c>
      <c r="J243" s="744">
        <f>I192</f>
        <v>30</v>
      </c>
      <c r="K243" s="744">
        <f t="shared" ref="K243:M243" si="115">J192</f>
        <v>-0.4</v>
      </c>
      <c r="L243" s="744" t="str">
        <f t="shared" si="115"/>
        <v>-</v>
      </c>
      <c r="M243" s="744">
        <f t="shared" si="115"/>
        <v>0</v>
      </c>
      <c r="N243" s="698"/>
      <c r="O243" s="1345"/>
      <c r="P243" s="738">
        <v>18</v>
      </c>
      <c r="Q243" s="744">
        <f>O192</f>
        <v>800</v>
      </c>
      <c r="R243" s="744">
        <f t="shared" ref="R243:T243" si="116">P192</f>
        <v>-1.5</v>
      </c>
      <c r="S243" s="744" t="str">
        <f t="shared" si="116"/>
        <v>-</v>
      </c>
      <c r="T243" s="745">
        <f t="shared" si="116"/>
        <v>0</v>
      </c>
      <c r="U243" s="698"/>
      <c r="V243" s="736">
        <v>19</v>
      </c>
      <c r="W243" s="746">
        <f>U201</f>
        <v>0.1</v>
      </c>
    </row>
    <row r="244" spans="1:23" ht="13.5" hidden="1" thickBot="1">
      <c r="A244" s="1342"/>
      <c r="B244" s="738">
        <v>19</v>
      </c>
      <c r="C244" s="744">
        <f>C203</f>
        <v>15</v>
      </c>
      <c r="D244" s="744">
        <f t="shared" ref="D244:F244" si="117">D203</f>
        <v>9.9999999999999995E-7</v>
      </c>
      <c r="E244" s="744" t="str">
        <f t="shared" si="117"/>
        <v>-</v>
      </c>
      <c r="F244" s="744">
        <f t="shared" si="117"/>
        <v>0</v>
      </c>
      <c r="G244" s="698"/>
      <c r="H244" s="1345"/>
      <c r="I244" s="738">
        <v>19</v>
      </c>
      <c r="J244" s="744">
        <f>I203</f>
        <v>30</v>
      </c>
      <c r="K244" s="744">
        <f t="shared" ref="K244:M244" si="118">J203</f>
        <v>-1.5</v>
      </c>
      <c r="L244" s="744" t="str">
        <f t="shared" si="118"/>
        <v>-</v>
      </c>
      <c r="M244" s="744">
        <f t="shared" si="118"/>
        <v>0</v>
      </c>
      <c r="N244" s="698"/>
      <c r="O244" s="1345"/>
      <c r="P244" s="738">
        <v>19</v>
      </c>
      <c r="Q244" s="744">
        <f>O203</f>
        <v>750</v>
      </c>
      <c r="R244" s="744">
        <f t="shared" ref="R244:T244" si="119">P203</f>
        <v>2.5</v>
      </c>
      <c r="S244" s="744" t="str">
        <f t="shared" si="119"/>
        <v>-</v>
      </c>
      <c r="T244" s="745">
        <f t="shared" si="119"/>
        <v>0</v>
      </c>
      <c r="U244" s="698"/>
      <c r="V244" s="747">
        <v>20</v>
      </c>
      <c r="W244" s="748">
        <f>U212</f>
        <v>0</v>
      </c>
    </row>
    <row r="245" spans="1:23" ht="13.5" hidden="1" thickBot="1">
      <c r="A245" s="1343"/>
      <c r="B245" s="749">
        <v>20</v>
      </c>
      <c r="C245" s="750">
        <f>C214</f>
        <v>14.8</v>
      </c>
      <c r="D245" s="750">
        <f t="shared" ref="D245:F245" si="120">D214</f>
        <v>9.9999999999999995E-7</v>
      </c>
      <c r="E245" s="750" t="str">
        <f t="shared" si="120"/>
        <v>-</v>
      </c>
      <c r="F245" s="750">
        <f t="shared" si="120"/>
        <v>0</v>
      </c>
      <c r="G245" s="751"/>
      <c r="H245" s="1346"/>
      <c r="I245" s="749">
        <v>20</v>
      </c>
      <c r="J245" s="750">
        <f>I214</f>
        <v>45.7</v>
      </c>
      <c r="K245" s="750">
        <f t="shared" ref="K245:M245" si="121">J214</f>
        <v>9.9999999999999995E-7</v>
      </c>
      <c r="L245" s="750" t="str">
        <f t="shared" si="121"/>
        <v>-</v>
      </c>
      <c r="M245" s="750">
        <f t="shared" si="121"/>
        <v>0</v>
      </c>
      <c r="N245" s="751"/>
      <c r="O245" s="1346"/>
      <c r="P245" s="749">
        <v>20</v>
      </c>
      <c r="Q245" s="750">
        <f>O214</f>
        <v>750</v>
      </c>
      <c r="R245" s="750" t="str">
        <f t="shared" ref="R245:T245" si="122">P214</f>
        <v>-</v>
      </c>
      <c r="S245" s="750" t="str">
        <f t="shared" si="122"/>
        <v>-</v>
      </c>
      <c r="T245" s="752">
        <f t="shared" si="122"/>
        <v>0</v>
      </c>
      <c r="U245" s="698"/>
      <c r="V245" s="753"/>
    </row>
    <row r="246" spans="1:23" ht="13" hidden="1">
      <c r="A246" s="754"/>
      <c r="B246" s="755"/>
      <c r="C246" s="756"/>
      <c r="D246" s="756"/>
      <c r="E246" s="756"/>
      <c r="F246" s="757"/>
      <c r="G246" s="758"/>
      <c r="H246" s="755"/>
      <c r="I246" s="755"/>
      <c r="J246" s="759"/>
      <c r="K246" s="759"/>
      <c r="L246" s="759"/>
      <c r="M246" s="759"/>
      <c r="N246" s="758"/>
      <c r="O246" s="755"/>
      <c r="P246" s="755"/>
      <c r="Q246" s="759"/>
      <c r="R246" s="759"/>
      <c r="S246" s="759"/>
      <c r="T246" s="760"/>
      <c r="U246" s="758"/>
      <c r="V246" s="758"/>
    </row>
    <row r="247" spans="1:23" ht="13" hidden="1">
      <c r="A247" s="1341">
        <v>2</v>
      </c>
      <c r="B247" s="761">
        <v>1</v>
      </c>
      <c r="C247" s="762">
        <f>C6</f>
        <v>20</v>
      </c>
      <c r="D247" s="762">
        <f t="shared" ref="D247:F247" si="123">D6</f>
        <v>-0.2</v>
      </c>
      <c r="E247" s="762">
        <f t="shared" si="123"/>
        <v>0.2</v>
      </c>
      <c r="F247" s="762">
        <f t="shared" si="123"/>
        <v>0.2</v>
      </c>
      <c r="G247" s="763"/>
      <c r="H247" s="1338">
        <v>2</v>
      </c>
      <c r="I247" s="761">
        <v>1</v>
      </c>
      <c r="J247" s="762">
        <f>I6</f>
        <v>40</v>
      </c>
      <c r="K247" s="762">
        <f t="shared" ref="K247:M247" si="124">J6</f>
        <v>-6</v>
      </c>
      <c r="L247" s="762">
        <f t="shared" si="124"/>
        <v>-8.6</v>
      </c>
      <c r="M247" s="762">
        <f t="shared" si="124"/>
        <v>1.2999999999999998</v>
      </c>
      <c r="N247" s="763"/>
      <c r="O247" s="1338">
        <v>2</v>
      </c>
      <c r="P247" s="761">
        <v>1</v>
      </c>
      <c r="Q247" s="762">
        <f>O6</f>
        <v>800</v>
      </c>
      <c r="R247" s="762" t="str">
        <f t="shared" ref="R247:T247" si="125">P6</f>
        <v>-</v>
      </c>
      <c r="S247" s="762" t="str">
        <f t="shared" si="125"/>
        <v>-</v>
      </c>
      <c r="T247" s="764">
        <f t="shared" si="125"/>
        <v>0</v>
      </c>
      <c r="V247" s="1347" t="s">
        <v>77</v>
      </c>
      <c r="W247" s="1348"/>
    </row>
    <row r="248" spans="1:23" ht="13" hidden="1">
      <c r="A248" s="1342"/>
      <c r="B248" s="738">
        <v>2</v>
      </c>
      <c r="C248" s="744">
        <f>C17</f>
        <v>20</v>
      </c>
      <c r="D248" s="744">
        <f t="shared" ref="D248:F248" si="126">D17</f>
        <v>0.7</v>
      </c>
      <c r="E248" s="744">
        <f t="shared" si="126"/>
        <v>-0.1</v>
      </c>
      <c r="F248" s="744">
        <f t="shared" si="126"/>
        <v>0.39999999999999997</v>
      </c>
      <c r="G248" s="698"/>
      <c r="H248" s="1339"/>
      <c r="I248" s="738">
        <v>2</v>
      </c>
      <c r="J248" s="744">
        <f>I17</f>
        <v>40</v>
      </c>
      <c r="K248" s="744">
        <f t="shared" ref="K248:M248" si="127">J17</f>
        <v>-6.2</v>
      </c>
      <c r="L248" s="744">
        <f t="shared" si="127"/>
        <v>-1.6</v>
      </c>
      <c r="M248" s="744">
        <f t="shared" si="127"/>
        <v>2.2999999999999998</v>
      </c>
      <c r="N248" s="698"/>
      <c r="O248" s="1339"/>
      <c r="P248" s="738">
        <v>2</v>
      </c>
      <c r="Q248" s="744">
        <f>O17</f>
        <v>800</v>
      </c>
      <c r="R248" s="744" t="str">
        <f t="shared" ref="R248:T248" si="128">P17</f>
        <v>-</v>
      </c>
      <c r="S248" s="744" t="str">
        <f t="shared" si="128"/>
        <v>-</v>
      </c>
      <c r="T248" s="745">
        <f t="shared" si="128"/>
        <v>0</v>
      </c>
      <c r="V248" s="1349" t="s">
        <v>243</v>
      </c>
      <c r="W248" s="1350"/>
    </row>
    <row r="249" spans="1:23" ht="13" hidden="1">
      <c r="A249" s="1342"/>
      <c r="B249" s="738">
        <v>3</v>
      </c>
      <c r="C249" s="739">
        <f>C28</f>
        <v>20</v>
      </c>
      <c r="D249" s="739">
        <f t="shared" ref="D249:F249" si="129">D28</f>
        <v>1</v>
      </c>
      <c r="E249" s="739">
        <f t="shared" si="129"/>
        <v>9.9999999999999995E-7</v>
      </c>
      <c r="F249" s="739">
        <f t="shared" si="129"/>
        <v>0.49999949999999999</v>
      </c>
      <c r="G249" s="698"/>
      <c r="H249" s="1339"/>
      <c r="I249" s="738">
        <v>3</v>
      </c>
      <c r="J249" s="739">
        <f>I28</f>
        <v>40</v>
      </c>
      <c r="K249" s="739">
        <f t="shared" ref="K249:M249" si="130">J28</f>
        <v>-5.9</v>
      </c>
      <c r="L249" s="739">
        <f t="shared" si="130"/>
        <v>-5.3</v>
      </c>
      <c r="M249" s="739">
        <f t="shared" si="130"/>
        <v>0.30000000000000027</v>
      </c>
      <c r="N249" s="698"/>
      <c r="O249" s="1339"/>
      <c r="P249" s="738">
        <v>3</v>
      </c>
      <c r="Q249" s="739">
        <f>O28</f>
        <v>800</v>
      </c>
      <c r="R249" s="739" t="str">
        <f t="shared" ref="R249:T249" si="131">P28</f>
        <v>-</v>
      </c>
      <c r="S249" s="739" t="str">
        <f t="shared" si="131"/>
        <v>-</v>
      </c>
      <c r="T249" s="740">
        <f t="shared" si="131"/>
        <v>0</v>
      </c>
      <c r="V249" s="736">
        <v>1</v>
      </c>
      <c r="W249" s="737">
        <f>U4</f>
        <v>3.1</v>
      </c>
    </row>
    <row r="250" spans="1:23" ht="13" hidden="1">
      <c r="A250" s="1342"/>
      <c r="B250" s="738">
        <v>4</v>
      </c>
      <c r="C250" s="739">
        <f>C39</f>
        <v>20</v>
      </c>
      <c r="D250" s="739">
        <f t="shared" ref="D250:F250" si="132">D39</f>
        <v>-0.1</v>
      </c>
      <c r="E250" s="739">
        <f t="shared" si="132"/>
        <v>-0.3</v>
      </c>
      <c r="F250" s="739">
        <f t="shared" si="132"/>
        <v>9.9999999999999992E-2</v>
      </c>
      <c r="G250" s="698"/>
      <c r="H250" s="1339"/>
      <c r="I250" s="738">
        <v>4</v>
      </c>
      <c r="J250" s="739">
        <f>I39</f>
        <v>40</v>
      </c>
      <c r="K250" s="739">
        <f t="shared" ref="K250:M250" si="133">J39</f>
        <v>-4.4000000000000004</v>
      </c>
      <c r="L250" s="739">
        <f t="shared" si="133"/>
        <v>-1.5</v>
      </c>
      <c r="M250" s="739">
        <f t="shared" si="133"/>
        <v>1.4500000000000002</v>
      </c>
      <c r="N250" s="698"/>
      <c r="O250" s="1339"/>
      <c r="P250" s="738">
        <v>4</v>
      </c>
      <c r="Q250" s="739">
        <f>O39</f>
        <v>800</v>
      </c>
      <c r="R250" s="739" t="str">
        <f t="shared" ref="R250:T250" si="134">P39</f>
        <v>-</v>
      </c>
      <c r="S250" s="739" t="str">
        <f t="shared" si="134"/>
        <v>-</v>
      </c>
      <c r="T250" s="740">
        <f t="shared" si="134"/>
        <v>0</v>
      </c>
      <c r="V250" s="741">
        <v>2</v>
      </c>
      <c r="W250" s="742">
        <f>U15</f>
        <v>2.2000000000000002</v>
      </c>
    </row>
    <row r="251" spans="1:23" ht="13" hidden="1">
      <c r="A251" s="1342"/>
      <c r="B251" s="738">
        <v>5</v>
      </c>
      <c r="C251" s="739">
        <f>C50</f>
        <v>20</v>
      </c>
      <c r="D251" s="739">
        <f t="shared" ref="D251:F251" si="135">D50</f>
        <v>0.1</v>
      </c>
      <c r="E251" s="739">
        <f t="shared" si="135"/>
        <v>0.3</v>
      </c>
      <c r="F251" s="739">
        <f t="shared" si="135"/>
        <v>9.9999999999999992E-2</v>
      </c>
      <c r="G251" s="698"/>
      <c r="H251" s="1339"/>
      <c r="I251" s="738">
        <v>5</v>
      </c>
      <c r="J251" s="739">
        <f>I50</f>
        <v>40</v>
      </c>
      <c r="K251" s="739">
        <f t="shared" ref="K251:M251" si="136">J50</f>
        <v>-7.2</v>
      </c>
      <c r="L251" s="739">
        <f t="shared" si="136"/>
        <v>-8</v>
      </c>
      <c r="M251" s="739">
        <f t="shared" si="136"/>
        <v>0.39999999999999991</v>
      </c>
      <c r="N251" s="698"/>
      <c r="O251" s="1339"/>
      <c r="P251" s="738">
        <v>5</v>
      </c>
      <c r="Q251" s="739">
        <f>O50</f>
        <v>800</v>
      </c>
      <c r="R251" s="739" t="str">
        <f t="shared" ref="R251:T251" si="137">P50</f>
        <v>-</v>
      </c>
      <c r="S251" s="739" t="str">
        <f t="shared" si="137"/>
        <v>-</v>
      </c>
      <c r="T251" s="740">
        <f t="shared" si="137"/>
        <v>0</v>
      </c>
      <c r="V251" s="741">
        <v>3</v>
      </c>
      <c r="W251" s="743">
        <f>U26</f>
        <v>3.1</v>
      </c>
    </row>
    <row r="252" spans="1:23" ht="13" hidden="1">
      <c r="A252" s="1342"/>
      <c r="B252" s="738">
        <v>6</v>
      </c>
      <c r="C252" s="739">
        <f>C61</f>
        <v>20</v>
      </c>
      <c r="D252" s="739">
        <f t="shared" ref="D252:F252" si="138">D61</f>
        <v>0.3</v>
      </c>
      <c r="E252" s="739">
        <f t="shared" si="138"/>
        <v>0.2</v>
      </c>
      <c r="F252" s="739">
        <f t="shared" si="138"/>
        <v>4.9999999999999989E-2</v>
      </c>
      <c r="G252" s="698"/>
      <c r="H252" s="1339"/>
      <c r="I252" s="738">
        <v>6</v>
      </c>
      <c r="J252" s="739">
        <f>I61</f>
        <v>40</v>
      </c>
      <c r="K252" s="739">
        <f t="shared" ref="K252:M252" si="139">J61</f>
        <v>-3.8</v>
      </c>
      <c r="L252" s="739">
        <f t="shared" si="139"/>
        <v>1.5</v>
      </c>
      <c r="M252" s="739">
        <f t="shared" si="139"/>
        <v>2.65</v>
      </c>
      <c r="N252" s="698"/>
      <c r="O252" s="1339"/>
      <c r="P252" s="738">
        <v>6</v>
      </c>
      <c r="Q252" s="739">
        <f>O61</f>
        <v>800</v>
      </c>
      <c r="R252" s="739">
        <f t="shared" ref="R252:T252" si="140">P61</f>
        <v>0.9</v>
      </c>
      <c r="S252" s="739">
        <f t="shared" si="140"/>
        <v>1.6</v>
      </c>
      <c r="T252" s="740">
        <f t="shared" si="140"/>
        <v>0.35000000000000003</v>
      </c>
      <c r="V252" s="741">
        <v>4</v>
      </c>
      <c r="W252" s="743">
        <f>U38</f>
        <v>1.3</v>
      </c>
    </row>
    <row r="253" spans="1:23" ht="13" hidden="1">
      <c r="A253" s="1342"/>
      <c r="B253" s="738">
        <v>7</v>
      </c>
      <c r="C253" s="739">
        <f>C72</f>
        <v>20</v>
      </c>
      <c r="D253" s="739">
        <f t="shared" ref="D253:F253" si="141">D72</f>
        <v>9.9999999999999995E-7</v>
      </c>
      <c r="E253" s="739">
        <f t="shared" si="141"/>
        <v>0.1</v>
      </c>
      <c r="F253" s="739">
        <f t="shared" si="141"/>
        <v>4.9999500000000002E-2</v>
      </c>
      <c r="G253" s="698"/>
      <c r="H253" s="1339"/>
      <c r="I253" s="738">
        <v>7</v>
      </c>
      <c r="J253" s="739">
        <f>I72</f>
        <v>40</v>
      </c>
      <c r="K253" s="739">
        <f t="shared" ref="K253:M253" si="142">J72</f>
        <v>-1.9</v>
      </c>
      <c r="L253" s="739">
        <f t="shared" si="142"/>
        <v>1.2</v>
      </c>
      <c r="M253" s="739">
        <f t="shared" si="142"/>
        <v>1.5499999999999998</v>
      </c>
      <c r="N253" s="698"/>
      <c r="O253" s="1339"/>
      <c r="P253" s="738">
        <v>7</v>
      </c>
      <c r="Q253" s="739">
        <f>O72</f>
        <v>800</v>
      </c>
      <c r="R253" s="739">
        <f t="shared" ref="R253:T253" si="143">P72</f>
        <v>9.9999999999999995E-7</v>
      </c>
      <c r="S253" s="739">
        <f t="shared" si="143"/>
        <v>2.5</v>
      </c>
      <c r="T253" s="740">
        <f t="shared" si="143"/>
        <v>1.2499994999999999</v>
      </c>
      <c r="V253" s="741">
        <v>5</v>
      </c>
      <c r="W253" s="743">
        <f>U48</f>
        <v>2.8</v>
      </c>
    </row>
    <row r="254" spans="1:23" ht="13" hidden="1">
      <c r="A254" s="1342"/>
      <c r="B254" s="738">
        <v>8</v>
      </c>
      <c r="C254" s="739">
        <f>C83</f>
        <v>20</v>
      </c>
      <c r="D254" s="739">
        <f t="shared" ref="D254:F254" si="144">D83</f>
        <v>9.9999999999999995E-7</v>
      </c>
      <c r="E254" s="739">
        <f t="shared" si="144"/>
        <v>-0.2</v>
      </c>
      <c r="F254" s="739">
        <f t="shared" si="144"/>
        <v>0.10000050000000001</v>
      </c>
      <c r="G254" s="698"/>
      <c r="H254" s="1339"/>
      <c r="I254" s="738">
        <v>8</v>
      </c>
      <c r="J254" s="739">
        <f>I83</f>
        <v>40</v>
      </c>
      <c r="K254" s="739">
        <f t="shared" ref="K254:M254" si="145">J83</f>
        <v>-3.8</v>
      </c>
      <c r="L254" s="739">
        <f t="shared" si="145"/>
        <v>-1.2</v>
      </c>
      <c r="M254" s="739">
        <f t="shared" si="145"/>
        <v>1.2999999999999998</v>
      </c>
      <c r="N254" s="698"/>
      <c r="O254" s="1339"/>
      <c r="P254" s="738">
        <v>8</v>
      </c>
      <c r="Q254" s="739">
        <f>O83</f>
        <v>800</v>
      </c>
      <c r="R254" s="739">
        <f t="shared" ref="R254:T254" si="146">P83</f>
        <v>9.9999999999999995E-7</v>
      </c>
      <c r="S254" s="739">
        <f t="shared" si="146"/>
        <v>9.9999999999999995E-7</v>
      </c>
      <c r="T254" s="740">
        <f t="shared" si="146"/>
        <v>0</v>
      </c>
      <c r="V254" s="736">
        <v>6</v>
      </c>
      <c r="W254" s="737">
        <f>U59</f>
        <v>2.6</v>
      </c>
    </row>
    <row r="255" spans="1:23" ht="13" hidden="1">
      <c r="A255" s="1342"/>
      <c r="B255" s="738">
        <v>9</v>
      </c>
      <c r="C255" s="739">
        <f>C94</f>
        <v>20</v>
      </c>
      <c r="D255" s="739">
        <f t="shared" ref="D255:F255" si="147">D94</f>
        <v>-0.2</v>
      </c>
      <c r="E255" s="739" t="str">
        <f t="shared" si="147"/>
        <v>-</v>
      </c>
      <c r="F255" s="739">
        <f t="shared" si="147"/>
        <v>0</v>
      </c>
      <c r="G255" s="698"/>
      <c r="H255" s="1339"/>
      <c r="I255" s="738">
        <v>9</v>
      </c>
      <c r="J255" s="739">
        <f>I94</f>
        <v>40</v>
      </c>
      <c r="K255" s="739">
        <f t="shared" ref="K255:M255" si="148">J94</f>
        <v>-1</v>
      </c>
      <c r="L255" s="739" t="str">
        <f t="shared" si="148"/>
        <v>-</v>
      </c>
      <c r="M255" s="739">
        <f t="shared" si="148"/>
        <v>0</v>
      </c>
      <c r="N255" s="698"/>
      <c r="O255" s="1339"/>
      <c r="P255" s="738">
        <v>9</v>
      </c>
      <c r="Q255" s="739">
        <f>O94</f>
        <v>800</v>
      </c>
      <c r="R255" s="739">
        <f t="shared" ref="R255:T255" si="149">P94</f>
        <v>9.9999999999999995E-7</v>
      </c>
      <c r="S255" s="739" t="str">
        <f t="shared" si="149"/>
        <v>-</v>
      </c>
      <c r="T255" s="740">
        <f t="shared" si="149"/>
        <v>0</v>
      </c>
      <c r="V255" s="736">
        <v>7</v>
      </c>
      <c r="W255" s="737">
        <f>U70</f>
        <v>2.4</v>
      </c>
    </row>
    <row r="256" spans="1:23" ht="13" hidden="1">
      <c r="A256" s="1342"/>
      <c r="B256" s="738">
        <v>10</v>
      </c>
      <c r="C256" s="739">
        <f>C105</f>
        <v>20</v>
      </c>
      <c r="D256" s="739">
        <f t="shared" ref="D256:F256" si="150">D105</f>
        <v>0.2</v>
      </c>
      <c r="E256" s="739">
        <f t="shared" si="150"/>
        <v>-0.7</v>
      </c>
      <c r="F256" s="739">
        <f t="shared" si="150"/>
        <v>0.44999999999999996</v>
      </c>
      <c r="G256" s="698"/>
      <c r="H256" s="1339"/>
      <c r="I256" s="738">
        <v>10</v>
      </c>
      <c r="J256" s="739">
        <f>I105</f>
        <v>40</v>
      </c>
      <c r="K256" s="739">
        <f t="shared" ref="K256:M256" si="151">J105</f>
        <v>-3.3</v>
      </c>
      <c r="L256" s="739">
        <f t="shared" si="151"/>
        <v>-6.4</v>
      </c>
      <c r="M256" s="739">
        <f t="shared" si="151"/>
        <v>1.5500000000000003</v>
      </c>
      <c r="N256" s="698"/>
      <c r="O256" s="1339"/>
      <c r="P256" s="738">
        <v>10</v>
      </c>
      <c r="Q256" s="739">
        <f>O105</f>
        <v>800</v>
      </c>
      <c r="R256" s="739" t="str">
        <f t="shared" ref="R256:T256" si="152">P105</f>
        <v>-</v>
      </c>
      <c r="S256" s="739" t="str">
        <f t="shared" si="152"/>
        <v>-</v>
      </c>
      <c r="T256" s="740">
        <f t="shared" si="152"/>
        <v>0</v>
      </c>
      <c r="V256" s="736">
        <v>8</v>
      </c>
      <c r="W256" s="737">
        <f>U81</f>
        <v>2.5</v>
      </c>
    </row>
    <row r="257" spans="1:23" ht="13" hidden="1">
      <c r="A257" s="1342"/>
      <c r="B257" s="738">
        <v>11</v>
      </c>
      <c r="C257" s="739">
        <f>C116</f>
        <v>20</v>
      </c>
      <c r="D257" s="739">
        <f t="shared" ref="D257:F257" si="153">D116</f>
        <v>0.4</v>
      </c>
      <c r="E257" s="739">
        <f t="shared" si="153"/>
        <v>0.5</v>
      </c>
      <c r="F257" s="739">
        <f t="shared" si="153"/>
        <v>4.9999999999999989E-2</v>
      </c>
      <c r="G257" s="698"/>
      <c r="H257" s="1339"/>
      <c r="I257" s="738">
        <v>11</v>
      </c>
      <c r="J257" s="739">
        <f>I116</f>
        <v>40</v>
      </c>
      <c r="K257" s="739">
        <f t="shared" ref="K257:M257" si="154">J116</f>
        <v>-5.5</v>
      </c>
      <c r="L257" s="739">
        <f t="shared" si="154"/>
        <v>-5.9</v>
      </c>
      <c r="M257" s="739">
        <f t="shared" si="154"/>
        <v>0.20000000000000018</v>
      </c>
      <c r="N257" s="698"/>
      <c r="O257" s="1339"/>
      <c r="P257" s="738">
        <v>11</v>
      </c>
      <c r="Q257" s="739">
        <f>O116</f>
        <v>800</v>
      </c>
      <c r="R257" s="739" t="str">
        <f t="shared" ref="R257:T257" si="155">P116</f>
        <v>-</v>
      </c>
      <c r="S257" s="739" t="str">
        <f t="shared" si="155"/>
        <v>-</v>
      </c>
      <c r="T257" s="740">
        <f t="shared" si="155"/>
        <v>0</v>
      </c>
      <c r="V257" s="736">
        <v>9</v>
      </c>
      <c r="W257" s="737">
        <f>U92</f>
        <v>2.4</v>
      </c>
    </row>
    <row r="258" spans="1:23" ht="13" hidden="1">
      <c r="A258" s="1342"/>
      <c r="B258" s="738">
        <v>12</v>
      </c>
      <c r="C258" s="739">
        <f>C127</f>
        <v>20</v>
      </c>
      <c r="D258" s="739">
        <f t="shared" ref="D258:F258" si="156">D127</f>
        <v>9.9999999999999995E-7</v>
      </c>
      <c r="E258" s="739" t="str">
        <f t="shared" si="156"/>
        <v>-</v>
      </c>
      <c r="F258" s="739">
        <f t="shared" si="156"/>
        <v>0</v>
      </c>
      <c r="G258" s="698"/>
      <c r="H258" s="1339"/>
      <c r="I258" s="738">
        <v>12</v>
      </c>
      <c r="J258" s="739">
        <f>I127</f>
        <v>40</v>
      </c>
      <c r="K258" s="739">
        <f t="shared" ref="K258:M258" si="157">J127</f>
        <v>-0.1</v>
      </c>
      <c r="L258" s="739" t="str">
        <f t="shared" si="157"/>
        <v>-</v>
      </c>
      <c r="M258" s="739">
        <f t="shared" si="157"/>
        <v>0</v>
      </c>
      <c r="N258" s="698"/>
      <c r="O258" s="1339"/>
      <c r="P258" s="738">
        <v>12</v>
      </c>
      <c r="Q258" s="739">
        <f>O127</f>
        <v>850</v>
      </c>
      <c r="R258" s="739">
        <f t="shared" ref="R258:T258" si="158">P127</f>
        <v>-0.5</v>
      </c>
      <c r="S258" s="739" t="str">
        <f t="shared" si="158"/>
        <v>-</v>
      </c>
      <c r="T258" s="740">
        <f t="shared" si="158"/>
        <v>0</v>
      </c>
      <c r="V258" s="736">
        <v>10</v>
      </c>
      <c r="W258" s="737">
        <f>U103</f>
        <v>1.5</v>
      </c>
    </row>
    <row r="259" spans="1:23" ht="13" hidden="1">
      <c r="A259" s="1342"/>
      <c r="B259" s="738">
        <v>13</v>
      </c>
      <c r="C259" s="739">
        <f>C138</f>
        <v>20</v>
      </c>
      <c r="D259" s="739">
        <f t="shared" ref="D259:F259" si="159">D138</f>
        <v>-0.4</v>
      </c>
      <c r="E259" s="739" t="str">
        <f t="shared" si="159"/>
        <v>-</v>
      </c>
      <c r="F259" s="739">
        <f t="shared" si="159"/>
        <v>0</v>
      </c>
      <c r="G259" s="698"/>
      <c r="H259" s="1339"/>
      <c r="I259" s="738">
        <v>13</v>
      </c>
      <c r="J259" s="739">
        <f>I138</f>
        <v>40</v>
      </c>
      <c r="K259" s="739">
        <f t="shared" ref="K259:M259" si="160">J138</f>
        <v>-1.3</v>
      </c>
      <c r="L259" s="739" t="str">
        <f t="shared" si="160"/>
        <v>-</v>
      </c>
      <c r="M259" s="739">
        <f t="shared" si="160"/>
        <v>0</v>
      </c>
      <c r="N259" s="698"/>
      <c r="O259" s="1339"/>
      <c r="P259" s="738">
        <v>13</v>
      </c>
      <c r="Q259" s="739">
        <f>O138</f>
        <v>970</v>
      </c>
      <c r="R259" s="739">
        <f t="shared" ref="R259:T259" si="161">P138</f>
        <v>1</v>
      </c>
      <c r="S259" s="739" t="str">
        <f t="shared" si="161"/>
        <v>-</v>
      </c>
      <c r="T259" s="740">
        <f t="shared" si="161"/>
        <v>0</v>
      </c>
      <c r="V259" s="736">
        <v>11</v>
      </c>
      <c r="W259" s="737">
        <f>U114</f>
        <v>1.8</v>
      </c>
    </row>
    <row r="260" spans="1:23" ht="13" hidden="1">
      <c r="A260" s="1342"/>
      <c r="B260" s="738">
        <v>14</v>
      </c>
      <c r="C260" s="739">
        <f>C149</f>
        <v>20</v>
      </c>
      <c r="D260" s="739">
        <f t="shared" ref="D260:F260" si="162">D149</f>
        <v>-0.1</v>
      </c>
      <c r="E260" s="739" t="str">
        <f t="shared" si="162"/>
        <v>-</v>
      </c>
      <c r="F260" s="739">
        <f t="shared" si="162"/>
        <v>0</v>
      </c>
      <c r="G260" s="698"/>
      <c r="H260" s="1339"/>
      <c r="I260" s="738">
        <v>14</v>
      </c>
      <c r="J260" s="739">
        <f>I149</f>
        <v>40</v>
      </c>
      <c r="K260" s="739">
        <f t="shared" ref="K260:M260" si="163">J149</f>
        <v>0.3</v>
      </c>
      <c r="L260" s="739" t="str">
        <f t="shared" si="163"/>
        <v>-</v>
      </c>
      <c r="M260" s="739">
        <f t="shared" si="163"/>
        <v>0</v>
      </c>
      <c r="N260" s="698"/>
      <c r="O260" s="1339"/>
      <c r="P260" s="738">
        <v>14</v>
      </c>
      <c r="Q260" s="739">
        <f>O149</f>
        <v>970</v>
      </c>
      <c r="R260" s="739">
        <f t="shared" ref="R260:T260" si="164">P149</f>
        <v>1</v>
      </c>
      <c r="S260" s="739" t="str">
        <f t="shared" si="164"/>
        <v>-</v>
      </c>
      <c r="T260" s="740">
        <f t="shared" si="164"/>
        <v>0</v>
      </c>
      <c r="V260" s="736">
        <v>12</v>
      </c>
      <c r="W260" s="765">
        <f>U125</f>
        <v>2</v>
      </c>
    </row>
    <row r="261" spans="1:23" ht="13" hidden="1">
      <c r="A261" s="1342"/>
      <c r="B261" s="738">
        <v>15</v>
      </c>
      <c r="C261" s="739">
        <f>C160</f>
        <v>20</v>
      </c>
      <c r="D261" s="739">
        <f t="shared" ref="D261:F261" si="165">D160</f>
        <v>-0.5</v>
      </c>
      <c r="E261" s="739" t="str">
        <f t="shared" si="165"/>
        <v>-</v>
      </c>
      <c r="F261" s="739">
        <f t="shared" si="165"/>
        <v>0</v>
      </c>
      <c r="G261" s="698"/>
      <c r="H261" s="1339"/>
      <c r="I261" s="738">
        <v>15</v>
      </c>
      <c r="J261" s="739">
        <f>I160</f>
        <v>40</v>
      </c>
      <c r="K261" s="739">
        <f t="shared" ref="K261:M261" si="166">J160</f>
        <v>-0.3</v>
      </c>
      <c r="L261" s="739" t="str">
        <f t="shared" si="166"/>
        <v>-</v>
      </c>
      <c r="M261" s="739">
        <f t="shared" si="166"/>
        <v>0</v>
      </c>
      <c r="N261" s="698"/>
      <c r="O261" s="1339"/>
      <c r="P261" s="738">
        <v>15</v>
      </c>
      <c r="Q261" s="739">
        <f>O160</f>
        <v>970</v>
      </c>
      <c r="R261" s="739">
        <f t="shared" ref="R261:T261" si="167">P160</f>
        <v>1</v>
      </c>
      <c r="S261" s="739" t="str">
        <f t="shared" si="167"/>
        <v>-</v>
      </c>
      <c r="T261" s="740">
        <f t="shared" si="167"/>
        <v>0</v>
      </c>
      <c r="V261" s="736">
        <v>13</v>
      </c>
      <c r="W261" s="737">
        <f>U136</f>
        <v>2.7</v>
      </c>
    </row>
    <row r="262" spans="1:23" ht="13" hidden="1">
      <c r="A262" s="1342"/>
      <c r="B262" s="738">
        <v>16</v>
      </c>
      <c r="C262" s="739">
        <f>C171</f>
        <v>20</v>
      </c>
      <c r="D262" s="739">
        <f t="shared" ref="D262:F262" si="168">D171</f>
        <v>0.2</v>
      </c>
      <c r="E262" s="739" t="str">
        <f t="shared" si="168"/>
        <v>-</v>
      </c>
      <c r="F262" s="739">
        <f t="shared" si="168"/>
        <v>0</v>
      </c>
      <c r="G262" s="698"/>
      <c r="H262" s="1339"/>
      <c r="I262" s="738">
        <v>16</v>
      </c>
      <c r="J262" s="739">
        <f>I171</f>
        <v>40</v>
      </c>
      <c r="K262" s="739">
        <f t="shared" ref="K262:M262" si="169">J171</f>
        <v>-1.4</v>
      </c>
      <c r="L262" s="739" t="str">
        <f t="shared" si="169"/>
        <v>-</v>
      </c>
      <c r="M262" s="739">
        <f t="shared" si="169"/>
        <v>0</v>
      </c>
      <c r="N262" s="698"/>
      <c r="O262" s="1339"/>
      <c r="P262" s="738">
        <v>16</v>
      </c>
      <c r="Q262" s="739">
        <f>O171</f>
        <v>850</v>
      </c>
      <c r="R262" s="739">
        <f t="shared" ref="R262:T262" si="170">P171</f>
        <v>-2.2999999999999998</v>
      </c>
      <c r="S262" s="739" t="str">
        <f t="shared" si="170"/>
        <v>-</v>
      </c>
      <c r="T262" s="740">
        <f t="shared" si="170"/>
        <v>0</v>
      </c>
      <c r="V262" s="736">
        <v>14</v>
      </c>
      <c r="W262" s="737">
        <f>U147</f>
        <v>2.2000000000000002</v>
      </c>
    </row>
    <row r="263" spans="1:23" ht="13" hidden="1">
      <c r="A263" s="1342"/>
      <c r="B263" s="738">
        <v>17</v>
      </c>
      <c r="C263" s="739">
        <f>C182</f>
        <v>20</v>
      </c>
      <c r="D263" s="739">
        <f t="shared" ref="D263:F263" si="171">D182</f>
        <v>0.1</v>
      </c>
      <c r="E263" s="739" t="str">
        <f t="shared" si="171"/>
        <v>-</v>
      </c>
      <c r="F263" s="739">
        <f t="shared" si="171"/>
        <v>0</v>
      </c>
      <c r="G263" s="698"/>
      <c r="H263" s="1339"/>
      <c r="I263" s="738">
        <v>17</v>
      </c>
      <c r="J263" s="739">
        <f>I182</f>
        <v>40</v>
      </c>
      <c r="K263" s="739">
        <f t="shared" ref="K263:M263" si="172">J182</f>
        <v>0.2</v>
      </c>
      <c r="L263" s="739" t="str">
        <f t="shared" si="172"/>
        <v>-</v>
      </c>
      <c r="M263" s="739">
        <f t="shared" si="172"/>
        <v>0</v>
      </c>
      <c r="N263" s="698"/>
      <c r="O263" s="1339"/>
      <c r="P263" s="738">
        <v>17</v>
      </c>
      <c r="Q263" s="739">
        <f>O182</f>
        <v>970</v>
      </c>
      <c r="R263" s="739">
        <f t="shared" ref="R263:T263" si="173">P182</f>
        <v>-0.6</v>
      </c>
      <c r="S263" s="739" t="str">
        <f t="shared" si="173"/>
        <v>-</v>
      </c>
      <c r="T263" s="740">
        <f t="shared" si="173"/>
        <v>0</v>
      </c>
      <c r="V263" s="736">
        <v>15</v>
      </c>
      <c r="W263" s="737">
        <f>U158</f>
        <v>2.7</v>
      </c>
    </row>
    <row r="264" spans="1:23" ht="13" hidden="1">
      <c r="A264" s="1342"/>
      <c r="B264" s="738">
        <v>18</v>
      </c>
      <c r="C264" s="739">
        <f>C193</f>
        <v>20</v>
      </c>
      <c r="D264" s="739">
        <f t="shared" ref="D264:F264" si="174">D193</f>
        <v>-0.1</v>
      </c>
      <c r="E264" s="739" t="str">
        <f t="shared" si="174"/>
        <v>-</v>
      </c>
      <c r="F264" s="739">
        <f t="shared" si="174"/>
        <v>0</v>
      </c>
      <c r="G264" s="698"/>
      <c r="H264" s="1339"/>
      <c r="I264" s="738">
        <v>18</v>
      </c>
      <c r="J264" s="739">
        <f>I193</f>
        <v>40</v>
      </c>
      <c r="K264" s="739">
        <f t="shared" ref="K264:M264" si="175">J193</f>
        <v>-0.2</v>
      </c>
      <c r="L264" s="739" t="str">
        <f t="shared" si="175"/>
        <v>-</v>
      </c>
      <c r="M264" s="739">
        <f t="shared" si="175"/>
        <v>0</v>
      </c>
      <c r="N264" s="698"/>
      <c r="O264" s="1339"/>
      <c r="P264" s="738">
        <v>18</v>
      </c>
      <c r="Q264" s="739">
        <f>O193</f>
        <v>850</v>
      </c>
      <c r="R264" s="739">
        <f t="shared" ref="R264:T264" si="176">P193</f>
        <v>-1.3</v>
      </c>
      <c r="S264" s="739" t="str">
        <f t="shared" si="176"/>
        <v>-</v>
      </c>
      <c r="T264" s="740">
        <f t="shared" si="176"/>
        <v>0</v>
      </c>
      <c r="V264" s="736">
        <v>16</v>
      </c>
      <c r="W264" s="737">
        <f>U169</f>
        <v>2.2000000000000002</v>
      </c>
    </row>
    <row r="265" spans="1:23" ht="13" hidden="1">
      <c r="A265" s="1342"/>
      <c r="B265" s="738">
        <v>19</v>
      </c>
      <c r="C265" s="739">
        <f>C204</f>
        <v>20</v>
      </c>
      <c r="D265" s="739">
        <f t="shared" ref="D265:F265" si="177">D204</f>
        <v>0.1</v>
      </c>
      <c r="E265" s="739" t="str">
        <f t="shared" si="177"/>
        <v>-</v>
      </c>
      <c r="F265" s="739">
        <f t="shared" si="177"/>
        <v>0</v>
      </c>
      <c r="G265" s="698"/>
      <c r="H265" s="1339"/>
      <c r="I265" s="738">
        <v>19</v>
      </c>
      <c r="J265" s="739">
        <f>I204</f>
        <v>40</v>
      </c>
      <c r="K265" s="739">
        <f t="shared" ref="K265:M265" si="178">J204</f>
        <v>-0.8</v>
      </c>
      <c r="L265" s="739" t="str">
        <f t="shared" si="178"/>
        <v>-</v>
      </c>
      <c r="M265" s="739">
        <f t="shared" si="178"/>
        <v>0</v>
      </c>
      <c r="N265" s="698"/>
      <c r="O265" s="1339"/>
      <c r="P265" s="738">
        <v>19</v>
      </c>
      <c r="Q265" s="739">
        <f>O204</f>
        <v>800</v>
      </c>
      <c r="R265" s="739">
        <f t="shared" ref="R265:T265" si="179">P204</f>
        <v>2.5</v>
      </c>
      <c r="S265" s="739" t="str">
        <f t="shared" si="179"/>
        <v>-</v>
      </c>
      <c r="T265" s="740">
        <f t="shared" si="179"/>
        <v>0</v>
      </c>
      <c r="V265" s="736">
        <v>17</v>
      </c>
      <c r="W265" s="737">
        <f>U180</f>
        <v>2.8</v>
      </c>
    </row>
    <row r="266" spans="1:23" ht="13.5" hidden="1" thickBot="1">
      <c r="A266" s="1343"/>
      <c r="B266" s="749">
        <v>20</v>
      </c>
      <c r="C266" s="766">
        <f>C215</f>
        <v>19.7</v>
      </c>
      <c r="D266" s="766">
        <f t="shared" ref="D266:F266" si="180">D215</f>
        <v>9.9999999999999995E-7</v>
      </c>
      <c r="E266" s="766" t="str">
        <f t="shared" si="180"/>
        <v>-</v>
      </c>
      <c r="F266" s="766">
        <f t="shared" si="180"/>
        <v>0</v>
      </c>
      <c r="G266" s="751"/>
      <c r="H266" s="1340"/>
      <c r="I266" s="749">
        <v>20</v>
      </c>
      <c r="J266" s="766">
        <f>I215</f>
        <v>54.3</v>
      </c>
      <c r="K266" s="766">
        <f t="shared" ref="K266:M266" si="181">J215</f>
        <v>9.9999999999999995E-7</v>
      </c>
      <c r="L266" s="766" t="str">
        <f t="shared" si="181"/>
        <v>-</v>
      </c>
      <c r="M266" s="766">
        <f t="shared" si="181"/>
        <v>0</v>
      </c>
      <c r="N266" s="751"/>
      <c r="O266" s="1340"/>
      <c r="P266" s="749">
        <v>20</v>
      </c>
      <c r="Q266" s="766">
        <f>O215</f>
        <v>800</v>
      </c>
      <c r="R266" s="766" t="str">
        <f t="shared" ref="R266:T266" si="182">P215</f>
        <v>-</v>
      </c>
      <c r="S266" s="766" t="str">
        <f t="shared" si="182"/>
        <v>-</v>
      </c>
      <c r="T266" s="767">
        <f t="shared" si="182"/>
        <v>0</v>
      </c>
      <c r="V266" s="736">
        <v>18</v>
      </c>
      <c r="W266" s="737">
        <f>U191</f>
        <v>1.6</v>
      </c>
    </row>
    <row r="267" spans="1:23" ht="13" hidden="1">
      <c r="A267" s="754"/>
      <c r="B267" s="755"/>
      <c r="C267" s="768"/>
      <c r="D267" s="768"/>
      <c r="E267" s="768"/>
      <c r="F267" s="769"/>
      <c r="G267" s="758"/>
      <c r="H267" s="754"/>
      <c r="I267" s="755"/>
      <c r="J267" s="768"/>
      <c r="K267" s="768"/>
      <c r="L267" s="768"/>
      <c r="M267" s="769"/>
      <c r="N267" s="698"/>
      <c r="O267" s="754"/>
      <c r="P267" s="755"/>
      <c r="Q267" s="768"/>
      <c r="R267" s="768"/>
      <c r="S267" s="768"/>
      <c r="T267" s="769"/>
      <c r="V267" s="736">
        <v>19</v>
      </c>
      <c r="W267" s="746">
        <f>U202</f>
        <v>1.5</v>
      </c>
    </row>
    <row r="268" spans="1:23" ht="13.5" hidden="1" thickBot="1">
      <c r="A268" s="1335">
        <v>3</v>
      </c>
      <c r="B268" s="761">
        <v>1</v>
      </c>
      <c r="C268" s="770">
        <f>C7</f>
        <v>25</v>
      </c>
      <c r="D268" s="770">
        <f t="shared" ref="D268:F268" si="183">D7</f>
        <v>9.9999999999999995E-7</v>
      </c>
      <c r="E268" s="770">
        <f t="shared" si="183"/>
        <v>0.1</v>
      </c>
      <c r="F268" s="770">
        <f t="shared" si="183"/>
        <v>4.9999500000000002E-2</v>
      </c>
      <c r="G268" s="763"/>
      <c r="H268" s="1338">
        <v>3</v>
      </c>
      <c r="I268" s="761">
        <v>1</v>
      </c>
      <c r="J268" s="770">
        <f>I7</f>
        <v>50</v>
      </c>
      <c r="K268" s="770">
        <f t="shared" ref="K268:M268" si="184">J7</f>
        <v>-5.8</v>
      </c>
      <c r="L268" s="770">
        <f t="shared" si="184"/>
        <v>-7.2</v>
      </c>
      <c r="M268" s="770">
        <f t="shared" si="184"/>
        <v>0.70000000000000018</v>
      </c>
      <c r="N268" s="763"/>
      <c r="O268" s="1338">
        <v>3</v>
      </c>
      <c r="P268" s="761">
        <v>1</v>
      </c>
      <c r="Q268" s="770">
        <f>O7</f>
        <v>850</v>
      </c>
      <c r="R268" s="770" t="str">
        <f t="shared" ref="R268:T268" si="185">P7</f>
        <v>-</v>
      </c>
      <c r="S268" s="770" t="str">
        <f t="shared" si="185"/>
        <v>-</v>
      </c>
      <c r="T268" s="771">
        <f t="shared" si="185"/>
        <v>0</v>
      </c>
      <c r="V268" s="747">
        <v>20</v>
      </c>
      <c r="W268" s="748">
        <f>U213</f>
        <v>0</v>
      </c>
    </row>
    <row r="269" spans="1:23" ht="13" hidden="1">
      <c r="A269" s="1336"/>
      <c r="B269" s="738">
        <v>2</v>
      </c>
      <c r="C269" s="739">
        <f>C18</f>
        <v>25</v>
      </c>
      <c r="D269" s="739">
        <f t="shared" ref="D269:F269" si="186">D18</f>
        <v>0.5</v>
      </c>
      <c r="E269" s="739">
        <f t="shared" si="186"/>
        <v>-0.2</v>
      </c>
      <c r="F269" s="739">
        <f t="shared" si="186"/>
        <v>0.35</v>
      </c>
      <c r="G269" s="698"/>
      <c r="H269" s="1339"/>
      <c r="I269" s="738">
        <v>2</v>
      </c>
      <c r="J269" s="739">
        <f>I18</f>
        <v>50</v>
      </c>
      <c r="K269" s="739">
        <f t="shared" ref="K269:M269" si="187">J18</f>
        <v>-5.3</v>
      </c>
      <c r="L269" s="739">
        <f t="shared" si="187"/>
        <v>-1.5</v>
      </c>
      <c r="M269" s="739">
        <f t="shared" si="187"/>
        <v>1.9</v>
      </c>
      <c r="N269" s="698"/>
      <c r="O269" s="1339"/>
      <c r="P269" s="738">
        <v>2</v>
      </c>
      <c r="Q269" s="739">
        <f>O18</f>
        <v>850</v>
      </c>
      <c r="R269" s="739" t="str">
        <f t="shared" ref="R269:T269" si="188">P18</f>
        <v>-</v>
      </c>
      <c r="S269" s="739" t="str">
        <f t="shared" si="188"/>
        <v>-</v>
      </c>
      <c r="T269" s="740">
        <f t="shared" si="188"/>
        <v>0</v>
      </c>
    </row>
    <row r="270" spans="1:23" ht="13" hidden="1">
      <c r="A270" s="1336"/>
      <c r="B270" s="738">
        <v>3</v>
      </c>
      <c r="C270" s="739">
        <f>C29</f>
        <v>25</v>
      </c>
      <c r="D270" s="739">
        <f t="shared" ref="D270:F270" si="189">D29</f>
        <v>0.7</v>
      </c>
      <c r="E270" s="739">
        <f t="shared" si="189"/>
        <v>-0.1</v>
      </c>
      <c r="F270" s="739">
        <f t="shared" si="189"/>
        <v>0.39999999999999997</v>
      </c>
      <c r="G270" s="698"/>
      <c r="H270" s="1339"/>
      <c r="I270" s="738">
        <v>3</v>
      </c>
      <c r="J270" s="739">
        <f>I29</f>
        <v>50</v>
      </c>
      <c r="K270" s="739">
        <f t="shared" ref="K270:M270" si="190">J29</f>
        <v>-4.5</v>
      </c>
      <c r="L270" s="739">
        <f t="shared" si="190"/>
        <v>-4.9000000000000004</v>
      </c>
      <c r="M270" s="739">
        <f t="shared" si="190"/>
        <v>0.20000000000000018</v>
      </c>
      <c r="N270" s="698"/>
      <c r="O270" s="1339"/>
      <c r="P270" s="738">
        <v>3</v>
      </c>
      <c r="Q270" s="739">
        <f>O29</f>
        <v>850</v>
      </c>
      <c r="R270" s="739" t="str">
        <f t="shared" ref="R270:T270" si="191">P29</f>
        <v>-</v>
      </c>
      <c r="S270" s="739" t="str">
        <f t="shared" si="191"/>
        <v>-</v>
      </c>
      <c r="T270" s="740">
        <f t="shared" si="191"/>
        <v>0</v>
      </c>
    </row>
    <row r="271" spans="1:23" ht="13" hidden="1">
      <c r="A271" s="1336"/>
      <c r="B271" s="738">
        <v>4</v>
      </c>
      <c r="C271" s="739">
        <f>C40</f>
        <v>25</v>
      </c>
      <c r="D271" s="739">
        <f t="shared" ref="D271:F271" si="192">D40</f>
        <v>-0.1</v>
      </c>
      <c r="E271" s="739">
        <f t="shared" si="192"/>
        <v>-0.5</v>
      </c>
      <c r="F271" s="739">
        <f t="shared" si="192"/>
        <v>0.2</v>
      </c>
      <c r="G271" s="698"/>
      <c r="H271" s="1339"/>
      <c r="I271" s="738">
        <v>4</v>
      </c>
      <c r="J271" s="739">
        <f>I40</f>
        <v>50</v>
      </c>
      <c r="K271" s="739">
        <f t="shared" ref="K271:M271" si="193">J40</f>
        <v>-4.3</v>
      </c>
      <c r="L271" s="739">
        <f t="shared" si="193"/>
        <v>-1</v>
      </c>
      <c r="M271" s="739">
        <f t="shared" si="193"/>
        <v>1.65</v>
      </c>
      <c r="N271" s="698"/>
      <c r="O271" s="1339"/>
      <c r="P271" s="738">
        <v>4</v>
      </c>
      <c r="Q271" s="739">
        <f>O40</f>
        <v>850</v>
      </c>
      <c r="R271" s="739" t="str">
        <f t="shared" ref="R271:T271" si="194">P40</f>
        <v>-</v>
      </c>
      <c r="S271" s="739" t="str">
        <f t="shared" si="194"/>
        <v>-</v>
      </c>
      <c r="T271" s="740">
        <f t="shared" si="194"/>
        <v>0</v>
      </c>
      <c r="V271" s="1347" t="s">
        <v>77</v>
      </c>
      <c r="W271" s="1348"/>
    </row>
    <row r="272" spans="1:23" ht="13" hidden="1">
      <c r="A272" s="1336"/>
      <c r="B272" s="738">
        <v>5</v>
      </c>
      <c r="C272" s="739">
        <f>C51</f>
        <v>25</v>
      </c>
      <c r="D272" s="739">
        <f t="shared" ref="D272:F272" si="195">D51</f>
        <v>0.4</v>
      </c>
      <c r="E272" s="739">
        <f t="shared" si="195"/>
        <v>0.2</v>
      </c>
      <c r="F272" s="739">
        <f t="shared" si="195"/>
        <v>0.1</v>
      </c>
      <c r="G272" s="698"/>
      <c r="H272" s="1339"/>
      <c r="I272" s="738">
        <v>5</v>
      </c>
      <c r="J272" s="739">
        <f>I51</f>
        <v>50</v>
      </c>
      <c r="K272" s="739">
        <f t="shared" ref="K272:M272" si="196">J51</f>
        <v>-6.2</v>
      </c>
      <c r="L272" s="739">
        <f t="shared" si="196"/>
        <v>-6.2</v>
      </c>
      <c r="M272" s="739">
        <f t="shared" si="196"/>
        <v>0</v>
      </c>
      <c r="N272" s="698"/>
      <c r="O272" s="1339"/>
      <c r="P272" s="738">
        <v>5</v>
      </c>
      <c r="Q272" s="739">
        <f>O51</f>
        <v>850</v>
      </c>
      <c r="R272" s="739" t="str">
        <f t="shared" ref="R272:T272" si="197">P51</f>
        <v>-</v>
      </c>
      <c r="S272" s="739" t="str">
        <f t="shared" si="197"/>
        <v>-</v>
      </c>
      <c r="T272" s="740">
        <f t="shared" si="197"/>
        <v>0</v>
      </c>
      <c r="V272" s="1349" t="s">
        <v>424</v>
      </c>
      <c r="W272" s="1350"/>
    </row>
    <row r="273" spans="1:23" ht="13" hidden="1">
      <c r="A273" s="1336"/>
      <c r="B273" s="738">
        <v>6</v>
      </c>
      <c r="C273" s="739">
        <f>C62</f>
        <v>25</v>
      </c>
      <c r="D273" s="739">
        <f t="shared" ref="D273:F273" si="198">D62</f>
        <v>0.2</v>
      </c>
      <c r="E273" s="739">
        <f t="shared" si="198"/>
        <v>-0.1</v>
      </c>
      <c r="F273" s="739">
        <f t="shared" si="198"/>
        <v>0.15000000000000002</v>
      </c>
      <c r="G273" s="698"/>
      <c r="H273" s="1339"/>
      <c r="I273" s="738">
        <v>6</v>
      </c>
      <c r="J273" s="739">
        <f>I62</f>
        <v>50</v>
      </c>
      <c r="K273" s="739">
        <f t="shared" ref="K273:M273" si="199">J62</f>
        <v>-5.4</v>
      </c>
      <c r="L273" s="739">
        <f t="shared" si="199"/>
        <v>1.2</v>
      </c>
      <c r="M273" s="739">
        <f t="shared" si="199"/>
        <v>3.3000000000000003</v>
      </c>
      <c r="N273" s="698"/>
      <c r="O273" s="1339"/>
      <c r="P273" s="738">
        <v>6</v>
      </c>
      <c r="Q273" s="739">
        <f>O62</f>
        <v>850</v>
      </c>
      <c r="R273" s="739">
        <f t="shared" ref="R273:T273" si="200">P62</f>
        <v>0.9</v>
      </c>
      <c r="S273" s="739">
        <f t="shared" si="200"/>
        <v>1.1000000000000001</v>
      </c>
      <c r="T273" s="740">
        <f t="shared" si="200"/>
        <v>0.10000000000000003</v>
      </c>
      <c r="V273" s="736">
        <v>1</v>
      </c>
      <c r="W273" s="737">
        <f>U5</f>
        <v>0</v>
      </c>
    </row>
    <row r="274" spans="1:23" ht="13" hidden="1">
      <c r="A274" s="1336"/>
      <c r="B274" s="738">
        <v>7</v>
      </c>
      <c r="C274" s="739">
        <f>C73</f>
        <v>25</v>
      </c>
      <c r="D274" s="739">
        <f t="shared" ref="D274:F274" si="201">D73</f>
        <v>9.9999999999999995E-7</v>
      </c>
      <c r="E274" s="739">
        <f t="shared" si="201"/>
        <v>-0.2</v>
      </c>
      <c r="F274" s="739">
        <f t="shared" si="201"/>
        <v>0.10000050000000001</v>
      </c>
      <c r="G274" s="698"/>
      <c r="H274" s="1339"/>
      <c r="I274" s="738">
        <v>7</v>
      </c>
      <c r="J274" s="739">
        <f>I73</f>
        <v>50</v>
      </c>
      <c r="K274" s="739">
        <f t="shared" ref="K274:M274" si="202">J73</f>
        <v>-1.9</v>
      </c>
      <c r="L274" s="739">
        <f t="shared" si="202"/>
        <v>0.8</v>
      </c>
      <c r="M274" s="739">
        <f t="shared" si="202"/>
        <v>1.35</v>
      </c>
      <c r="N274" s="698"/>
      <c r="O274" s="1339"/>
      <c r="P274" s="738">
        <v>7</v>
      </c>
      <c r="Q274" s="739">
        <f>O73</f>
        <v>850</v>
      </c>
      <c r="R274" s="739">
        <f t="shared" ref="R274:T274" si="203">P73</f>
        <v>9.9999999999999995E-7</v>
      </c>
      <c r="S274" s="739">
        <f t="shared" si="203"/>
        <v>1.7</v>
      </c>
      <c r="T274" s="740">
        <f t="shared" si="203"/>
        <v>0.84999950000000002</v>
      </c>
      <c r="V274" s="741">
        <v>2</v>
      </c>
      <c r="W274" s="737">
        <f>U16</f>
        <v>0</v>
      </c>
    </row>
    <row r="275" spans="1:23" ht="13" hidden="1">
      <c r="A275" s="1336"/>
      <c r="B275" s="738">
        <v>8</v>
      </c>
      <c r="C275" s="739">
        <f>C84</f>
        <v>25</v>
      </c>
      <c r="D275" s="739">
        <f t="shared" ref="D275:F275" si="204">D84</f>
        <v>-0.1</v>
      </c>
      <c r="E275" s="739">
        <f t="shared" si="204"/>
        <v>-0.4</v>
      </c>
      <c r="F275" s="739">
        <f t="shared" si="204"/>
        <v>0.15000000000000002</v>
      </c>
      <c r="G275" s="698"/>
      <c r="H275" s="1339"/>
      <c r="I275" s="738">
        <v>8</v>
      </c>
      <c r="J275" s="739">
        <f>I84</f>
        <v>50</v>
      </c>
      <c r="K275" s="739">
        <f t="shared" ref="K275:M275" si="205">J84</f>
        <v>-3.8</v>
      </c>
      <c r="L275" s="739">
        <f t="shared" si="205"/>
        <v>-1.2</v>
      </c>
      <c r="M275" s="739">
        <f t="shared" si="205"/>
        <v>1.2999999999999998</v>
      </c>
      <c r="N275" s="698"/>
      <c r="O275" s="1339"/>
      <c r="P275" s="738">
        <v>8</v>
      </c>
      <c r="Q275" s="739">
        <f>O84</f>
        <v>850</v>
      </c>
      <c r="R275" s="739">
        <f t="shared" ref="R275:T275" si="206">P84</f>
        <v>9.9999999999999995E-7</v>
      </c>
      <c r="S275" s="739">
        <f t="shared" si="206"/>
        <v>9.9999999999999995E-7</v>
      </c>
      <c r="T275" s="740">
        <f t="shared" si="206"/>
        <v>0</v>
      </c>
      <c r="V275" s="741">
        <v>3</v>
      </c>
      <c r="W275" s="772">
        <f>U27</f>
        <v>0</v>
      </c>
    </row>
    <row r="276" spans="1:23" ht="13" hidden="1">
      <c r="A276" s="1336"/>
      <c r="B276" s="738">
        <v>9</v>
      </c>
      <c r="C276" s="739">
        <f>C95</f>
        <v>25</v>
      </c>
      <c r="D276" s="739">
        <f t="shared" ref="D276:F276" si="207">D95</f>
        <v>-0.4</v>
      </c>
      <c r="E276" s="739" t="str">
        <f t="shared" si="207"/>
        <v>-</v>
      </c>
      <c r="F276" s="739">
        <f t="shared" si="207"/>
        <v>0</v>
      </c>
      <c r="G276" s="698"/>
      <c r="H276" s="1339"/>
      <c r="I276" s="738">
        <v>9</v>
      </c>
      <c r="J276" s="739">
        <f>I95</f>
        <v>50</v>
      </c>
      <c r="K276" s="739">
        <f t="shared" ref="K276:M276" si="208">J95</f>
        <v>-0.9</v>
      </c>
      <c r="L276" s="739" t="str">
        <f t="shared" si="208"/>
        <v>-</v>
      </c>
      <c r="M276" s="739">
        <f t="shared" si="208"/>
        <v>0</v>
      </c>
      <c r="N276" s="698"/>
      <c r="O276" s="1339"/>
      <c r="P276" s="738">
        <v>9</v>
      </c>
      <c r="Q276" s="739">
        <f>O95</f>
        <v>850</v>
      </c>
      <c r="R276" s="739">
        <f t="shared" ref="R276:T276" si="209">P95</f>
        <v>9.9999999999999995E-7</v>
      </c>
      <c r="S276" s="739" t="str">
        <f t="shared" si="209"/>
        <v>-</v>
      </c>
      <c r="T276" s="740">
        <f t="shared" si="209"/>
        <v>0</v>
      </c>
      <c r="V276" s="741">
        <v>4</v>
      </c>
      <c r="W276" s="772">
        <f>U39</f>
        <v>0</v>
      </c>
    </row>
    <row r="277" spans="1:23" ht="13" hidden="1">
      <c r="A277" s="1336"/>
      <c r="B277" s="738">
        <v>10</v>
      </c>
      <c r="C277" s="739">
        <f>C106</f>
        <v>25</v>
      </c>
      <c r="D277" s="739">
        <f t="shared" ref="D277:F277" si="210">D106</f>
        <v>0.1</v>
      </c>
      <c r="E277" s="739">
        <f t="shared" si="210"/>
        <v>-0.5</v>
      </c>
      <c r="F277" s="739">
        <f t="shared" si="210"/>
        <v>0.3</v>
      </c>
      <c r="G277" s="698"/>
      <c r="H277" s="1339"/>
      <c r="I277" s="738">
        <v>10</v>
      </c>
      <c r="J277" s="739">
        <f>I106</f>
        <v>50</v>
      </c>
      <c r="K277" s="739">
        <f t="shared" ref="K277:M277" si="211">J106</f>
        <v>-3.1</v>
      </c>
      <c r="L277" s="739">
        <f t="shared" si="211"/>
        <v>-6.1</v>
      </c>
      <c r="M277" s="739">
        <f t="shared" si="211"/>
        <v>1.4999999999999998</v>
      </c>
      <c r="N277" s="698"/>
      <c r="O277" s="1339"/>
      <c r="P277" s="738">
        <v>10</v>
      </c>
      <c r="Q277" s="739">
        <f>O106</f>
        <v>850</v>
      </c>
      <c r="R277" s="739" t="str">
        <f t="shared" ref="R277:T277" si="212">P106</f>
        <v>-</v>
      </c>
      <c r="S277" s="739" t="str">
        <f t="shared" si="212"/>
        <v>-</v>
      </c>
      <c r="T277" s="740">
        <f t="shared" si="212"/>
        <v>0</v>
      </c>
      <c r="V277" s="741">
        <v>5</v>
      </c>
      <c r="W277" s="772">
        <f>U49</f>
        <v>0</v>
      </c>
    </row>
    <row r="278" spans="1:23" ht="13" hidden="1">
      <c r="A278" s="1336"/>
      <c r="B278" s="738">
        <v>11</v>
      </c>
      <c r="C278" s="739">
        <f>C117</f>
        <v>25</v>
      </c>
      <c r="D278" s="739">
        <f t="shared" ref="D278:F278" si="213">D117</f>
        <v>0.4</v>
      </c>
      <c r="E278" s="739">
        <f t="shared" si="213"/>
        <v>0.5</v>
      </c>
      <c r="F278" s="739">
        <f t="shared" si="213"/>
        <v>4.9999999999999989E-2</v>
      </c>
      <c r="G278" s="698"/>
      <c r="H278" s="1339"/>
      <c r="I278" s="738">
        <v>11</v>
      </c>
      <c r="J278" s="739">
        <f>I117</f>
        <v>50</v>
      </c>
      <c r="K278" s="739">
        <f t="shared" ref="K278:M278" si="214">J117</f>
        <v>-5.5</v>
      </c>
      <c r="L278" s="739">
        <f t="shared" si="214"/>
        <v>-5.6</v>
      </c>
      <c r="M278" s="739">
        <f t="shared" si="214"/>
        <v>4.9999999999999822E-2</v>
      </c>
      <c r="N278" s="698"/>
      <c r="O278" s="1339"/>
      <c r="P278" s="738">
        <v>11</v>
      </c>
      <c r="Q278" s="739">
        <f>O117</f>
        <v>850</v>
      </c>
      <c r="R278" s="739" t="str">
        <f t="shared" ref="R278:T278" si="215">P117</f>
        <v>-</v>
      </c>
      <c r="S278" s="739" t="str">
        <f t="shared" si="215"/>
        <v>-</v>
      </c>
      <c r="T278" s="740">
        <f t="shared" si="215"/>
        <v>0</v>
      </c>
      <c r="V278" s="736">
        <v>6</v>
      </c>
      <c r="W278" s="737">
        <f>U60</f>
        <v>1.6</v>
      </c>
    </row>
    <row r="279" spans="1:23" ht="13" hidden="1">
      <c r="A279" s="1336"/>
      <c r="B279" s="738">
        <v>12</v>
      </c>
      <c r="C279" s="739">
        <f>C128</f>
        <v>25</v>
      </c>
      <c r="D279" s="739">
        <f t="shared" ref="D279:F279" si="216">D128</f>
        <v>9.9999999999999995E-7</v>
      </c>
      <c r="E279" s="739" t="str">
        <f t="shared" si="216"/>
        <v>-</v>
      </c>
      <c r="F279" s="739">
        <f t="shared" si="216"/>
        <v>0</v>
      </c>
      <c r="G279" s="698"/>
      <c r="H279" s="1339"/>
      <c r="I279" s="738">
        <v>12</v>
      </c>
      <c r="J279" s="739">
        <f>I128</f>
        <v>50</v>
      </c>
      <c r="K279" s="739">
        <f t="shared" ref="K279:M279" si="217">J128</f>
        <v>9.9999999999999995E-7</v>
      </c>
      <c r="L279" s="739" t="str">
        <f t="shared" si="217"/>
        <v>-</v>
      </c>
      <c r="M279" s="739">
        <f t="shared" si="217"/>
        <v>0</v>
      </c>
      <c r="N279" s="698"/>
      <c r="O279" s="1339"/>
      <c r="P279" s="738">
        <v>12</v>
      </c>
      <c r="Q279" s="739">
        <f>O128</f>
        <v>900</v>
      </c>
      <c r="R279" s="739">
        <f t="shared" ref="R279:T279" si="218">P128</f>
        <v>-0.6</v>
      </c>
      <c r="S279" s="739" t="str">
        <f t="shared" si="218"/>
        <v>-</v>
      </c>
      <c r="T279" s="740">
        <f t="shared" si="218"/>
        <v>0</v>
      </c>
      <c r="V279" s="736">
        <v>7</v>
      </c>
      <c r="W279" s="737">
        <f>U71</f>
        <v>2.4</v>
      </c>
    </row>
    <row r="280" spans="1:23" ht="13" hidden="1">
      <c r="A280" s="1336"/>
      <c r="B280" s="738">
        <v>13</v>
      </c>
      <c r="C280" s="739">
        <f>C139</f>
        <v>25</v>
      </c>
      <c r="D280" s="739">
        <f t="shared" ref="D280:F280" si="219">D139</f>
        <v>-0.2</v>
      </c>
      <c r="E280" s="739" t="str">
        <f t="shared" si="219"/>
        <v>-</v>
      </c>
      <c r="F280" s="739">
        <f t="shared" si="219"/>
        <v>0</v>
      </c>
      <c r="G280" s="698"/>
      <c r="H280" s="1339"/>
      <c r="I280" s="738">
        <v>13</v>
      </c>
      <c r="J280" s="739">
        <f>I139</f>
        <v>50</v>
      </c>
      <c r="K280" s="739">
        <f t="shared" ref="K280:M280" si="220">J139</f>
        <v>-1.3</v>
      </c>
      <c r="L280" s="739" t="str">
        <f t="shared" si="220"/>
        <v>-</v>
      </c>
      <c r="M280" s="739">
        <f t="shared" si="220"/>
        <v>0</v>
      </c>
      <c r="N280" s="698"/>
      <c r="O280" s="1339"/>
      <c r="P280" s="738">
        <v>13</v>
      </c>
      <c r="Q280" s="739">
        <f>O139</f>
        <v>980</v>
      </c>
      <c r="R280" s="739">
        <f t="shared" ref="R280:T280" si="221">P139</f>
        <v>1</v>
      </c>
      <c r="S280" s="739" t="str">
        <f t="shared" si="221"/>
        <v>-</v>
      </c>
      <c r="T280" s="740">
        <f t="shared" si="221"/>
        <v>0</v>
      </c>
      <c r="V280" s="736">
        <v>8</v>
      </c>
      <c r="W280" s="737">
        <f>U82</f>
        <v>2.1</v>
      </c>
    </row>
    <row r="281" spans="1:23" ht="13" hidden="1">
      <c r="A281" s="1336"/>
      <c r="B281" s="738">
        <v>14</v>
      </c>
      <c r="C281" s="739">
        <f>C150</f>
        <v>25</v>
      </c>
      <c r="D281" s="739">
        <f t="shared" ref="D281:F281" si="222">D150</f>
        <v>-0.1</v>
      </c>
      <c r="E281" s="739" t="str">
        <f t="shared" si="222"/>
        <v>-</v>
      </c>
      <c r="F281" s="739">
        <f t="shared" si="222"/>
        <v>0</v>
      </c>
      <c r="G281" s="698"/>
      <c r="H281" s="1339"/>
      <c r="I281" s="738">
        <v>14</v>
      </c>
      <c r="J281" s="739">
        <f>I151</f>
        <v>60</v>
      </c>
      <c r="K281" s="739">
        <f t="shared" ref="K281:M281" si="223">J151</f>
        <v>-0.6</v>
      </c>
      <c r="L281" s="739" t="str">
        <f t="shared" si="223"/>
        <v>-</v>
      </c>
      <c r="M281" s="739">
        <f t="shared" si="223"/>
        <v>0</v>
      </c>
      <c r="N281" s="698"/>
      <c r="O281" s="1339"/>
      <c r="P281" s="738">
        <v>14</v>
      </c>
      <c r="Q281" s="739">
        <f>O150</f>
        <v>980</v>
      </c>
      <c r="R281" s="739">
        <f t="shared" ref="R281:T281" si="224">P150</f>
        <v>1</v>
      </c>
      <c r="S281" s="739" t="str">
        <f t="shared" si="224"/>
        <v>-</v>
      </c>
      <c r="T281" s="740">
        <f t="shared" si="224"/>
        <v>0</v>
      </c>
      <c r="V281" s="736">
        <v>9</v>
      </c>
      <c r="W281" s="737">
        <f>U93</f>
        <v>2.2000000000000002</v>
      </c>
    </row>
    <row r="282" spans="1:23" ht="13" hidden="1">
      <c r="A282" s="1336"/>
      <c r="B282" s="738">
        <v>15</v>
      </c>
      <c r="C282" s="739">
        <f>C161</f>
        <v>25</v>
      </c>
      <c r="D282" s="739">
        <f t="shared" ref="D282:F282" si="225">D161</f>
        <v>-0.4</v>
      </c>
      <c r="E282" s="739" t="str">
        <f t="shared" si="225"/>
        <v>-</v>
      </c>
      <c r="F282" s="739">
        <f t="shared" si="225"/>
        <v>0</v>
      </c>
      <c r="G282" s="698"/>
      <c r="H282" s="1339"/>
      <c r="I282" s="738">
        <v>15</v>
      </c>
      <c r="J282" s="739">
        <f>I161</f>
        <v>50</v>
      </c>
      <c r="K282" s="739">
        <f t="shared" ref="K282:M282" si="226">J161</f>
        <v>-0.3</v>
      </c>
      <c r="L282" s="739" t="str">
        <f t="shared" si="226"/>
        <v>-</v>
      </c>
      <c r="M282" s="739">
        <f t="shared" si="226"/>
        <v>0</v>
      </c>
      <c r="N282" s="698"/>
      <c r="O282" s="1339"/>
      <c r="P282" s="738">
        <v>15</v>
      </c>
      <c r="Q282" s="739">
        <f>O161</f>
        <v>980</v>
      </c>
      <c r="R282" s="739">
        <f t="shared" ref="R282:T282" si="227">P161</f>
        <v>1</v>
      </c>
      <c r="S282" s="739" t="str">
        <f t="shared" si="227"/>
        <v>-</v>
      </c>
      <c r="T282" s="740">
        <f t="shared" si="227"/>
        <v>0</v>
      </c>
      <c r="V282" s="736">
        <v>10</v>
      </c>
      <c r="W282" s="737">
        <f>U104</f>
        <v>0</v>
      </c>
    </row>
    <row r="283" spans="1:23" ht="13" hidden="1">
      <c r="A283" s="1336"/>
      <c r="B283" s="738">
        <v>16</v>
      </c>
      <c r="C283" s="739">
        <f>C172</f>
        <v>25</v>
      </c>
      <c r="D283" s="739">
        <f t="shared" ref="D283:F283" si="228">D172</f>
        <v>0.2</v>
      </c>
      <c r="E283" s="739" t="str">
        <f t="shared" si="228"/>
        <v>-</v>
      </c>
      <c r="F283" s="739">
        <f t="shared" si="228"/>
        <v>0</v>
      </c>
      <c r="G283" s="698"/>
      <c r="H283" s="1339"/>
      <c r="I283" s="738">
        <v>16</v>
      </c>
      <c r="J283" s="739">
        <f>I172</f>
        <v>50</v>
      </c>
      <c r="K283" s="739">
        <f t="shared" ref="K283:M283" si="229">J172</f>
        <v>-1.4</v>
      </c>
      <c r="L283" s="739" t="str">
        <f t="shared" si="229"/>
        <v>-</v>
      </c>
      <c r="M283" s="739">
        <f t="shared" si="229"/>
        <v>0</v>
      </c>
      <c r="N283" s="698"/>
      <c r="O283" s="1339"/>
      <c r="P283" s="738">
        <v>16</v>
      </c>
      <c r="Q283" s="739">
        <f>O172</f>
        <v>900</v>
      </c>
      <c r="R283" s="739">
        <f t="shared" ref="R283:T283" si="230">P172</f>
        <v>-1.7</v>
      </c>
      <c r="S283" s="739" t="str">
        <f t="shared" si="230"/>
        <v>-</v>
      </c>
      <c r="T283" s="740">
        <f t="shared" si="230"/>
        <v>0</v>
      </c>
      <c r="V283" s="736">
        <v>11</v>
      </c>
      <c r="W283" s="737">
        <f>U115</f>
        <v>0</v>
      </c>
    </row>
    <row r="284" spans="1:23" ht="13" hidden="1">
      <c r="A284" s="1336"/>
      <c r="B284" s="738">
        <v>17</v>
      </c>
      <c r="C284" s="739">
        <f>C183</f>
        <v>25</v>
      </c>
      <c r="D284" s="739">
        <f t="shared" ref="D284:F284" si="231">D183</f>
        <v>9.9999999999999995E-7</v>
      </c>
      <c r="E284" s="739" t="str">
        <f t="shared" si="231"/>
        <v>-</v>
      </c>
      <c r="F284" s="739">
        <f t="shared" si="231"/>
        <v>0</v>
      </c>
      <c r="G284" s="698"/>
      <c r="H284" s="1339"/>
      <c r="I284" s="738">
        <v>17</v>
      </c>
      <c r="J284" s="739">
        <f>I183</f>
        <v>50</v>
      </c>
      <c r="K284" s="739">
        <f t="shared" ref="K284:M284" si="232">J183</f>
        <v>0.2</v>
      </c>
      <c r="L284" s="739" t="str">
        <f t="shared" si="232"/>
        <v>-</v>
      </c>
      <c r="M284" s="739">
        <f t="shared" si="232"/>
        <v>0</v>
      </c>
      <c r="N284" s="698"/>
      <c r="O284" s="1339"/>
      <c r="P284" s="738">
        <v>17</v>
      </c>
      <c r="Q284" s="739">
        <f>O183</f>
        <v>980</v>
      </c>
      <c r="R284" s="739">
        <f t="shared" ref="R284:T284" si="233">P183</f>
        <v>-0.6</v>
      </c>
      <c r="S284" s="739" t="str">
        <f t="shared" si="233"/>
        <v>-</v>
      </c>
      <c r="T284" s="740">
        <f t="shared" si="233"/>
        <v>0</v>
      </c>
      <c r="V284" s="736">
        <v>12</v>
      </c>
      <c r="W284" s="765">
        <f>U126</f>
        <v>2.4</v>
      </c>
    </row>
    <row r="285" spans="1:23" ht="13" hidden="1">
      <c r="A285" s="1336"/>
      <c r="B285" s="738">
        <v>18</v>
      </c>
      <c r="C285" s="739">
        <f>C194</f>
        <v>25</v>
      </c>
      <c r="D285" s="739">
        <f t="shared" ref="D285:F285" si="234">D194</f>
        <v>-0.2</v>
      </c>
      <c r="E285" s="739" t="str">
        <f t="shared" si="234"/>
        <v>-</v>
      </c>
      <c r="F285" s="739">
        <f t="shared" si="234"/>
        <v>0</v>
      </c>
      <c r="G285" s="698"/>
      <c r="H285" s="1339"/>
      <c r="I285" s="738">
        <v>18</v>
      </c>
      <c r="J285" s="739">
        <f>I194</f>
        <v>50</v>
      </c>
      <c r="K285" s="739">
        <f t="shared" ref="K285:M285" si="235">J194</f>
        <v>-0.2</v>
      </c>
      <c r="L285" s="739" t="str">
        <f t="shared" si="235"/>
        <v>-</v>
      </c>
      <c r="M285" s="739">
        <f t="shared" si="235"/>
        <v>0</v>
      </c>
      <c r="N285" s="698"/>
      <c r="O285" s="1339"/>
      <c r="P285" s="738">
        <v>18</v>
      </c>
      <c r="Q285" s="739">
        <f>O194</f>
        <v>900</v>
      </c>
      <c r="R285" s="739">
        <f t="shared" ref="R285:T285" si="236">P194</f>
        <v>-1.1000000000000001</v>
      </c>
      <c r="S285" s="739" t="str">
        <f t="shared" si="236"/>
        <v>-</v>
      </c>
      <c r="T285" s="740">
        <f t="shared" si="236"/>
        <v>0</v>
      </c>
      <c r="V285" s="736">
        <v>13</v>
      </c>
      <c r="W285" s="737">
        <f>U137</f>
        <v>1.5</v>
      </c>
    </row>
    <row r="286" spans="1:23" ht="13" hidden="1">
      <c r="A286" s="1336"/>
      <c r="B286" s="738">
        <v>19</v>
      </c>
      <c r="C286" s="739">
        <f>C194</f>
        <v>25</v>
      </c>
      <c r="D286" s="739">
        <f t="shared" ref="D286:F286" si="237">D194</f>
        <v>-0.2</v>
      </c>
      <c r="E286" s="739" t="str">
        <f t="shared" si="237"/>
        <v>-</v>
      </c>
      <c r="F286" s="739">
        <f t="shared" si="237"/>
        <v>0</v>
      </c>
      <c r="G286" s="698"/>
      <c r="H286" s="1339"/>
      <c r="I286" s="738">
        <v>19</v>
      </c>
      <c r="J286" s="739">
        <f>I205</f>
        <v>50</v>
      </c>
      <c r="K286" s="739">
        <f t="shared" ref="K286:M286" si="238">J205</f>
        <v>-0.2</v>
      </c>
      <c r="L286" s="739" t="str">
        <f t="shared" si="238"/>
        <v>-</v>
      </c>
      <c r="M286" s="739">
        <f t="shared" si="238"/>
        <v>0</v>
      </c>
      <c r="N286" s="698"/>
      <c r="O286" s="1339"/>
      <c r="P286" s="738">
        <v>19</v>
      </c>
      <c r="Q286" s="739">
        <f>O205</f>
        <v>850</v>
      </c>
      <c r="R286" s="739">
        <f t="shared" ref="R286:T286" si="239">P205</f>
        <v>2.4</v>
      </c>
      <c r="S286" s="739" t="str">
        <f t="shared" si="239"/>
        <v>-</v>
      </c>
      <c r="T286" s="740">
        <f t="shared" si="239"/>
        <v>0</v>
      </c>
      <c r="V286" s="736">
        <v>14</v>
      </c>
      <c r="W286" s="737">
        <f>U148</f>
        <v>1.5</v>
      </c>
    </row>
    <row r="287" spans="1:23" ht="13.5" hidden="1" thickBot="1">
      <c r="A287" s="1337"/>
      <c r="B287" s="749">
        <v>20</v>
      </c>
      <c r="C287" s="766">
        <f>C216</f>
        <v>24.6</v>
      </c>
      <c r="D287" s="766">
        <f t="shared" ref="D287:F287" si="240">D216</f>
        <v>9.9999999999999995E-7</v>
      </c>
      <c r="E287" s="766" t="str">
        <f t="shared" si="240"/>
        <v>-</v>
      </c>
      <c r="F287" s="766">
        <f t="shared" si="240"/>
        <v>0</v>
      </c>
      <c r="G287" s="751"/>
      <c r="H287" s="1340"/>
      <c r="I287" s="749">
        <v>20</v>
      </c>
      <c r="J287" s="766">
        <f>I216</f>
        <v>62.5</v>
      </c>
      <c r="K287" s="766">
        <f t="shared" ref="K287:M287" si="241">J216</f>
        <v>9.9999999999999995E-7</v>
      </c>
      <c r="L287" s="766" t="str">
        <f t="shared" si="241"/>
        <v>-</v>
      </c>
      <c r="M287" s="766">
        <f t="shared" si="241"/>
        <v>0</v>
      </c>
      <c r="N287" s="751"/>
      <c r="O287" s="1340"/>
      <c r="P287" s="749">
        <v>20</v>
      </c>
      <c r="Q287" s="766">
        <f>O216</f>
        <v>850</v>
      </c>
      <c r="R287" s="766" t="str">
        <f t="shared" ref="R287:T287" si="242">P216</f>
        <v>-</v>
      </c>
      <c r="S287" s="766" t="str">
        <f t="shared" si="242"/>
        <v>-</v>
      </c>
      <c r="T287" s="767">
        <f t="shared" si="242"/>
        <v>0</v>
      </c>
      <c r="V287" s="736">
        <v>15</v>
      </c>
      <c r="W287" s="737">
        <f>U159</f>
        <v>1.5</v>
      </c>
    </row>
    <row r="288" spans="1:23" ht="13" hidden="1">
      <c r="A288" s="754"/>
      <c r="B288" s="755"/>
      <c r="C288" s="768"/>
      <c r="D288" s="768"/>
      <c r="E288" s="768"/>
      <c r="F288" s="769"/>
      <c r="G288" s="758"/>
      <c r="H288" s="754"/>
      <c r="I288" s="773"/>
      <c r="J288" s="768"/>
      <c r="K288" s="768"/>
      <c r="L288" s="768"/>
      <c r="M288" s="769"/>
      <c r="N288" s="698"/>
      <c r="O288" s="754"/>
      <c r="P288" s="773"/>
      <c r="Q288" s="768"/>
      <c r="R288" s="768"/>
      <c r="S288" s="768"/>
      <c r="T288" s="769"/>
      <c r="V288" s="736">
        <v>16</v>
      </c>
      <c r="W288" s="746">
        <f>U170</f>
        <v>2.2999999999999998</v>
      </c>
    </row>
    <row r="289" spans="1:23" ht="13" hidden="1">
      <c r="A289" s="1335">
        <v>4</v>
      </c>
      <c r="B289" s="761">
        <v>1</v>
      </c>
      <c r="C289" s="770">
        <f>C8</f>
        <v>30</v>
      </c>
      <c r="D289" s="770">
        <f t="shared" ref="D289:F289" si="243">D8</f>
        <v>9.9999999999999995E-7</v>
      </c>
      <c r="E289" s="770">
        <f t="shared" si="243"/>
        <v>-0.2</v>
      </c>
      <c r="F289" s="770">
        <f t="shared" si="243"/>
        <v>0.10000050000000001</v>
      </c>
      <c r="G289" s="763"/>
      <c r="H289" s="1338">
        <v>4</v>
      </c>
      <c r="I289" s="761">
        <v>1</v>
      </c>
      <c r="J289" s="770">
        <f>I8</f>
        <v>60</v>
      </c>
      <c r="K289" s="770">
        <f t="shared" ref="K289:M289" si="244">J8</f>
        <v>-5.3</v>
      </c>
      <c r="L289" s="770">
        <f t="shared" si="244"/>
        <v>-5.2</v>
      </c>
      <c r="M289" s="770">
        <f t="shared" si="244"/>
        <v>4.9999999999999822E-2</v>
      </c>
      <c r="N289" s="763"/>
      <c r="O289" s="1338">
        <v>4</v>
      </c>
      <c r="P289" s="761">
        <v>1</v>
      </c>
      <c r="Q289" s="770">
        <f>O8</f>
        <v>900</v>
      </c>
      <c r="R289" s="770" t="str">
        <f t="shared" ref="R289:T289" si="245">P8</f>
        <v>-</v>
      </c>
      <c r="S289" s="770" t="str">
        <f t="shared" si="245"/>
        <v>-</v>
      </c>
      <c r="T289" s="771">
        <f t="shared" si="245"/>
        <v>0</v>
      </c>
      <c r="V289" s="736">
        <v>17</v>
      </c>
      <c r="W289" s="746">
        <f>U181</f>
        <v>2.1</v>
      </c>
    </row>
    <row r="290" spans="1:23" ht="13" hidden="1">
      <c r="A290" s="1336"/>
      <c r="B290" s="738">
        <v>2</v>
      </c>
      <c r="C290" s="739">
        <f>C19</f>
        <v>30</v>
      </c>
      <c r="D290" s="739">
        <f t="shared" ref="D290:F290" si="246">D19</f>
        <v>0.2</v>
      </c>
      <c r="E290" s="739">
        <f t="shared" si="246"/>
        <v>-0.3</v>
      </c>
      <c r="F290" s="739">
        <f t="shared" si="246"/>
        <v>0.25</v>
      </c>
      <c r="G290" s="698"/>
      <c r="H290" s="1339"/>
      <c r="I290" s="738">
        <v>2</v>
      </c>
      <c r="J290" s="739">
        <f>I19</f>
        <v>60</v>
      </c>
      <c r="K290" s="739">
        <f t="shared" ref="K290:M290" si="247">J19</f>
        <v>-4</v>
      </c>
      <c r="L290" s="739">
        <f t="shared" si="247"/>
        <v>-1.3</v>
      </c>
      <c r="M290" s="739">
        <f t="shared" si="247"/>
        <v>1.35</v>
      </c>
      <c r="N290" s="698"/>
      <c r="O290" s="1339"/>
      <c r="P290" s="738">
        <v>2</v>
      </c>
      <c r="Q290" s="739">
        <f>O19</f>
        <v>900</v>
      </c>
      <c r="R290" s="739" t="str">
        <f t="shared" ref="R290:T290" si="248">P19</f>
        <v>-</v>
      </c>
      <c r="S290" s="739" t="str">
        <f t="shared" si="248"/>
        <v>-</v>
      </c>
      <c r="T290" s="740">
        <f t="shared" si="248"/>
        <v>0</v>
      </c>
      <c r="V290" s="736">
        <v>18</v>
      </c>
      <c r="W290" s="746">
        <f>U192</f>
        <v>2.4</v>
      </c>
    </row>
    <row r="291" spans="1:23" ht="13" hidden="1">
      <c r="A291" s="1336"/>
      <c r="B291" s="738">
        <v>3</v>
      </c>
      <c r="C291" s="739">
        <f>C30</f>
        <v>30</v>
      </c>
      <c r="D291" s="739">
        <f t="shared" ref="D291:F291" si="249">D30</f>
        <v>9.9999999999999995E-7</v>
      </c>
      <c r="E291" s="739">
        <f t="shared" si="249"/>
        <v>-0.3</v>
      </c>
      <c r="F291" s="739">
        <f t="shared" si="249"/>
        <v>0.15000049999999998</v>
      </c>
      <c r="G291" s="698"/>
      <c r="H291" s="1339"/>
      <c r="I291" s="738">
        <v>3</v>
      </c>
      <c r="J291" s="739">
        <f>I30</f>
        <v>60</v>
      </c>
      <c r="K291" s="739">
        <f t="shared" ref="K291:M291" si="250">J30</f>
        <v>-3.2</v>
      </c>
      <c r="L291" s="739">
        <f t="shared" si="250"/>
        <v>-4.3</v>
      </c>
      <c r="M291" s="739">
        <f t="shared" si="250"/>
        <v>0.54999999999999982</v>
      </c>
      <c r="N291" s="698"/>
      <c r="O291" s="1339"/>
      <c r="P291" s="738">
        <v>3</v>
      </c>
      <c r="Q291" s="739">
        <f>O30</f>
        <v>900</v>
      </c>
      <c r="R291" s="739" t="str">
        <f t="shared" ref="R291:T291" si="251">P30</f>
        <v>-</v>
      </c>
      <c r="S291" s="739" t="str">
        <f t="shared" si="251"/>
        <v>-</v>
      </c>
      <c r="T291" s="740">
        <f t="shared" si="251"/>
        <v>0</v>
      </c>
      <c r="V291" s="736">
        <v>19</v>
      </c>
      <c r="W291" s="746">
        <f>U203</f>
        <v>0.4</v>
      </c>
    </row>
    <row r="292" spans="1:23" ht="13.5" hidden="1" thickBot="1">
      <c r="A292" s="1336"/>
      <c r="B292" s="738">
        <v>4</v>
      </c>
      <c r="C292" s="739">
        <f>C41</f>
        <v>30</v>
      </c>
      <c r="D292" s="739">
        <f t="shared" ref="D292:F292" si="252">D41</f>
        <v>-0.1</v>
      </c>
      <c r="E292" s="739">
        <f t="shared" si="252"/>
        <v>-0.6</v>
      </c>
      <c r="F292" s="739">
        <f t="shared" si="252"/>
        <v>0.25</v>
      </c>
      <c r="G292" s="698"/>
      <c r="H292" s="1339"/>
      <c r="I292" s="738">
        <v>4</v>
      </c>
      <c r="J292" s="739">
        <f>I41</f>
        <v>60</v>
      </c>
      <c r="K292" s="739">
        <f t="shared" ref="K292:M292" si="253">J41</f>
        <v>-4.2</v>
      </c>
      <c r="L292" s="739">
        <f t="shared" si="253"/>
        <v>-0.3</v>
      </c>
      <c r="M292" s="739">
        <f t="shared" si="253"/>
        <v>1.9500000000000002</v>
      </c>
      <c r="N292" s="698"/>
      <c r="O292" s="1339"/>
      <c r="P292" s="738">
        <v>4</v>
      </c>
      <c r="Q292" s="739">
        <f>O41</f>
        <v>900</v>
      </c>
      <c r="R292" s="739" t="str">
        <f t="shared" ref="R292:T292" si="254">P41</f>
        <v>-</v>
      </c>
      <c r="S292" s="739" t="str">
        <f t="shared" si="254"/>
        <v>-</v>
      </c>
      <c r="T292" s="740">
        <f t="shared" si="254"/>
        <v>0</v>
      </c>
      <c r="V292" s="747">
        <v>20</v>
      </c>
      <c r="W292" s="748">
        <f>U214</f>
        <v>0</v>
      </c>
    </row>
    <row r="293" spans="1:23" ht="13" hidden="1">
      <c r="A293" s="1336"/>
      <c r="B293" s="738">
        <v>5</v>
      </c>
      <c r="C293" s="739">
        <f>C52</f>
        <v>30</v>
      </c>
      <c r="D293" s="739">
        <f t="shared" ref="D293:F293" si="255">D52</f>
        <v>0.6</v>
      </c>
      <c r="E293" s="739">
        <f t="shared" si="255"/>
        <v>0.1</v>
      </c>
      <c r="F293" s="739">
        <f t="shared" si="255"/>
        <v>0.25</v>
      </c>
      <c r="G293" s="698"/>
      <c r="H293" s="1339"/>
      <c r="I293" s="738">
        <v>5</v>
      </c>
      <c r="J293" s="739">
        <f>I52</f>
        <v>60</v>
      </c>
      <c r="K293" s="739">
        <f t="shared" ref="K293:M293" si="256">J52</f>
        <v>-5.2</v>
      </c>
      <c r="L293" s="739">
        <f t="shared" si="256"/>
        <v>-4.2</v>
      </c>
      <c r="M293" s="739">
        <f t="shared" si="256"/>
        <v>0.5</v>
      </c>
      <c r="N293" s="698"/>
      <c r="O293" s="1339"/>
      <c r="P293" s="738">
        <v>5</v>
      </c>
      <c r="Q293" s="739">
        <f>O52</f>
        <v>900</v>
      </c>
      <c r="R293" s="739" t="str">
        <f t="shared" ref="R293:T293" si="257">P52</f>
        <v>-</v>
      </c>
      <c r="S293" s="739" t="str">
        <f t="shared" si="257"/>
        <v>-</v>
      </c>
      <c r="T293" s="740">
        <f t="shared" si="257"/>
        <v>0</v>
      </c>
    </row>
    <row r="294" spans="1:23" ht="13" hidden="1">
      <c r="A294" s="1336"/>
      <c r="B294" s="738">
        <v>6</v>
      </c>
      <c r="C294" s="739">
        <f>C63</f>
        <v>30</v>
      </c>
      <c r="D294" s="739">
        <f t="shared" ref="D294:F294" si="258">D63</f>
        <v>0.1</v>
      </c>
      <c r="E294" s="739">
        <f t="shared" si="258"/>
        <v>-0.5</v>
      </c>
      <c r="F294" s="739">
        <f t="shared" si="258"/>
        <v>0.3</v>
      </c>
      <c r="G294" s="698"/>
      <c r="H294" s="1339"/>
      <c r="I294" s="738">
        <v>6</v>
      </c>
      <c r="J294" s="739">
        <f>I63</f>
        <v>60</v>
      </c>
      <c r="K294" s="739">
        <f t="shared" ref="K294:M294" si="259">J63</f>
        <v>-6.4</v>
      </c>
      <c r="L294" s="739">
        <f t="shared" si="259"/>
        <v>1.1000000000000001</v>
      </c>
      <c r="M294" s="739">
        <f t="shared" si="259"/>
        <v>3.75</v>
      </c>
      <c r="N294" s="698"/>
      <c r="O294" s="1339"/>
      <c r="P294" s="738">
        <v>6</v>
      </c>
      <c r="Q294" s="739">
        <f>O63</f>
        <v>900</v>
      </c>
      <c r="R294" s="739">
        <f t="shared" ref="R294:T294" si="260">P63</f>
        <v>0.9</v>
      </c>
      <c r="S294" s="739">
        <f t="shared" si="260"/>
        <v>0.7</v>
      </c>
      <c r="T294" s="740">
        <f t="shared" si="260"/>
        <v>0.10000000000000003</v>
      </c>
    </row>
    <row r="295" spans="1:23" ht="13" hidden="1">
      <c r="A295" s="1336"/>
      <c r="B295" s="738">
        <v>7</v>
      </c>
      <c r="C295" s="739">
        <f>C74</f>
        <v>30</v>
      </c>
      <c r="D295" s="739">
        <f t="shared" ref="D295:F295" si="261">D74</f>
        <v>9.9999999999999995E-7</v>
      </c>
      <c r="E295" s="739">
        <f t="shared" si="261"/>
        <v>-0.6</v>
      </c>
      <c r="F295" s="739">
        <f t="shared" si="261"/>
        <v>0.3000005</v>
      </c>
      <c r="G295" s="698"/>
      <c r="H295" s="1339"/>
      <c r="I295" s="738">
        <v>7</v>
      </c>
      <c r="J295" s="739">
        <f>I74</f>
        <v>60</v>
      </c>
      <c r="K295" s="739">
        <f t="shared" ref="K295:M295" si="262">J74</f>
        <v>-2.1</v>
      </c>
      <c r="L295" s="739">
        <f t="shared" si="262"/>
        <v>0.7</v>
      </c>
      <c r="M295" s="739">
        <f t="shared" si="262"/>
        <v>1.4</v>
      </c>
      <c r="N295" s="698"/>
      <c r="O295" s="1339"/>
      <c r="P295" s="738">
        <v>7</v>
      </c>
      <c r="Q295" s="739">
        <f>O74</f>
        <v>900</v>
      </c>
      <c r="R295" s="739">
        <f t="shared" ref="R295:T295" si="263">P74</f>
        <v>9.9999999999999995E-7</v>
      </c>
      <c r="S295" s="739">
        <f t="shared" si="263"/>
        <v>1</v>
      </c>
      <c r="T295" s="740">
        <f t="shared" si="263"/>
        <v>0.49999949999999999</v>
      </c>
    </row>
    <row r="296" spans="1:23" ht="13" hidden="1">
      <c r="A296" s="1336"/>
      <c r="B296" s="738">
        <v>8</v>
      </c>
      <c r="C296" s="739">
        <f>C85</f>
        <v>30</v>
      </c>
      <c r="D296" s="739">
        <f t="shared" ref="D296:F296" si="264">D85</f>
        <v>-0.2</v>
      </c>
      <c r="E296" s="739">
        <f t="shared" si="264"/>
        <v>-0.4</v>
      </c>
      <c r="F296" s="739">
        <f t="shared" si="264"/>
        <v>0.1</v>
      </c>
      <c r="G296" s="698"/>
      <c r="H296" s="1339"/>
      <c r="I296" s="738">
        <v>8</v>
      </c>
      <c r="J296" s="739">
        <f>I85</f>
        <v>60</v>
      </c>
      <c r="K296" s="739">
        <f t="shared" ref="K296:M296" si="265">J85</f>
        <v>-3.9</v>
      </c>
      <c r="L296" s="739">
        <f t="shared" si="265"/>
        <v>-1.1000000000000001</v>
      </c>
      <c r="M296" s="739">
        <f t="shared" si="265"/>
        <v>1.4</v>
      </c>
      <c r="N296" s="698"/>
      <c r="O296" s="1339"/>
      <c r="P296" s="738">
        <v>8</v>
      </c>
      <c r="Q296" s="739">
        <f>O85</f>
        <v>900</v>
      </c>
      <c r="R296" s="739">
        <f t="shared" ref="R296:T296" si="266">P85</f>
        <v>-4.4000000000000004</v>
      </c>
      <c r="S296" s="739">
        <f t="shared" si="266"/>
        <v>9.9999999999999995E-7</v>
      </c>
      <c r="T296" s="740">
        <f t="shared" si="266"/>
        <v>2.2000005000000002</v>
      </c>
    </row>
    <row r="297" spans="1:23" ht="13" hidden="1">
      <c r="A297" s="1336"/>
      <c r="B297" s="738">
        <v>9</v>
      </c>
      <c r="C297" s="739">
        <f>C96</f>
        <v>30</v>
      </c>
      <c r="D297" s="739">
        <f t="shared" ref="D297:F297" si="267">D96</f>
        <v>-0.5</v>
      </c>
      <c r="E297" s="739" t="str">
        <f t="shared" si="267"/>
        <v>-</v>
      </c>
      <c r="F297" s="739">
        <f t="shared" si="267"/>
        <v>0</v>
      </c>
      <c r="G297" s="698"/>
      <c r="H297" s="1339"/>
      <c r="I297" s="738">
        <v>9</v>
      </c>
      <c r="J297" s="739">
        <f>I96</f>
        <v>60</v>
      </c>
      <c r="K297" s="739">
        <f t="shared" ref="K297:M297" si="268">J96</f>
        <v>-0.8</v>
      </c>
      <c r="L297" s="739" t="str">
        <f t="shared" si="268"/>
        <v>-</v>
      </c>
      <c r="M297" s="739">
        <f t="shared" si="268"/>
        <v>0</v>
      </c>
      <c r="N297" s="698"/>
      <c r="O297" s="1339"/>
      <c r="P297" s="738">
        <v>9</v>
      </c>
      <c r="Q297" s="739">
        <f>O96</f>
        <v>900</v>
      </c>
      <c r="R297" s="739">
        <f t="shared" ref="R297:T297" si="269">P96</f>
        <v>9.9999999999999995E-7</v>
      </c>
      <c r="S297" s="739" t="str">
        <f t="shared" si="269"/>
        <v>-</v>
      </c>
      <c r="T297" s="740">
        <f t="shared" si="269"/>
        <v>0</v>
      </c>
    </row>
    <row r="298" spans="1:23" ht="13" hidden="1">
      <c r="A298" s="1336"/>
      <c r="B298" s="738">
        <v>10</v>
      </c>
      <c r="C298" s="739">
        <f>C107</f>
        <v>30</v>
      </c>
      <c r="D298" s="739">
        <f t="shared" ref="D298:F298" si="270">D107</f>
        <v>0.1</v>
      </c>
      <c r="E298" s="739">
        <f t="shared" si="270"/>
        <v>0.2</v>
      </c>
      <c r="F298" s="739">
        <f t="shared" si="270"/>
        <v>0.05</v>
      </c>
      <c r="G298" s="698"/>
      <c r="H298" s="1339"/>
      <c r="I298" s="738">
        <v>10</v>
      </c>
      <c r="J298" s="739">
        <f>I107</f>
        <v>60</v>
      </c>
      <c r="K298" s="739">
        <f t="shared" ref="K298:M298" si="271">J107</f>
        <v>-2.1</v>
      </c>
      <c r="L298" s="739">
        <f t="shared" si="271"/>
        <v>-5.6</v>
      </c>
      <c r="M298" s="739">
        <f t="shared" si="271"/>
        <v>1.7499999999999998</v>
      </c>
      <c r="N298" s="698"/>
      <c r="O298" s="1339"/>
      <c r="P298" s="738">
        <v>10</v>
      </c>
      <c r="Q298" s="739">
        <f>O107</f>
        <v>900</v>
      </c>
      <c r="R298" s="739" t="str">
        <f t="shared" ref="R298:T298" si="272">P107</f>
        <v>-</v>
      </c>
      <c r="S298" s="739" t="str">
        <f t="shared" si="272"/>
        <v>-</v>
      </c>
      <c r="T298" s="740">
        <f t="shared" si="272"/>
        <v>0</v>
      </c>
    </row>
    <row r="299" spans="1:23" ht="13" hidden="1">
      <c r="A299" s="1336"/>
      <c r="B299" s="738">
        <v>11</v>
      </c>
      <c r="C299" s="739">
        <f>C118</f>
        <v>30</v>
      </c>
      <c r="D299" s="739">
        <f t="shared" ref="D299:F299" si="273">D118</f>
        <v>0.5</v>
      </c>
      <c r="E299" s="739">
        <f t="shared" si="273"/>
        <v>0.4</v>
      </c>
      <c r="F299" s="739">
        <f t="shared" si="273"/>
        <v>4.9999999999999989E-2</v>
      </c>
      <c r="G299" s="698"/>
      <c r="H299" s="1339"/>
      <c r="I299" s="738">
        <v>11</v>
      </c>
      <c r="J299" s="739">
        <f>I118</f>
        <v>60</v>
      </c>
      <c r="K299" s="739">
        <f t="shared" ref="K299:M299" si="274">J118</f>
        <v>-4.8</v>
      </c>
      <c r="L299" s="739">
        <f t="shared" si="274"/>
        <v>-4.5</v>
      </c>
      <c r="M299" s="739">
        <f t="shared" si="274"/>
        <v>0.14999999999999991</v>
      </c>
      <c r="N299" s="698"/>
      <c r="O299" s="1339"/>
      <c r="P299" s="738">
        <v>11</v>
      </c>
      <c r="Q299" s="739">
        <f>O118</f>
        <v>900</v>
      </c>
      <c r="R299" s="739" t="str">
        <f t="shared" ref="R299:T299" si="275">P118</f>
        <v>-</v>
      </c>
      <c r="S299" s="739" t="str">
        <f t="shared" si="275"/>
        <v>-</v>
      </c>
      <c r="T299" s="740">
        <f t="shared" si="275"/>
        <v>0</v>
      </c>
    </row>
    <row r="300" spans="1:23" ht="13" hidden="1">
      <c r="A300" s="1336"/>
      <c r="B300" s="738">
        <v>12</v>
      </c>
      <c r="C300" s="739">
        <f>C129</f>
        <v>30</v>
      </c>
      <c r="D300" s="739">
        <f t="shared" ref="D300:F300" si="276">D129</f>
        <v>-0.1</v>
      </c>
      <c r="E300" s="739" t="str">
        <f t="shared" si="276"/>
        <v>-</v>
      </c>
      <c r="F300" s="739">
        <f t="shared" si="276"/>
        <v>0</v>
      </c>
      <c r="G300" s="698"/>
      <c r="H300" s="1339"/>
      <c r="I300" s="738">
        <v>12</v>
      </c>
      <c r="J300" s="739">
        <f>I129</f>
        <v>60</v>
      </c>
      <c r="K300" s="739">
        <f t="shared" ref="K300:M300" si="277">J129</f>
        <v>9.9999999999999995E-7</v>
      </c>
      <c r="L300" s="739" t="str">
        <f t="shared" si="277"/>
        <v>-</v>
      </c>
      <c r="M300" s="739">
        <f t="shared" si="277"/>
        <v>0</v>
      </c>
      <c r="N300" s="698"/>
      <c r="O300" s="1339"/>
      <c r="P300" s="738">
        <v>12</v>
      </c>
      <c r="Q300" s="739">
        <f>O129</f>
        <v>950</v>
      </c>
      <c r="R300" s="739">
        <f t="shared" ref="R300:T300" si="278">P129</f>
        <v>-0.7</v>
      </c>
      <c r="S300" s="739" t="str">
        <f t="shared" si="278"/>
        <v>-</v>
      </c>
      <c r="T300" s="740">
        <f t="shared" si="278"/>
        <v>0</v>
      </c>
    </row>
    <row r="301" spans="1:23" ht="13" hidden="1">
      <c r="A301" s="1336"/>
      <c r="B301" s="738">
        <v>13</v>
      </c>
      <c r="C301" s="739">
        <f>C151</f>
        <v>30</v>
      </c>
      <c r="D301" s="739">
        <f t="shared" ref="D301:F301" si="279">D151</f>
        <v>-0.3</v>
      </c>
      <c r="E301" s="739" t="str">
        <f t="shared" si="279"/>
        <v>-</v>
      </c>
      <c r="F301" s="739">
        <f t="shared" si="279"/>
        <v>0</v>
      </c>
      <c r="G301" s="698"/>
      <c r="H301" s="1339"/>
      <c r="I301" s="738">
        <v>13</v>
      </c>
      <c r="J301" s="739">
        <f>I140</f>
        <v>60</v>
      </c>
      <c r="K301" s="739">
        <f t="shared" ref="K301:M301" si="280">J140</f>
        <v>-1.5</v>
      </c>
      <c r="L301" s="739" t="str">
        <f t="shared" si="280"/>
        <v>-</v>
      </c>
      <c r="M301" s="739">
        <f t="shared" si="280"/>
        <v>0</v>
      </c>
      <c r="N301" s="698"/>
      <c r="O301" s="1339"/>
      <c r="P301" s="738">
        <v>13</v>
      </c>
      <c r="Q301" s="739">
        <f>O140</f>
        <v>990</v>
      </c>
      <c r="R301" s="739">
        <f t="shared" ref="R301:T301" si="281">P140</f>
        <v>1.1000000000000001</v>
      </c>
      <c r="S301" s="739" t="str">
        <f t="shared" si="281"/>
        <v>-</v>
      </c>
      <c r="T301" s="740">
        <f t="shared" si="281"/>
        <v>0</v>
      </c>
    </row>
    <row r="302" spans="1:23" ht="13" hidden="1">
      <c r="A302" s="1336"/>
      <c r="B302" s="738">
        <v>14</v>
      </c>
      <c r="C302" s="739">
        <f>C151</f>
        <v>30</v>
      </c>
      <c r="D302" s="739">
        <f t="shared" ref="D302:F302" si="282">D151</f>
        <v>-0.3</v>
      </c>
      <c r="E302" s="739" t="str">
        <f t="shared" si="282"/>
        <v>-</v>
      </c>
      <c r="F302" s="739">
        <f t="shared" si="282"/>
        <v>0</v>
      </c>
      <c r="G302" s="698"/>
      <c r="H302" s="1339"/>
      <c r="I302" s="738">
        <v>14</v>
      </c>
      <c r="J302" s="739">
        <f>I151</f>
        <v>60</v>
      </c>
      <c r="K302" s="739">
        <f t="shared" ref="K302:M302" si="283">J151</f>
        <v>-0.6</v>
      </c>
      <c r="L302" s="739" t="str">
        <f t="shared" si="283"/>
        <v>-</v>
      </c>
      <c r="M302" s="739">
        <f t="shared" si="283"/>
        <v>0</v>
      </c>
      <c r="N302" s="698"/>
      <c r="O302" s="1339"/>
      <c r="P302" s="738">
        <v>14</v>
      </c>
      <c r="Q302" s="739">
        <f>O151</f>
        <v>990</v>
      </c>
      <c r="R302" s="739">
        <f t="shared" ref="R302:T302" si="284">P151</f>
        <v>1.1000000000000001</v>
      </c>
      <c r="S302" s="739" t="str">
        <f t="shared" si="284"/>
        <v>-</v>
      </c>
      <c r="T302" s="740">
        <f t="shared" si="284"/>
        <v>0</v>
      </c>
    </row>
    <row r="303" spans="1:23" ht="13" hidden="1">
      <c r="A303" s="1336"/>
      <c r="B303" s="738">
        <v>15</v>
      </c>
      <c r="C303" s="739">
        <f>C162</f>
        <v>30</v>
      </c>
      <c r="D303" s="739">
        <f t="shared" ref="D303:F303" si="285">D162</f>
        <v>-0.2</v>
      </c>
      <c r="E303" s="739" t="str">
        <f t="shared" si="285"/>
        <v>-</v>
      </c>
      <c r="F303" s="739">
        <f t="shared" si="285"/>
        <v>0</v>
      </c>
      <c r="G303" s="698"/>
      <c r="H303" s="1339"/>
      <c r="I303" s="738">
        <v>15</v>
      </c>
      <c r="J303" s="739">
        <f>I162</f>
        <v>60</v>
      </c>
      <c r="K303" s="739">
        <f t="shared" ref="K303:M303" si="286">J162</f>
        <v>-0.5</v>
      </c>
      <c r="L303" s="739" t="str">
        <f t="shared" si="286"/>
        <v>-</v>
      </c>
      <c r="M303" s="739">
        <f t="shared" si="286"/>
        <v>0</v>
      </c>
      <c r="N303" s="698"/>
      <c r="O303" s="1339"/>
      <c r="P303" s="738">
        <v>15</v>
      </c>
      <c r="Q303" s="739">
        <f>O162</f>
        <v>990</v>
      </c>
      <c r="R303" s="739">
        <f t="shared" ref="R303:T303" si="287">P162</f>
        <v>1.1000000000000001</v>
      </c>
      <c r="S303" s="739" t="str">
        <f t="shared" si="287"/>
        <v>-</v>
      </c>
      <c r="T303" s="740">
        <f t="shared" si="287"/>
        <v>0</v>
      </c>
    </row>
    <row r="304" spans="1:23" ht="13" hidden="1">
      <c r="A304" s="1336"/>
      <c r="B304" s="738">
        <v>16</v>
      </c>
      <c r="C304" s="739">
        <f>C173</f>
        <v>30</v>
      </c>
      <c r="D304" s="739">
        <f t="shared" ref="D304:F304" si="288">D173</f>
        <v>0.2</v>
      </c>
      <c r="E304" s="739" t="str">
        <f t="shared" si="288"/>
        <v>-</v>
      </c>
      <c r="F304" s="739">
        <f t="shared" si="288"/>
        <v>0</v>
      </c>
      <c r="G304" s="698"/>
      <c r="H304" s="1339"/>
      <c r="I304" s="738">
        <v>16</v>
      </c>
      <c r="J304" s="739">
        <f>I173</f>
        <v>60</v>
      </c>
      <c r="K304" s="739">
        <f t="shared" ref="K304:M304" si="289">J173</f>
        <v>-1.5</v>
      </c>
      <c r="L304" s="739" t="str">
        <f t="shared" si="289"/>
        <v>-</v>
      </c>
      <c r="M304" s="739">
        <f t="shared" si="289"/>
        <v>0</v>
      </c>
      <c r="N304" s="698"/>
      <c r="O304" s="1339"/>
      <c r="P304" s="738">
        <v>16</v>
      </c>
      <c r="Q304" s="739">
        <f>O173</f>
        <v>950</v>
      </c>
      <c r="R304" s="739">
        <f t="shared" ref="R304:T304" si="290">P173</f>
        <v>-1.1000000000000001</v>
      </c>
      <c r="S304" s="739" t="str">
        <f t="shared" si="290"/>
        <v>-</v>
      </c>
      <c r="T304" s="740">
        <f t="shared" si="290"/>
        <v>0</v>
      </c>
    </row>
    <row r="305" spans="1:20" ht="13" hidden="1">
      <c r="A305" s="1336"/>
      <c r="B305" s="738">
        <v>17</v>
      </c>
      <c r="C305" s="739">
        <f>C184</f>
        <v>30</v>
      </c>
      <c r="D305" s="739">
        <f t="shared" ref="D305:F305" si="291">D184</f>
        <v>-0.2</v>
      </c>
      <c r="E305" s="739" t="str">
        <f t="shared" si="291"/>
        <v>-</v>
      </c>
      <c r="F305" s="739">
        <f t="shared" si="291"/>
        <v>0</v>
      </c>
      <c r="G305" s="698"/>
      <c r="H305" s="1339"/>
      <c r="I305" s="738">
        <v>17</v>
      </c>
      <c r="J305" s="739">
        <f>I184</f>
        <v>60</v>
      </c>
      <c r="K305" s="739">
        <f t="shared" ref="K305:M305" si="292">J184</f>
        <v>9.9999999999999995E-7</v>
      </c>
      <c r="L305" s="739" t="str">
        <f t="shared" si="292"/>
        <v>-</v>
      </c>
      <c r="M305" s="739">
        <f t="shared" si="292"/>
        <v>0</v>
      </c>
      <c r="N305" s="698"/>
      <c r="O305" s="1339"/>
      <c r="P305" s="738">
        <v>17</v>
      </c>
      <c r="Q305" s="739">
        <f>O184</f>
        <v>990</v>
      </c>
      <c r="R305" s="739">
        <f t="shared" ref="R305:T305" si="293">P184</f>
        <v>-0.6</v>
      </c>
      <c r="S305" s="739" t="str">
        <f t="shared" si="293"/>
        <v>-</v>
      </c>
      <c r="T305" s="740">
        <f t="shared" si="293"/>
        <v>0</v>
      </c>
    </row>
    <row r="306" spans="1:20" ht="13" hidden="1">
      <c r="A306" s="1336"/>
      <c r="B306" s="738">
        <v>18</v>
      </c>
      <c r="C306" s="739">
        <f>C195</f>
        <v>30</v>
      </c>
      <c r="D306" s="739">
        <f t="shared" ref="D306:F306" si="294">D195</f>
        <v>-0.2</v>
      </c>
      <c r="E306" s="739" t="str">
        <f t="shared" si="294"/>
        <v>-</v>
      </c>
      <c r="F306" s="739">
        <f t="shared" si="294"/>
        <v>0</v>
      </c>
      <c r="G306" s="698"/>
      <c r="H306" s="1339"/>
      <c r="I306" s="738">
        <v>18</v>
      </c>
      <c r="J306" s="739">
        <f>I195</f>
        <v>60</v>
      </c>
      <c r="K306" s="739">
        <f t="shared" ref="K306:M306" si="295">J195</f>
        <v>-0.2</v>
      </c>
      <c r="L306" s="739" t="str">
        <f t="shared" si="295"/>
        <v>-</v>
      </c>
      <c r="M306" s="739">
        <f t="shared" si="295"/>
        <v>0</v>
      </c>
      <c r="N306" s="698"/>
      <c r="O306" s="1339"/>
      <c r="P306" s="738">
        <v>18</v>
      </c>
      <c r="Q306" s="739">
        <f>O195</f>
        <v>950</v>
      </c>
      <c r="R306" s="739">
        <f t="shared" ref="R306:T306" si="296">P195</f>
        <v>-0.9</v>
      </c>
      <c r="S306" s="739" t="str">
        <f t="shared" si="296"/>
        <v>-</v>
      </c>
      <c r="T306" s="740">
        <f t="shared" si="296"/>
        <v>0</v>
      </c>
    </row>
    <row r="307" spans="1:20" ht="13" hidden="1">
      <c r="A307" s="1336"/>
      <c r="B307" s="738">
        <v>19</v>
      </c>
      <c r="C307" s="739">
        <f>C206</f>
        <v>30</v>
      </c>
      <c r="D307" s="739">
        <f t="shared" ref="D307:F307" si="297">D206</f>
        <v>-0.1</v>
      </c>
      <c r="E307" s="739" t="str">
        <f t="shared" si="297"/>
        <v>-</v>
      </c>
      <c r="F307" s="739">
        <f t="shared" si="297"/>
        <v>0</v>
      </c>
      <c r="G307" s="698"/>
      <c r="H307" s="1339"/>
      <c r="I307" s="738">
        <v>19</v>
      </c>
      <c r="J307" s="739">
        <f>I206</f>
        <v>60</v>
      </c>
      <c r="K307" s="739">
        <f t="shared" ref="K307:M307" si="298">J206</f>
        <v>0.4</v>
      </c>
      <c r="L307" s="739" t="str">
        <f t="shared" si="298"/>
        <v>-</v>
      </c>
      <c r="M307" s="739">
        <f t="shared" si="298"/>
        <v>0</v>
      </c>
      <c r="N307" s="698"/>
      <c r="O307" s="1339"/>
      <c r="P307" s="738">
        <v>19</v>
      </c>
      <c r="Q307" s="739">
        <f>O206</f>
        <v>900</v>
      </c>
      <c r="R307" s="739">
        <f t="shared" ref="R307:T307" si="299">P206</f>
        <v>2.2999999999999998</v>
      </c>
      <c r="S307" s="739" t="str">
        <f t="shared" si="299"/>
        <v>-</v>
      </c>
      <c r="T307" s="740">
        <f t="shared" si="299"/>
        <v>0</v>
      </c>
    </row>
    <row r="308" spans="1:20" ht="13.5" hidden="1" thickBot="1">
      <c r="A308" s="1337"/>
      <c r="B308" s="749">
        <v>20</v>
      </c>
      <c r="C308" s="766">
        <f>C217</f>
        <v>29.5</v>
      </c>
      <c r="D308" s="766">
        <f t="shared" ref="D308:F308" si="300">D217</f>
        <v>9.9999999999999995E-7</v>
      </c>
      <c r="E308" s="766" t="str">
        <f t="shared" si="300"/>
        <v>-</v>
      </c>
      <c r="F308" s="766">
        <f t="shared" si="300"/>
        <v>0</v>
      </c>
      <c r="G308" s="751"/>
      <c r="H308" s="1340"/>
      <c r="I308" s="749">
        <v>20</v>
      </c>
      <c r="J308" s="766">
        <f>I217</f>
        <v>71.5</v>
      </c>
      <c r="K308" s="766">
        <f t="shared" ref="K308:M308" si="301">J217</f>
        <v>9.9999999999999995E-7</v>
      </c>
      <c r="L308" s="766" t="str">
        <f t="shared" si="301"/>
        <v>-</v>
      </c>
      <c r="M308" s="766">
        <f t="shared" si="301"/>
        <v>0</v>
      </c>
      <c r="N308" s="751"/>
      <c r="O308" s="1340"/>
      <c r="P308" s="749">
        <v>20</v>
      </c>
      <c r="Q308" s="766">
        <f>O217</f>
        <v>900</v>
      </c>
      <c r="R308" s="766" t="str">
        <f t="shared" ref="R308:T308" si="302">P217</f>
        <v>-</v>
      </c>
      <c r="S308" s="766" t="str">
        <f t="shared" si="302"/>
        <v>-</v>
      </c>
      <c r="T308" s="767">
        <f t="shared" si="302"/>
        <v>0</v>
      </c>
    </row>
    <row r="309" spans="1:20" ht="13" hidden="1">
      <c r="A309" s="754"/>
      <c r="B309" s="755"/>
      <c r="C309" s="768"/>
      <c r="D309" s="768"/>
      <c r="E309" s="768"/>
      <c r="F309" s="769"/>
      <c r="G309" s="758"/>
      <c r="H309" s="754"/>
      <c r="I309" s="773"/>
      <c r="J309" s="768"/>
      <c r="K309" s="768"/>
      <c r="L309" s="768"/>
      <c r="M309" s="769"/>
      <c r="N309" s="698"/>
      <c r="O309" s="754"/>
      <c r="P309" s="773"/>
      <c r="Q309" s="768"/>
      <c r="R309" s="768"/>
      <c r="S309" s="768"/>
      <c r="T309" s="769"/>
    </row>
    <row r="310" spans="1:20" ht="13" hidden="1">
      <c r="A310" s="1335">
        <v>5</v>
      </c>
      <c r="B310" s="761">
        <v>1</v>
      </c>
      <c r="C310" s="770">
        <f>C9</f>
        <v>35</v>
      </c>
      <c r="D310" s="770">
        <f t="shared" ref="D310:F310" si="303">D9</f>
        <v>-0.1</v>
      </c>
      <c r="E310" s="770">
        <f t="shared" si="303"/>
        <v>-0.5</v>
      </c>
      <c r="F310" s="770">
        <f t="shared" si="303"/>
        <v>0.2</v>
      </c>
      <c r="G310" s="763"/>
      <c r="H310" s="1338">
        <v>5</v>
      </c>
      <c r="I310" s="761">
        <v>1</v>
      </c>
      <c r="J310" s="770">
        <f>I20</f>
        <v>70</v>
      </c>
      <c r="K310" s="770">
        <f t="shared" ref="K310:M310" si="304">J20</f>
        <v>-2.4</v>
      </c>
      <c r="L310" s="770">
        <f t="shared" si="304"/>
        <v>-1.1000000000000001</v>
      </c>
      <c r="M310" s="770">
        <f t="shared" si="304"/>
        <v>0.64999999999999991</v>
      </c>
      <c r="N310" s="763"/>
      <c r="O310" s="1338">
        <v>5</v>
      </c>
      <c r="P310" s="761">
        <v>1</v>
      </c>
      <c r="Q310" s="770">
        <f>O9</f>
        <v>1000</v>
      </c>
      <c r="R310" s="770" t="str">
        <f t="shared" ref="R310:T310" si="305">P9</f>
        <v>-</v>
      </c>
      <c r="S310" s="770" t="str">
        <f t="shared" si="305"/>
        <v>-</v>
      </c>
      <c r="T310" s="771">
        <f t="shared" si="305"/>
        <v>0</v>
      </c>
    </row>
    <row r="311" spans="1:20" ht="13" hidden="1">
      <c r="A311" s="1336"/>
      <c r="B311" s="738">
        <v>2</v>
      </c>
      <c r="C311" s="739">
        <f>C20</f>
        <v>35</v>
      </c>
      <c r="D311" s="739">
        <f t="shared" ref="D311:F311" si="306">D20</f>
        <v>-0.1</v>
      </c>
      <c r="E311" s="739">
        <f t="shared" si="306"/>
        <v>-0.3</v>
      </c>
      <c r="F311" s="739">
        <f t="shared" si="306"/>
        <v>9.9999999999999992E-2</v>
      </c>
      <c r="G311" s="698"/>
      <c r="H311" s="1339"/>
      <c r="I311" s="738">
        <v>2</v>
      </c>
      <c r="J311" s="739">
        <f>I20</f>
        <v>70</v>
      </c>
      <c r="K311" s="739">
        <f t="shared" ref="K311:M311" si="307">J20</f>
        <v>-2.4</v>
      </c>
      <c r="L311" s="739">
        <f t="shared" si="307"/>
        <v>-1.1000000000000001</v>
      </c>
      <c r="M311" s="739">
        <f t="shared" si="307"/>
        <v>0.64999999999999991</v>
      </c>
      <c r="N311" s="698"/>
      <c r="O311" s="1339"/>
      <c r="P311" s="738">
        <v>2</v>
      </c>
      <c r="Q311" s="739">
        <f>O20</f>
        <v>1000</v>
      </c>
      <c r="R311" s="739" t="str">
        <f t="shared" ref="R311:T311" si="308">P20</f>
        <v>-</v>
      </c>
      <c r="S311" s="739" t="str">
        <f t="shared" si="308"/>
        <v>-</v>
      </c>
      <c r="T311" s="740">
        <f t="shared" si="308"/>
        <v>0</v>
      </c>
    </row>
    <row r="312" spans="1:20" ht="13" hidden="1">
      <c r="A312" s="1336"/>
      <c r="B312" s="738">
        <v>3</v>
      </c>
      <c r="C312" s="739">
        <f>C31</f>
        <v>35</v>
      </c>
      <c r="D312" s="739">
        <f t="shared" ref="D312:F312" si="309">D31</f>
        <v>-0.3</v>
      </c>
      <c r="E312" s="739">
        <f t="shared" si="309"/>
        <v>-0.5</v>
      </c>
      <c r="F312" s="739">
        <f t="shared" si="309"/>
        <v>0.1</v>
      </c>
      <c r="G312" s="698"/>
      <c r="H312" s="1339"/>
      <c r="I312" s="738">
        <v>3</v>
      </c>
      <c r="J312" s="739">
        <f>I31</f>
        <v>70</v>
      </c>
      <c r="K312" s="739">
        <f t="shared" ref="K312:M312" si="310">J31</f>
        <v>-2</v>
      </c>
      <c r="L312" s="739">
        <f t="shared" si="310"/>
        <v>-3.6</v>
      </c>
      <c r="M312" s="739">
        <f t="shared" si="310"/>
        <v>0.8</v>
      </c>
      <c r="N312" s="698"/>
      <c r="O312" s="1339"/>
      <c r="P312" s="738">
        <v>3</v>
      </c>
      <c r="Q312" s="739">
        <f>O31</f>
        <v>1000</v>
      </c>
      <c r="R312" s="739" t="str">
        <f t="shared" ref="R312:T312" si="311">P31</f>
        <v>-</v>
      </c>
      <c r="S312" s="739" t="str">
        <f t="shared" si="311"/>
        <v>-</v>
      </c>
      <c r="T312" s="740">
        <f t="shared" si="311"/>
        <v>0</v>
      </c>
    </row>
    <row r="313" spans="1:20" ht="13" hidden="1">
      <c r="A313" s="1336"/>
      <c r="B313" s="738">
        <v>4</v>
      </c>
      <c r="C313" s="739">
        <f>C42</f>
        <v>35</v>
      </c>
      <c r="D313" s="739">
        <f t="shared" ref="D313:F313" si="312">D42</f>
        <v>-0.3</v>
      </c>
      <c r="E313" s="739">
        <f t="shared" si="312"/>
        <v>-0.6</v>
      </c>
      <c r="F313" s="739">
        <f t="shared" si="312"/>
        <v>0.15</v>
      </c>
      <c r="G313" s="698"/>
      <c r="H313" s="1339"/>
      <c r="I313" s="738">
        <v>4</v>
      </c>
      <c r="J313" s="739">
        <f>I42</f>
        <v>70</v>
      </c>
      <c r="K313" s="739">
        <f t="shared" ref="K313:M313" si="313">J42</f>
        <v>-4</v>
      </c>
      <c r="L313" s="739">
        <f t="shared" si="313"/>
        <v>0.7</v>
      </c>
      <c r="M313" s="739">
        <f t="shared" si="313"/>
        <v>2.35</v>
      </c>
      <c r="N313" s="698"/>
      <c r="O313" s="1339"/>
      <c r="P313" s="738">
        <v>4</v>
      </c>
      <c r="Q313" s="739">
        <f>O42</f>
        <v>1000</v>
      </c>
      <c r="R313" s="739" t="str">
        <f t="shared" ref="R313:T313" si="314">P42</f>
        <v>-</v>
      </c>
      <c r="S313" s="739" t="str">
        <f t="shared" si="314"/>
        <v>-</v>
      </c>
      <c r="T313" s="740">
        <f t="shared" si="314"/>
        <v>0</v>
      </c>
    </row>
    <row r="314" spans="1:20" ht="13" hidden="1">
      <c r="A314" s="1336"/>
      <c r="B314" s="738">
        <v>5</v>
      </c>
      <c r="C314" s="739">
        <f>C53</f>
        <v>35</v>
      </c>
      <c r="D314" s="739">
        <f t="shared" ref="D314:F314" si="315">D53</f>
        <v>0.7</v>
      </c>
      <c r="E314" s="739">
        <f t="shared" si="315"/>
        <v>9.9999999999999995E-7</v>
      </c>
      <c r="F314" s="739">
        <f t="shared" si="315"/>
        <v>0.34999949999999996</v>
      </c>
      <c r="G314" s="698"/>
      <c r="H314" s="1339"/>
      <c r="I314" s="738">
        <v>5</v>
      </c>
      <c r="J314" s="739">
        <f>I53</f>
        <v>70</v>
      </c>
      <c r="K314" s="739">
        <f t="shared" ref="K314:M314" si="316">J53</f>
        <v>-4.0999999999999996</v>
      </c>
      <c r="L314" s="739">
        <f t="shared" si="316"/>
        <v>-2.1</v>
      </c>
      <c r="M314" s="739">
        <f t="shared" si="316"/>
        <v>0.99999999999999978</v>
      </c>
      <c r="N314" s="698"/>
      <c r="O314" s="1339"/>
      <c r="P314" s="738">
        <v>5</v>
      </c>
      <c r="Q314" s="739">
        <f>O53</f>
        <v>1000</v>
      </c>
      <c r="R314" s="739" t="str">
        <f t="shared" ref="R314:T314" si="317">P53</f>
        <v>-</v>
      </c>
      <c r="S314" s="739" t="str">
        <f t="shared" si="317"/>
        <v>-</v>
      </c>
      <c r="T314" s="740">
        <f t="shared" si="317"/>
        <v>0</v>
      </c>
    </row>
    <row r="315" spans="1:20" ht="13" hidden="1">
      <c r="A315" s="1336"/>
      <c r="B315" s="738">
        <v>6</v>
      </c>
      <c r="C315" s="739">
        <f>C64</f>
        <v>35</v>
      </c>
      <c r="D315" s="739">
        <f t="shared" ref="D315:F315" si="318">D64</f>
        <v>0.1</v>
      </c>
      <c r="E315" s="739">
        <f t="shared" si="318"/>
        <v>-0.9</v>
      </c>
      <c r="F315" s="739">
        <f t="shared" si="318"/>
        <v>0.5</v>
      </c>
      <c r="G315" s="698"/>
      <c r="H315" s="1339"/>
      <c r="I315" s="738">
        <v>6</v>
      </c>
      <c r="J315" s="739">
        <f>I64</f>
        <v>70</v>
      </c>
      <c r="K315" s="739">
        <f t="shared" ref="K315:M315" si="319">J64</f>
        <v>-6.7</v>
      </c>
      <c r="L315" s="739">
        <f t="shared" si="319"/>
        <v>0.9</v>
      </c>
      <c r="M315" s="739">
        <f t="shared" si="319"/>
        <v>3.8000000000000003</v>
      </c>
      <c r="N315" s="698"/>
      <c r="O315" s="1339"/>
      <c r="P315" s="738">
        <v>6</v>
      </c>
      <c r="Q315" s="739">
        <f>O64</f>
        <v>1000</v>
      </c>
      <c r="R315" s="739">
        <f t="shared" ref="R315:T315" si="320">P64</f>
        <v>0.9</v>
      </c>
      <c r="S315" s="739">
        <f t="shared" si="320"/>
        <v>-0.3</v>
      </c>
      <c r="T315" s="740">
        <f t="shared" si="320"/>
        <v>0.6</v>
      </c>
    </row>
    <row r="316" spans="1:20" ht="13" hidden="1">
      <c r="A316" s="1336"/>
      <c r="B316" s="738">
        <v>7</v>
      </c>
      <c r="C316" s="739">
        <f>C75</f>
        <v>35</v>
      </c>
      <c r="D316" s="739">
        <f t="shared" ref="D316:F316" si="321">D75</f>
        <v>9.9999999999999995E-7</v>
      </c>
      <c r="E316" s="739">
        <f t="shared" si="321"/>
        <v>-1.1000000000000001</v>
      </c>
      <c r="F316" s="739">
        <f t="shared" si="321"/>
        <v>0.5500005</v>
      </c>
      <c r="G316" s="698"/>
      <c r="H316" s="1339"/>
      <c r="I316" s="738">
        <v>7</v>
      </c>
      <c r="J316" s="739">
        <f>I75</f>
        <v>70</v>
      </c>
      <c r="K316" s="739">
        <f t="shared" ref="K316:M316" si="322">J75</f>
        <v>-2.2999999999999998</v>
      </c>
      <c r="L316" s="739">
        <f t="shared" si="322"/>
        <v>0.9</v>
      </c>
      <c r="M316" s="739">
        <f t="shared" si="322"/>
        <v>1.5999999999999999</v>
      </c>
      <c r="N316" s="698"/>
      <c r="O316" s="1339"/>
      <c r="P316" s="738">
        <v>7</v>
      </c>
      <c r="Q316" s="739">
        <f>O75</f>
        <v>1000</v>
      </c>
      <c r="R316" s="739">
        <f t="shared" ref="R316:T316" si="323">P75</f>
        <v>-3.9</v>
      </c>
      <c r="S316" s="739">
        <f t="shared" si="323"/>
        <v>-0.4</v>
      </c>
      <c r="T316" s="740">
        <f t="shared" si="323"/>
        <v>1.75</v>
      </c>
    </row>
    <row r="317" spans="1:20" ht="13" hidden="1">
      <c r="A317" s="1336"/>
      <c r="B317" s="738">
        <v>8</v>
      </c>
      <c r="C317" s="739">
        <f>C86</f>
        <v>35</v>
      </c>
      <c r="D317" s="739">
        <f t="shared" ref="D317:F317" si="324">D86</f>
        <v>-0.1</v>
      </c>
      <c r="E317" s="739">
        <f t="shared" si="324"/>
        <v>-0.5</v>
      </c>
      <c r="F317" s="739">
        <f t="shared" si="324"/>
        <v>0.2</v>
      </c>
      <c r="G317" s="698"/>
      <c r="H317" s="1339"/>
      <c r="I317" s="738">
        <v>8</v>
      </c>
      <c r="J317" s="739">
        <f>I86</f>
        <v>70</v>
      </c>
      <c r="K317" s="739">
        <f t="shared" ref="K317:M317" si="325">J86</f>
        <v>-4.0999999999999996</v>
      </c>
      <c r="L317" s="739">
        <f t="shared" si="325"/>
        <v>-1.2</v>
      </c>
      <c r="M317" s="739">
        <f t="shared" si="325"/>
        <v>1.4499999999999997</v>
      </c>
      <c r="N317" s="698"/>
      <c r="O317" s="1339"/>
      <c r="P317" s="738">
        <v>8</v>
      </c>
      <c r="Q317" s="739">
        <f>O86</f>
        <v>1000</v>
      </c>
      <c r="R317" s="739">
        <f t="shared" ref="R317:T317" si="326">P86</f>
        <v>-3.5</v>
      </c>
      <c r="S317" s="739">
        <f t="shared" si="326"/>
        <v>0.2</v>
      </c>
      <c r="T317" s="740">
        <f t="shared" si="326"/>
        <v>1.85</v>
      </c>
    </row>
    <row r="318" spans="1:20" ht="13" hidden="1">
      <c r="A318" s="1336"/>
      <c r="B318" s="738">
        <v>9</v>
      </c>
      <c r="C318" s="739">
        <f>C97</f>
        <v>35</v>
      </c>
      <c r="D318" s="739">
        <f t="shared" ref="D318:F318" si="327">D97</f>
        <v>-0.5</v>
      </c>
      <c r="E318" s="739" t="str">
        <f t="shared" si="327"/>
        <v>-</v>
      </c>
      <c r="F318" s="739">
        <f t="shared" si="327"/>
        <v>0</v>
      </c>
      <c r="G318" s="698"/>
      <c r="H318" s="1339"/>
      <c r="I318" s="738">
        <v>9</v>
      </c>
      <c r="J318" s="739">
        <f>I97</f>
        <v>70</v>
      </c>
      <c r="K318" s="739">
        <f t="shared" ref="K318:M318" si="328">J97</f>
        <v>-0.6</v>
      </c>
      <c r="L318" s="739" t="str">
        <f t="shared" si="328"/>
        <v>-</v>
      </c>
      <c r="M318" s="739">
        <f t="shared" si="328"/>
        <v>0</v>
      </c>
      <c r="N318" s="698"/>
      <c r="O318" s="1339"/>
      <c r="P318" s="738">
        <v>9</v>
      </c>
      <c r="Q318" s="739">
        <f>O97</f>
        <v>1000</v>
      </c>
      <c r="R318" s="739">
        <f t="shared" ref="R318:T318" si="329">P97</f>
        <v>0.2</v>
      </c>
      <c r="S318" s="739" t="str">
        <f t="shared" si="329"/>
        <v>-</v>
      </c>
      <c r="T318" s="740">
        <f t="shared" si="329"/>
        <v>0</v>
      </c>
    </row>
    <row r="319" spans="1:20" ht="13" hidden="1">
      <c r="A319" s="1336"/>
      <c r="B319" s="738">
        <v>10</v>
      </c>
      <c r="C319" s="739">
        <f>C108</f>
        <v>35</v>
      </c>
      <c r="D319" s="739">
        <f t="shared" ref="D319:F319" si="330">D108</f>
        <v>0.2</v>
      </c>
      <c r="E319" s="739">
        <f t="shared" si="330"/>
        <v>0.8</v>
      </c>
      <c r="F319" s="739">
        <f t="shared" si="330"/>
        <v>0.30000000000000004</v>
      </c>
      <c r="G319" s="698"/>
      <c r="H319" s="1339"/>
      <c r="I319" s="738">
        <v>10</v>
      </c>
      <c r="J319" s="739">
        <f>I108</f>
        <v>70</v>
      </c>
      <c r="K319" s="739">
        <f t="shared" ref="K319:M319" si="331">J108</f>
        <v>-0.3</v>
      </c>
      <c r="L319" s="739">
        <f t="shared" si="331"/>
        <v>-5.0999999999999996</v>
      </c>
      <c r="M319" s="739">
        <f t="shared" si="331"/>
        <v>2.4</v>
      </c>
      <c r="N319" s="698"/>
      <c r="O319" s="1339"/>
      <c r="P319" s="738">
        <v>10</v>
      </c>
      <c r="Q319" s="739">
        <f>O108</f>
        <v>1000</v>
      </c>
      <c r="R319" s="739" t="str">
        <f t="shared" ref="R319:T319" si="332">P108</f>
        <v>-</v>
      </c>
      <c r="S319" s="739" t="str">
        <f t="shared" si="332"/>
        <v>-</v>
      </c>
      <c r="T319" s="740">
        <f t="shared" si="332"/>
        <v>0</v>
      </c>
    </row>
    <row r="320" spans="1:20" ht="13" hidden="1">
      <c r="A320" s="1336"/>
      <c r="B320" s="738">
        <v>11</v>
      </c>
      <c r="C320" s="739">
        <f>C119</f>
        <v>35</v>
      </c>
      <c r="D320" s="739">
        <f t="shared" ref="D320:F320" si="333">D119</f>
        <v>0.5</v>
      </c>
      <c r="E320" s="739">
        <f t="shared" si="333"/>
        <v>0.4</v>
      </c>
      <c r="F320" s="739">
        <f t="shared" si="333"/>
        <v>4.9999999999999989E-2</v>
      </c>
      <c r="G320" s="698"/>
      <c r="H320" s="1339"/>
      <c r="I320" s="738">
        <v>11</v>
      </c>
      <c r="J320" s="739">
        <f>I119</f>
        <v>70</v>
      </c>
      <c r="K320" s="739">
        <f t="shared" ref="K320:M320" si="334">J119</f>
        <v>-3.4</v>
      </c>
      <c r="L320" s="739">
        <f t="shared" si="334"/>
        <v>-1.7</v>
      </c>
      <c r="M320" s="739">
        <f t="shared" si="334"/>
        <v>0.85</v>
      </c>
      <c r="N320" s="698"/>
      <c r="O320" s="1339"/>
      <c r="P320" s="738">
        <v>11</v>
      </c>
      <c r="Q320" s="739">
        <f>O119</f>
        <v>1000</v>
      </c>
      <c r="R320" s="739" t="str">
        <f t="shared" ref="R320:T320" si="335">P119</f>
        <v>-</v>
      </c>
      <c r="S320" s="739" t="str">
        <f t="shared" si="335"/>
        <v>-</v>
      </c>
      <c r="T320" s="740">
        <f t="shared" si="335"/>
        <v>0</v>
      </c>
    </row>
    <row r="321" spans="1:20" ht="13" hidden="1">
      <c r="A321" s="1336"/>
      <c r="B321" s="738">
        <v>12</v>
      </c>
      <c r="C321" s="739">
        <f>C130</f>
        <v>35</v>
      </c>
      <c r="D321" s="739">
        <f t="shared" ref="D321:F321" si="336">D130</f>
        <v>-0.2</v>
      </c>
      <c r="E321" s="739" t="str">
        <f t="shared" si="336"/>
        <v>-</v>
      </c>
      <c r="F321" s="739">
        <f t="shared" si="336"/>
        <v>0</v>
      </c>
      <c r="G321" s="698"/>
      <c r="H321" s="1339"/>
      <c r="I321" s="738">
        <v>12</v>
      </c>
      <c r="J321" s="739">
        <f>I130</f>
        <v>70</v>
      </c>
      <c r="K321" s="739">
        <f t="shared" ref="K321:M321" si="337">J130</f>
        <v>-0.1</v>
      </c>
      <c r="L321" s="739" t="str">
        <f t="shared" si="337"/>
        <v>-</v>
      </c>
      <c r="M321" s="739">
        <f t="shared" si="337"/>
        <v>0</v>
      </c>
      <c r="N321" s="698"/>
      <c r="O321" s="1339"/>
      <c r="P321" s="738">
        <v>12</v>
      </c>
      <c r="Q321" s="739">
        <f>O130</f>
        <v>1000</v>
      </c>
      <c r="R321" s="739">
        <f t="shared" ref="R321:T321" si="338">P130</f>
        <v>-0.8</v>
      </c>
      <c r="S321" s="739" t="str">
        <f t="shared" si="338"/>
        <v>-</v>
      </c>
      <c r="T321" s="740">
        <f t="shared" si="338"/>
        <v>0</v>
      </c>
    </row>
    <row r="322" spans="1:20" ht="13" hidden="1">
      <c r="A322" s="1336"/>
      <c r="B322" s="738">
        <v>13</v>
      </c>
      <c r="C322" s="739">
        <f>C141</f>
        <v>35</v>
      </c>
      <c r="D322" s="739">
        <f t="shared" ref="D322:F322" si="339">D141</f>
        <v>0.3</v>
      </c>
      <c r="E322" s="739" t="str">
        <f t="shared" si="339"/>
        <v>-</v>
      </c>
      <c r="F322" s="739">
        <f t="shared" si="339"/>
        <v>0</v>
      </c>
      <c r="G322" s="698"/>
      <c r="H322" s="1339"/>
      <c r="I322" s="738">
        <v>13</v>
      </c>
      <c r="J322" s="739">
        <f>I141</f>
        <v>70</v>
      </c>
      <c r="K322" s="739">
        <f t="shared" ref="K322:M322" si="340">J141</f>
        <v>-1.9</v>
      </c>
      <c r="L322" s="739" t="str">
        <f t="shared" si="340"/>
        <v>-</v>
      </c>
      <c r="M322" s="739">
        <f t="shared" si="340"/>
        <v>0</v>
      </c>
      <c r="N322" s="698"/>
      <c r="O322" s="1339"/>
      <c r="P322" s="738">
        <v>13</v>
      </c>
      <c r="Q322" s="739">
        <f>O141</f>
        <v>1000</v>
      </c>
      <c r="R322" s="739">
        <f t="shared" ref="R322:T322" si="341">P141</f>
        <v>1.1000000000000001</v>
      </c>
      <c r="S322" s="739" t="str">
        <f t="shared" si="341"/>
        <v>-</v>
      </c>
      <c r="T322" s="740">
        <f t="shared" si="341"/>
        <v>0</v>
      </c>
    </row>
    <row r="323" spans="1:20" ht="13" hidden="1">
      <c r="A323" s="1336"/>
      <c r="B323" s="738">
        <v>14</v>
      </c>
      <c r="C323" s="739">
        <f>C152</f>
        <v>35</v>
      </c>
      <c r="D323" s="739">
        <f t="shared" ref="D323:F323" si="342">D152</f>
        <v>-0.6</v>
      </c>
      <c r="E323" s="739" t="str">
        <f t="shared" si="342"/>
        <v>-</v>
      </c>
      <c r="F323" s="739">
        <f t="shared" si="342"/>
        <v>0</v>
      </c>
      <c r="G323" s="698"/>
      <c r="H323" s="1339"/>
      <c r="I323" s="738">
        <v>14</v>
      </c>
      <c r="J323" s="739">
        <f>I152</f>
        <v>70</v>
      </c>
      <c r="K323" s="739">
        <f t="shared" ref="K323:M323" si="343">J152</f>
        <v>-0.8</v>
      </c>
      <c r="L323" s="739" t="str">
        <f t="shared" si="343"/>
        <v>-</v>
      </c>
      <c r="M323" s="739">
        <f t="shared" si="343"/>
        <v>0</v>
      </c>
      <c r="N323" s="698"/>
      <c r="O323" s="1339"/>
      <c r="P323" s="738">
        <v>14</v>
      </c>
      <c r="Q323" s="739">
        <f>O152</f>
        <v>1000</v>
      </c>
      <c r="R323" s="739">
        <f t="shared" ref="R323:T323" si="344">P152</f>
        <v>1.1000000000000001</v>
      </c>
      <c r="S323" s="739" t="str">
        <f t="shared" si="344"/>
        <v>-</v>
      </c>
      <c r="T323" s="740">
        <f t="shared" si="344"/>
        <v>0</v>
      </c>
    </row>
    <row r="324" spans="1:20" ht="13" hidden="1">
      <c r="A324" s="1336"/>
      <c r="B324" s="738">
        <v>15</v>
      </c>
      <c r="C324" s="739">
        <f>C163</f>
        <v>35</v>
      </c>
      <c r="D324" s="739">
        <f t="shared" ref="D324:F324" si="345">D163</f>
        <v>-0.1</v>
      </c>
      <c r="E324" s="739" t="str">
        <f t="shared" si="345"/>
        <v>-</v>
      </c>
      <c r="F324" s="739">
        <f t="shared" si="345"/>
        <v>0</v>
      </c>
      <c r="G324" s="698"/>
      <c r="H324" s="1339"/>
      <c r="I324" s="738">
        <v>15</v>
      </c>
      <c r="J324" s="739">
        <f>I163</f>
        <v>70</v>
      </c>
      <c r="K324" s="739">
        <f t="shared" ref="K324:M324" si="346">J163</f>
        <v>-0.8</v>
      </c>
      <c r="L324" s="739" t="str">
        <f t="shared" si="346"/>
        <v>-</v>
      </c>
      <c r="M324" s="739">
        <f t="shared" si="346"/>
        <v>0</v>
      </c>
      <c r="N324" s="698"/>
      <c r="O324" s="1339"/>
      <c r="P324" s="738">
        <v>15</v>
      </c>
      <c r="Q324" s="739">
        <f>O163</f>
        <v>1000</v>
      </c>
      <c r="R324" s="739">
        <f t="shared" ref="R324:T324" si="347">P163</f>
        <v>1.1000000000000001</v>
      </c>
      <c r="S324" s="739" t="str">
        <f t="shared" si="347"/>
        <v>-</v>
      </c>
      <c r="T324" s="740">
        <f t="shared" si="347"/>
        <v>0</v>
      </c>
    </row>
    <row r="325" spans="1:20" ht="13" hidden="1">
      <c r="A325" s="1336"/>
      <c r="B325" s="738">
        <v>16</v>
      </c>
      <c r="C325" s="739">
        <f>C174</f>
        <v>35</v>
      </c>
      <c r="D325" s="739">
        <f t="shared" ref="D325:F325" si="348">D174</f>
        <v>0.1</v>
      </c>
      <c r="E325" s="739" t="str">
        <f t="shared" si="348"/>
        <v>-</v>
      </c>
      <c r="F325" s="739">
        <f t="shared" si="348"/>
        <v>0</v>
      </c>
      <c r="G325" s="698"/>
      <c r="H325" s="1339"/>
      <c r="I325" s="738">
        <v>16</v>
      </c>
      <c r="J325" s="739">
        <f>I174</f>
        <v>70</v>
      </c>
      <c r="K325" s="739">
        <f t="shared" ref="K325:M325" si="349">J174</f>
        <v>-1.8</v>
      </c>
      <c r="L325" s="739" t="str">
        <f t="shared" si="349"/>
        <v>-</v>
      </c>
      <c r="M325" s="739">
        <f t="shared" si="349"/>
        <v>0</v>
      </c>
      <c r="N325" s="698"/>
      <c r="O325" s="1339"/>
      <c r="P325" s="738">
        <v>16</v>
      </c>
      <c r="Q325" s="739">
        <f>O174</f>
        <v>1000</v>
      </c>
      <c r="R325" s="739">
        <f t="shared" ref="R325:T325" si="350">P174</f>
        <v>-0.4</v>
      </c>
      <c r="S325" s="739" t="str">
        <f t="shared" si="350"/>
        <v>-</v>
      </c>
      <c r="T325" s="740">
        <f t="shared" si="350"/>
        <v>0</v>
      </c>
    </row>
    <row r="326" spans="1:20" ht="13" hidden="1">
      <c r="A326" s="1336"/>
      <c r="B326" s="738">
        <v>17</v>
      </c>
      <c r="C326" s="739">
        <f>C185</f>
        <v>35</v>
      </c>
      <c r="D326" s="739">
        <f t="shared" ref="D326:F326" si="351">D185</f>
        <v>-0.5</v>
      </c>
      <c r="E326" s="739" t="str">
        <f t="shared" si="351"/>
        <v>-</v>
      </c>
      <c r="F326" s="739">
        <f t="shared" si="351"/>
        <v>0</v>
      </c>
      <c r="G326" s="698"/>
      <c r="H326" s="1339"/>
      <c r="I326" s="738">
        <v>17</v>
      </c>
      <c r="J326" s="739">
        <f>I185</f>
        <v>70</v>
      </c>
      <c r="K326" s="739">
        <f t="shared" ref="K326:M326" si="352">J185</f>
        <v>-0.3</v>
      </c>
      <c r="L326" s="739" t="str">
        <f t="shared" si="352"/>
        <v>-</v>
      </c>
      <c r="M326" s="739">
        <f t="shared" si="352"/>
        <v>0</v>
      </c>
      <c r="N326" s="698"/>
      <c r="O326" s="1339"/>
      <c r="P326" s="738">
        <v>17</v>
      </c>
      <c r="Q326" s="739">
        <f>O185</f>
        <v>1000</v>
      </c>
      <c r="R326" s="739">
        <f t="shared" ref="R326:T326" si="353">P185</f>
        <v>-0.6</v>
      </c>
      <c r="S326" s="739" t="str">
        <f t="shared" si="353"/>
        <v>-</v>
      </c>
      <c r="T326" s="740">
        <f t="shared" si="353"/>
        <v>0</v>
      </c>
    </row>
    <row r="327" spans="1:20" ht="13" hidden="1">
      <c r="A327" s="1336"/>
      <c r="B327" s="738">
        <v>18</v>
      </c>
      <c r="C327" s="739">
        <f>C196</f>
        <v>35</v>
      </c>
      <c r="D327" s="739">
        <f t="shared" ref="D327:F327" si="354">D196</f>
        <v>-0.3</v>
      </c>
      <c r="E327" s="739" t="str">
        <f t="shared" si="354"/>
        <v>-</v>
      </c>
      <c r="F327" s="739">
        <f t="shared" si="354"/>
        <v>0</v>
      </c>
      <c r="G327" s="698"/>
      <c r="H327" s="1339"/>
      <c r="I327" s="738">
        <v>18</v>
      </c>
      <c r="J327" s="739">
        <f>I196</f>
        <v>70</v>
      </c>
      <c r="K327" s="739">
        <f t="shared" ref="K327:M327" si="355">J196</f>
        <v>-0.3</v>
      </c>
      <c r="L327" s="739" t="str">
        <f t="shared" si="355"/>
        <v>-</v>
      </c>
      <c r="M327" s="739">
        <f t="shared" si="355"/>
        <v>0</v>
      </c>
      <c r="N327" s="698"/>
      <c r="O327" s="1339"/>
      <c r="P327" s="738">
        <v>18</v>
      </c>
      <c r="Q327" s="739">
        <f>O196</f>
        <v>1000</v>
      </c>
      <c r="R327" s="739">
        <f t="shared" ref="R327:T327" si="356">P196</f>
        <v>-0.8</v>
      </c>
      <c r="S327" s="739" t="str">
        <f t="shared" si="356"/>
        <v>-</v>
      </c>
      <c r="T327" s="740">
        <f t="shared" si="356"/>
        <v>0</v>
      </c>
    </row>
    <row r="328" spans="1:20" ht="13" hidden="1">
      <c r="A328" s="1336"/>
      <c r="B328" s="738">
        <v>19</v>
      </c>
      <c r="C328" s="739">
        <f>C207</f>
        <v>35</v>
      </c>
      <c r="D328" s="739">
        <f t="shared" ref="D328:F328" si="357">D207</f>
        <v>-0.1</v>
      </c>
      <c r="E328" s="739" t="str">
        <f t="shared" si="357"/>
        <v>-</v>
      </c>
      <c r="F328" s="739">
        <f t="shared" si="357"/>
        <v>0</v>
      </c>
      <c r="G328" s="698"/>
      <c r="H328" s="1339"/>
      <c r="I328" s="738">
        <v>19</v>
      </c>
      <c r="J328" s="739">
        <f>I207</f>
        <v>70</v>
      </c>
      <c r="K328" s="739">
        <f t="shared" ref="K328:M328" si="358">J207</f>
        <v>-0.7</v>
      </c>
      <c r="L328" s="739" t="str">
        <f t="shared" si="358"/>
        <v>-</v>
      </c>
      <c r="M328" s="739">
        <f t="shared" si="358"/>
        <v>0</v>
      </c>
      <c r="N328" s="698"/>
      <c r="O328" s="1339"/>
      <c r="P328" s="738">
        <v>19</v>
      </c>
      <c r="Q328" s="739">
        <f>O207</f>
        <v>1000</v>
      </c>
      <c r="R328" s="739">
        <f t="shared" ref="R328:T328" si="359">P207</f>
        <v>2.2000000000000002</v>
      </c>
      <c r="S328" s="739" t="str">
        <f t="shared" si="359"/>
        <v>-</v>
      </c>
      <c r="T328" s="740">
        <f t="shared" si="359"/>
        <v>0</v>
      </c>
    </row>
    <row r="329" spans="1:20" ht="13.5" hidden="1" thickBot="1">
      <c r="A329" s="1337"/>
      <c r="B329" s="749">
        <v>20</v>
      </c>
      <c r="C329" s="766">
        <f>C218</f>
        <v>34.5</v>
      </c>
      <c r="D329" s="766">
        <f t="shared" ref="D329:F329" si="360">D218</f>
        <v>9.9999999999999995E-7</v>
      </c>
      <c r="E329" s="766" t="str">
        <f t="shared" si="360"/>
        <v>-</v>
      </c>
      <c r="F329" s="766">
        <f t="shared" si="360"/>
        <v>0</v>
      </c>
      <c r="G329" s="751"/>
      <c r="H329" s="1340"/>
      <c r="I329" s="749">
        <v>20</v>
      </c>
      <c r="J329" s="766">
        <f>I218</f>
        <v>80.8</v>
      </c>
      <c r="K329" s="766">
        <f t="shared" ref="K329:M329" si="361">J218</f>
        <v>9.9999999999999995E-7</v>
      </c>
      <c r="L329" s="766" t="str">
        <f t="shared" si="361"/>
        <v>-</v>
      </c>
      <c r="M329" s="766">
        <f t="shared" si="361"/>
        <v>0</v>
      </c>
      <c r="N329" s="751"/>
      <c r="O329" s="1340"/>
      <c r="P329" s="749">
        <v>20</v>
      </c>
      <c r="Q329" s="766">
        <f>O218</f>
        <v>1000</v>
      </c>
      <c r="R329" s="766" t="str">
        <f t="shared" ref="R329:T329" si="362">P218</f>
        <v>-</v>
      </c>
      <c r="S329" s="766" t="str">
        <f t="shared" si="362"/>
        <v>-</v>
      </c>
      <c r="T329" s="767">
        <f t="shared" si="362"/>
        <v>0</v>
      </c>
    </row>
    <row r="330" spans="1:20" ht="13" hidden="1">
      <c r="A330" s="754"/>
      <c r="B330" s="755"/>
      <c r="C330" s="768"/>
      <c r="D330" s="768"/>
      <c r="E330" s="768"/>
      <c r="F330" s="769"/>
      <c r="G330" s="758"/>
      <c r="H330" s="754"/>
      <c r="I330" s="755"/>
      <c r="J330" s="768"/>
      <c r="K330" s="768"/>
      <c r="L330" s="768"/>
      <c r="M330" s="769"/>
      <c r="N330" s="698"/>
      <c r="O330" s="754"/>
      <c r="P330" s="755"/>
      <c r="Q330" s="768"/>
      <c r="R330" s="768"/>
      <c r="S330" s="768"/>
      <c r="T330" s="769"/>
    </row>
    <row r="331" spans="1:20" ht="13" hidden="1">
      <c r="A331" s="1335">
        <v>6</v>
      </c>
      <c r="B331" s="761">
        <v>1</v>
      </c>
      <c r="C331" s="770">
        <f>C10</f>
        <v>37</v>
      </c>
      <c r="D331" s="770">
        <f t="shared" ref="D331:F331" si="363">D10</f>
        <v>-0.2</v>
      </c>
      <c r="E331" s="770">
        <f t="shared" si="363"/>
        <v>-0.6</v>
      </c>
      <c r="F331" s="770">
        <f t="shared" si="363"/>
        <v>0.19999999999999998</v>
      </c>
      <c r="G331" s="763"/>
      <c r="H331" s="1338">
        <v>6</v>
      </c>
      <c r="I331" s="761">
        <v>1</v>
      </c>
      <c r="J331" s="770">
        <f>I10</f>
        <v>80</v>
      </c>
      <c r="K331" s="770">
        <f t="shared" ref="K331:M331" si="364">J10</f>
        <v>-3.2</v>
      </c>
      <c r="L331" s="770">
        <f t="shared" si="364"/>
        <v>0.7</v>
      </c>
      <c r="M331" s="770">
        <f t="shared" si="364"/>
        <v>1.9500000000000002</v>
      </c>
      <c r="N331" s="763"/>
      <c r="O331" s="1338">
        <v>6</v>
      </c>
      <c r="P331" s="761">
        <v>1</v>
      </c>
      <c r="Q331" s="770">
        <f>O10</f>
        <v>1005</v>
      </c>
      <c r="R331" s="770" t="str">
        <f t="shared" ref="R331:T331" si="365">P10</f>
        <v>-</v>
      </c>
      <c r="S331" s="770" t="str">
        <f t="shared" si="365"/>
        <v>-</v>
      </c>
      <c r="T331" s="771">
        <f t="shared" si="365"/>
        <v>0</v>
      </c>
    </row>
    <row r="332" spans="1:20" ht="13" hidden="1">
      <c r="A332" s="1336"/>
      <c r="B332" s="738">
        <v>2</v>
      </c>
      <c r="C332" s="739">
        <f>C21</f>
        <v>37</v>
      </c>
      <c r="D332" s="739">
        <f t="shared" ref="D332:F332" si="366">D21</f>
        <v>-0.2</v>
      </c>
      <c r="E332" s="739">
        <f t="shared" si="366"/>
        <v>-0.3</v>
      </c>
      <c r="F332" s="739">
        <f t="shared" si="366"/>
        <v>4.9999999999999989E-2</v>
      </c>
      <c r="G332" s="698"/>
      <c r="H332" s="1339"/>
      <c r="I332" s="738">
        <v>2</v>
      </c>
      <c r="J332" s="739">
        <f>I21</f>
        <v>80</v>
      </c>
      <c r="K332" s="739">
        <f t="shared" ref="K332:M332" si="367">J21</f>
        <v>-0.5</v>
      </c>
      <c r="L332" s="739">
        <f t="shared" si="367"/>
        <v>-0.7</v>
      </c>
      <c r="M332" s="739">
        <f t="shared" si="367"/>
        <v>9.9999999999999978E-2</v>
      </c>
      <c r="N332" s="698"/>
      <c r="O332" s="1339"/>
      <c r="P332" s="738">
        <v>2</v>
      </c>
      <c r="Q332" s="739">
        <f>O21</f>
        <v>1005</v>
      </c>
      <c r="R332" s="739" t="str">
        <f t="shared" ref="R332:T332" si="368">P21</f>
        <v>-</v>
      </c>
      <c r="S332" s="739" t="str">
        <f t="shared" si="368"/>
        <v>-</v>
      </c>
      <c r="T332" s="740">
        <f t="shared" si="368"/>
        <v>0</v>
      </c>
    </row>
    <row r="333" spans="1:20" ht="13" hidden="1">
      <c r="A333" s="1336"/>
      <c r="B333" s="738">
        <v>3</v>
      </c>
      <c r="C333" s="739">
        <f>C32</f>
        <v>37</v>
      </c>
      <c r="D333" s="739">
        <f t="shared" ref="D333:F333" si="369">D32</f>
        <v>-0.2</v>
      </c>
      <c r="E333" s="739">
        <f t="shared" si="369"/>
        <v>-0.6</v>
      </c>
      <c r="F333" s="739">
        <f t="shared" si="369"/>
        <v>0.19999999999999998</v>
      </c>
      <c r="G333" s="698"/>
      <c r="H333" s="1339"/>
      <c r="I333" s="738">
        <v>3</v>
      </c>
      <c r="J333" s="739">
        <f>I32</f>
        <v>80</v>
      </c>
      <c r="K333" s="739">
        <f t="shared" ref="K333:M333" si="370">J32</f>
        <v>-0.8</v>
      </c>
      <c r="L333" s="739">
        <f t="shared" si="370"/>
        <v>-2.9</v>
      </c>
      <c r="M333" s="739">
        <f t="shared" si="370"/>
        <v>1.0499999999999998</v>
      </c>
      <c r="N333" s="698"/>
      <c r="O333" s="1339"/>
      <c r="P333" s="738">
        <v>3</v>
      </c>
      <c r="Q333" s="739">
        <f>O32</f>
        <v>1005</v>
      </c>
      <c r="R333" s="739" t="str">
        <f t="shared" ref="R333:T333" si="371">P32</f>
        <v>-</v>
      </c>
      <c r="S333" s="739" t="str">
        <f t="shared" si="371"/>
        <v>-</v>
      </c>
      <c r="T333" s="740">
        <f t="shared" si="371"/>
        <v>0</v>
      </c>
    </row>
    <row r="334" spans="1:20" ht="13" hidden="1">
      <c r="A334" s="1336"/>
      <c r="B334" s="738">
        <v>4</v>
      </c>
      <c r="C334" s="739">
        <f>C43</f>
        <v>37</v>
      </c>
      <c r="D334" s="739">
        <f t="shared" ref="D334:F334" si="372">D43</f>
        <v>-0.4</v>
      </c>
      <c r="E334" s="739">
        <f t="shared" si="372"/>
        <v>-0.6</v>
      </c>
      <c r="F334" s="739">
        <f t="shared" si="372"/>
        <v>9.9999999999999978E-2</v>
      </c>
      <c r="G334" s="698"/>
      <c r="H334" s="1339"/>
      <c r="I334" s="738">
        <v>4</v>
      </c>
      <c r="J334" s="739">
        <f>I43</f>
        <v>80</v>
      </c>
      <c r="K334" s="739">
        <f t="shared" ref="K334:M334" si="373">J43</f>
        <v>-3.8</v>
      </c>
      <c r="L334" s="739">
        <f t="shared" si="373"/>
        <v>1.9</v>
      </c>
      <c r="M334" s="739">
        <f t="shared" si="373"/>
        <v>2.8499999999999996</v>
      </c>
      <c r="N334" s="698"/>
      <c r="O334" s="1339"/>
      <c r="P334" s="738">
        <v>4</v>
      </c>
      <c r="Q334" s="739">
        <f>O43</f>
        <v>1005</v>
      </c>
      <c r="R334" s="739" t="str">
        <f t="shared" ref="R334:T334" si="374">P43</f>
        <v>-</v>
      </c>
      <c r="S334" s="739" t="str">
        <f t="shared" si="374"/>
        <v>-</v>
      </c>
      <c r="T334" s="740">
        <f t="shared" si="374"/>
        <v>0</v>
      </c>
    </row>
    <row r="335" spans="1:20" ht="13" hidden="1">
      <c r="A335" s="1336"/>
      <c r="B335" s="738">
        <v>5</v>
      </c>
      <c r="C335" s="739">
        <f>C54</f>
        <v>37</v>
      </c>
      <c r="D335" s="739">
        <f t="shared" ref="D335:F335" si="375">D54</f>
        <v>0.7</v>
      </c>
      <c r="E335" s="739">
        <f t="shared" si="375"/>
        <v>9.9999999999999995E-7</v>
      </c>
      <c r="F335" s="739">
        <f t="shared" si="375"/>
        <v>0.34999949999999996</v>
      </c>
      <c r="G335" s="698"/>
      <c r="H335" s="1339"/>
      <c r="I335" s="738">
        <v>5</v>
      </c>
      <c r="J335" s="739">
        <f>I54</f>
        <v>80</v>
      </c>
      <c r="K335" s="739">
        <f t="shared" ref="K335:M335" si="376">J54</f>
        <v>-3</v>
      </c>
      <c r="L335" s="739">
        <f t="shared" si="376"/>
        <v>0.2</v>
      </c>
      <c r="M335" s="739">
        <f t="shared" si="376"/>
        <v>1.6</v>
      </c>
      <c r="N335" s="698"/>
      <c r="O335" s="1339"/>
      <c r="P335" s="738">
        <v>5</v>
      </c>
      <c r="Q335" s="739">
        <f>O54</f>
        <v>1005</v>
      </c>
      <c r="R335" s="739" t="str">
        <f t="shared" ref="R335:T335" si="377">P54</f>
        <v>-</v>
      </c>
      <c r="S335" s="739" t="str">
        <f t="shared" si="377"/>
        <v>-</v>
      </c>
      <c r="T335" s="740">
        <f t="shared" si="377"/>
        <v>0</v>
      </c>
    </row>
    <row r="336" spans="1:20" ht="13" hidden="1">
      <c r="A336" s="1336"/>
      <c r="B336" s="738">
        <v>6</v>
      </c>
      <c r="C336" s="739">
        <f>C65</f>
        <v>37</v>
      </c>
      <c r="D336" s="739">
        <f t="shared" ref="D336:F336" si="378">D65</f>
        <v>0.1</v>
      </c>
      <c r="E336" s="739">
        <f t="shared" si="378"/>
        <v>-1.1000000000000001</v>
      </c>
      <c r="F336" s="739">
        <f t="shared" si="378"/>
        <v>0.60000000000000009</v>
      </c>
      <c r="G336" s="698"/>
      <c r="H336" s="1339"/>
      <c r="I336" s="738">
        <v>6</v>
      </c>
      <c r="J336" s="739">
        <f>I65</f>
        <v>80</v>
      </c>
      <c r="K336" s="739">
        <f t="shared" ref="K336:M336" si="379">J65</f>
        <v>-6.3</v>
      </c>
      <c r="L336" s="739">
        <f t="shared" si="379"/>
        <v>0.8</v>
      </c>
      <c r="M336" s="739">
        <f t="shared" si="379"/>
        <v>3.55</v>
      </c>
      <c r="N336" s="698"/>
      <c r="O336" s="1339"/>
      <c r="P336" s="738">
        <v>6</v>
      </c>
      <c r="Q336" s="739">
        <f>O65</f>
        <v>1005</v>
      </c>
      <c r="R336" s="739">
        <f t="shared" ref="R336:T336" si="380">P65</f>
        <v>0.9</v>
      </c>
      <c r="S336" s="739">
        <f t="shared" si="380"/>
        <v>-0.3</v>
      </c>
      <c r="T336" s="740">
        <f t="shared" si="380"/>
        <v>0.6</v>
      </c>
    </row>
    <row r="337" spans="1:20" ht="13" hidden="1">
      <c r="A337" s="1336"/>
      <c r="B337" s="738">
        <v>7</v>
      </c>
      <c r="C337" s="739">
        <f>C76</f>
        <v>37</v>
      </c>
      <c r="D337" s="739">
        <f t="shared" ref="D337:F337" si="381">D76</f>
        <v>9.9999999999999995E-7</v>
      </c>
      <c r="E337" s="739">
        <f t="shared" si="381"/>
        <v>-1.4</v>
      </c>
      <c r="F337" s="739">
        <f t="shared" si="381"/>
        <v>0.70000049999999991</v>
      </c>
      <c r="G337" s="698"/>
      <c r="H337" s="1339"/>
      <c r="I337" s="738">
        <v>7</v>
      </c>
      <c r="J337" s="739">
        <f>I76</f>
        <v>80</v>
      </c>
      <c r="K337" s="739">
        <f t="shared" ref="K337:M337" si="382">J76</f>
        <v>-2.6</v>
      </c>
      <c r="L337" s="739">
        <f t="shared" si="382"/>
        <v>1.2</v>
      </c>
      <c r="M337" s="739">
        <f t="shared" si="382"/>
        <v>1.9</v>
      </c>
      <c r="N337" s="698"/>
      <c r="O337" s="1339"/>
      <c r="P337" s="738">
        <v>7</v>
      </c>
      <c r="Q337" s="739">
        <f>O76</f>
        <v>1005</v>
      </c>
      <c r="R337" s="739">
        <f t="shared" ref="R337:T337" si="383">P76</f>
        <v>-3.8</v>
      </c>
      <c r="S337" s="739">
        <f t="shared" si="383"/>
        <v>-0.5</v>
      </c>
      <c r="T337" s="740">
        <f t="shared" si="383"/>
        <v>1.65</v>
      </c>
    </row>
    <row r="338" spans="1:20" ht="13" hidden="1">
      <c r="A338" s="1336"/>
      <c r="B338" s="738">
        <v>8</v>
      </c>
      <c r="C338" s="739">
        <f>C87</f>
        <v>37</v>
      </c>
      <c r="D338" s="739">
        <f t="shared" ref="D338:F338" si="384">D87</f>
        <v>-0.1</v>
      </c>
      <c r="E338" s="739">
        <f t="shared" si="384"/>
        <v>-0.5</v>
      </c>
      <c r="F338" s="739">
        <f t="shared" si="384"/>
        <v>0.2</v>
      </c>
      <c r="G338" s="698"/>
      <c r="H338" s="1339"/>
      <c r="I338" s="738">
        <v>8</v>
      </c>
      <c r="J338" s="739">
        <f>I87</f>
        <v>80</v>
      </c>
      <c r="K338" s="739">
        <f t="shared" ref="K338:M338" si="385">J87</f>
        <v>-4.5</v>
      </c>
      <c r="L338" s="739">
        <f t="shared" si="385"/>
        <v>-1.2</v>
      </c>
      <c r="M338" s="739">
        <f t="shared" si="385"/>
        <v>1.65</v>
      </c>
      <c r="N338" s="698"/>
      <c r="O338" s="1339"/>
      <c r="P338" s="738">
        <v>8</v>
      </c>
      <c r="Q338" s="739">
        <f>O87</f>
        <v>1005</v>
      </c>
      <c r="R338" s="739">
        <f t="shared" ref="R338:T338" si="386">P87</f>
        <v>-3.4</v>
      </c>
      <c r="S338" s="739">
        <f t="shared" si="386"/>
        <v>0.2</v>
      </c>
      <c r="T338" s="740">
        <f t="shared" si="386"/>
        <v>1.8</v>
      </c>
    </row>
    <row r="339" spans="1:20" ht="13" hidden="1">
      <c r="A339" s="1336"/>
      <c r="B339" s="738">
        <v>9</v>
      </c>
      <c r="C339" s="739">
        <f>C98</f>
        <v>37</v>
      </c>
      <c r="D339" s="739">
        <f t="shared" ref="D339:F339" si="387">D98</f>
        <v>-0.5</v>
      </c>
      <c r="E339" s="739" t="str">
        <f t="shared" si="387"/>
        <v>-</v>
      </c>
      <c r="F339" s="739">
        <f t="shared" si="387"/>
        <v>0</v>
      </c>
      <c r="G339" s="698"/>
      <c r="H339" s="1339"/>
      <c r="I339" s="738">
        <v>9</v>
      </c>
      <c r="J339" s="739">
        <f>I98</f>
        <v>80</v>
      </c>
      <c r="K339" s="739">
        <f t="shared" ref="K339:M339" si="388">J98</f>
        <v>-0.5</v>
      </c>
      <c r="L339" s="739" t="str">
        <f t="shared" si="388"/>
        <v>-</v>
      </c>
      <c r="M339" s="739">
        <f t="shared" si="388"/>
        <v>0</v>
      </c>
      <c r="N339" s="698"/>
      <c r="O339" s="1339"/>
      <c r="P339" s="738">
        <v>9</v>
      </c>
      <c r="Q339" s="739">
        <f>O98</f>
        <v>1005</v>
      </c>
      <c r="R339" s="739">
        <f t="shared" ref="R339:T339" si="389">P98</f>
        <v>0.2</v>
      </c>
      <c r="S339" s="739" t="str">
        <f t="shared" si="389"/>
        <v>-</v>
      </c>
      <c r="T339" s="740">
        <f t="shared" si="389"/>
        <v>0</v>
      </c>
    </row>
    <row r="340" spans="1:20" ht="13" hidden="1">
      <c r="A340" s="1336"/>
      <c r="B340" s="738">
        <v>10</v>
      </c>
      <c r="C340" s="739">
        <f>C109</f>
        <v>37</v>
      </c>
      <c r="D340" s="739">
        <f t="shared" ref="D340:F340" si="390">D109</f>
        <v>0.2</v>
      </c>
      <c r="E340" s="739">
        <f t="shared" si="390"/>
        <v>0.4</v>
      </c>
      <c r="F340" s="739">
        <f t="shared" si="390"/>
        <v>0.1</v>
      </c>
      <c r="G340" s="698"/>
      <c r="H340" s="1339"/>
      <c r="I340" s="738">
        <v>10</v>
      </c>
      <c r="J340" s="739">
        <f>I109</f>
        <v>80</v>
      </c>
      <c r="K340" s="739">
        <f t="shared" ref="K340:M340" si="391">J109</f>
        <v>2.2000000000000002</v>
      </c>
      <c r="L340" s="739">
        <f t="shared" si="391"/>
        <v>-4.7</v>
      </c>
      <c r="M340" s="739">
        <f t="shared" si="391"/>
        <v>3.45</v>
      </c>
      <c r="N340" s="698"/>
      <c r="O340" s="1339"/>
      <c r="P340" s="738">
        <v>10</v>
      </c>
      <c r="Q340" s="739">
        <f>O109</f>
        <v>1005</v>
      </c>
      <c r="R340" s="739" t="str">
        <f t="shared" ref="R340:T340" si="392">P109</f>
        <v>-</v>
      </c>
      <c r="S340" s="739" t="str">
        <f t="shared" si="392"/>
        <v>-</v>
      </c>
      <c r="T340" s="740">
        <f t="shared" si="392"/>
        <v>0</v>
      </c>
    </row>
    <row r="341" spans="1:20" ht="13" hidden="1">
      <c r="A341" s="1336"/>
      <c r="B341" s="738">
        <v>11</v>
      </c>
      <c r="C341" s="739">
        <f>C120</f>
        <v>37</v>
      </c>
      <c r="D341" s="739">
        <f t="shared" ref="D341:F341" si="393">D120</f>
        <v>0.5</v>
      </c>
      <c r="E341" s="739">
        <f t="shared" si="393"/>
        <v>0.5</v>
      </c>
      <c r="F341" s="739">
        <f t="shared" si="393"/>
        <v>0</v>
      </c>
      <c r="G341" s="698"/>
      <c r="H341" s="1339"/>
      <c r="I341" s="738">
        <v>11</v>
      </c>
      <c r="J341" s="739">
        <f>I120</f>
        <v>80</v>
      </c>
      <c r="K341" s="739">
        <f t="shared" ref="K341:M341" si="394">J120</f>
        <v>-1.4</v>
      </c>
      <c r="L341" s="739">
        <f t="shared" si="394"/>
        <v>2.6</v>
      </c>
      <c r="M341" s="739">
        <f t="shared" si="394"/>
        <v>2</v>
      </c>
      <c r="N341" s="698"/>
      <c r="O341" s="1339"/>
      <c r="P341" s="738">
        <v>11</v>
      </c>
      <c r="Q341" s="739">
        <f>O120</f>
        <v>1005</v>
      </c>
      <c r="R341" s="739" t="str">
        <f t="shared" ref="R341:T341" si="395">P120</f>
        <v>-</v>
      </c>
      <c r="S341" s="739" t="str">
        <f t="shared" si="395"/>
        <v>-</v>
      </c>
      <c r="T341" s="740">
        <f t="shared" si="395"/>
        <v>0</v>
      </c>
    </row>
    <row r="342" spans="1:20" ht="13" hidden="1">
      <c r="A342" s="1336"/>
      <c r="B342" s="738">
        <v>12</v>
      </c>
      <c r="C342" s="739">
        <f>C131</f>
        <v>37</v>
      </c>
      <c r="D342" s="739">
        <f t="shared" ref="D342:F342" si="396">D131</f>
        <v>-0.3</v>
      </c>
      <c r="E342" s="739" t="str">
        <f t="shared" si="396"/>
        <v>-</v>
      </c>
      <c r="F342" s="739">
        <f t="shared" si="396"/>
        <v>0</v>
      </c>
      <c r="G342" s="698"/>
      <c r="H342" s="1339"/>
      <c r="I342" s="738">
        <v>12</v>
      </c>
      <c r="J342" s="739">
        <f>I131</f>
        <v>80</v>
      </c>
      <c r="K342" s="739">
        <f t="shared" ref="K342:M342" si="397">J131</f>
        <v>-0.5</v>
      </c>
      <c r="L342" s="739" t="str">
        <f t="shared" si="397"/>
        <v>-</v>
      </c>
      <c r="M342" s="739">
        <f t="shared" si="397"/>
        <v>0</v>
      </c>
      <c r="N342" s="698"/>
      <c r="O342" s="1339"/>
      <c r="P342" s="738">
        <v>12</v>
      </c>
      <c r="Q342" s="739">
        <f>O131</f>
        <v>1005</v>
      </c>
      <c r="R342" s="739">
        <f t="shared" ref="R342:T342" si="398">P131</f>
        <v>-0.8</v>
      </c>
      <c r="S342" s="739" t="str">
        <f t="shared" si="398"/>
        <v>-</v>
      </c>
      <c r="T342" s="740">
        <f t="shared" si="398"/>
        <v>0</v>
      </c>
    </row>
    <row r="343" spans="1:20" ht="13" hidden="1">
      <c r="A343" s="1336"/>
      <c r="B343" s="738">
        <v>13</v>
      </c>
      <c r="C343" s="739">
        <f>C142</f>
        <v>37</v>
      </c>
      <c r="D343" s="739">
        <f t="shared" ref="D343:F343" si="399">D142</f>
        <v>0.4</v>
      </c>
      <c r="E343" s="739" t="str">
        <f t="shared" si="399"/>
        <v>-</v>
      </c>
      <c r="F343" s="739">
        <f t="shared" si="399"/>
        <v>0</v>
      </c>
      <c r="G343" s="698"/>
      <c r="H343" s="1339"/>
      <c r="I343" s="738">
        <v>13</v>
      </c>
      <c r="J343" s="739">
        <f>I142</f>
        <v>80</v>
      </c>
      <c r="K343" s="739">
        <f t="shared" ref="K343:M343" si="400">J142</f>
        <v>-2.5</v>
      </c>
      <c r="L343" s="739" t="str">
        <f t="shared" si="400"/>
        <v>-</v>
      </c>
      <c r="M343" s="739">
        <f t="shared" si="400"/>
        <v>0</v>
      </c>
      <c r="N343" s="698"/>
      <c r="O343" s="1339"/>
      <c r="P343" s="738">
        <v>13</v>
      </c>
      <c r="Q343" s="739">
        <f>O142</f>
        <v>1005</v>
      </c>
      <c r="R343" s="739">
        <f t="shared" ref="R343:T343" si="401">P142</f>
        <v>1.1000000000000001</v>
      </c>
      <c r="S343" s="739" t="str">
        <f t="shared" si="401"/>
        <v>-</v>
      </c>
      <c r="T343" s="740">
        <f t="shared" si="401"/>
        <v>0</v>
      </c>
    </row>
    <row r="344" spans="1:20" ht="13" hidden="1">
      <c r="A344" s="1336"/>
      <c r="B344" s="738">
        <v>14</v>
      </c>
      <c r="C344" s="739">
        <f>C153</f>
        <v>37</v>
      </c>
      <c r="D344" s="739">
        <f t="shared" ref="D344:F344" si="402">D153</f>
        <v>-0.8</v>
      </c>
      <c r="E344" s="739" t="str">
        <f t="shared" si="402"/>
        <v>-</v>
      </c>
      <c r="F344" s="739">
        <f t="shared" si="402"/>
        <v>0</v>
      </c>
      <c r="G344" s="698"/>
      <c r="H344" s="1339"/>
      <c r="I344" s="738">
        <v>14</v>
      </c>
      <c r="J344" s="739">
        <f>I153</f>
        <v>80</v>
      </c>
      <c r="K344" s="739">
        <f t="shared" ref="K344:M344" si="403">J153</f>
        <v>-0.9</v>
      </c>
      <c r="L344" s="739" t="str">
        <f t="shared" si="403"/>
        <v>-</v>
      </c>
      <c r="M344" s="739">
        <f t="shared" si="403"/>
        <v>0</v>
      </c>
      <c r="N344" s="698"/>
      <c r="O344" s="1339"/>
      <c r="P344" s="738">
        <v>14</v>
      </c>
      <c r="Q344" s="739">
        <f>O153</f>
        <v>1005</v>
      </c>
      <c r="R344" s="739">
        <f t="shared" ref="R344:T344" si="404">P153</f>
        <v>1.1000000000000001</v>
      </c>
      <c r="S344" s="739" t="str">
        <f t="shared" si="404"/>
        <v>-</v>
      </c>
      <c r="T344" s="740">
        <f t="shared" si="404"/>
        <v>0</v>
      </c>
    </row>
    <row r="345" spans="1:20" ht="13" hidden="1">
      <c r="A345" s="1336"/>
      <c r="B345" s="738">
        <v>15</v>
      </c>
      <c r="C345" s="739">
        <f>C164</f>
        <v>37</v>
      </c>
      <c r="D345" s="739">
        <f t="shared" ref="D345:F345" si="405">D164</f>
        <v>-0.1</v>
      </c>
      <c r="E345" s="739" t="str">
        <f t="shared" si="405"/>
        <v>-</v>
      </c>
      <c r="F345" s="739">
        <f t="shared" si="405"/>
        <v>0</v>
      </c>
      <c r="G345" s="698"/>
      <c r="H345" s="1339"/>
      <c r="I345" s="738">
        <v>15</v>
      </c>
      <c r="J345" s="739">
        <f>I164</f>
        <v>80</v>
      </c>
      <c r="K345" s="739">
        <f t="shared" ref="K345:M345" si="406">J164</f>
        <v>-1.3</v>
      </c>
      <c r="L345" s="739" t="str">
        <f t="shared" si="406"/>
        <v>-</v>
      </c>
      <c r="M345" s="739">
        <f t="shared" si="406"/>
        <v>0</v>
      </c>
      <c r="N345" s="698"/>
      <c r="O345" s="1339"/>
      <c r="P345" s="738">
        <v>15</v>
      </c>
      <c r="Q345" s="739">
        <f>O164</f>
        <v>1005</v>
      </c>
      <c r="R345" s="739">
        <f t="shared" ref="R345:T345" si="407">P164</f>
        <v>1.1000000000000001</v>
      </c>
      <c r="S345" s="739" t="str">
        <f t="shared" si="407"/>
        <v>-</v>
      </c>
      <c r="T345" s="740">
        <f t="shared" si="407"/>
        <v>0</v>
      </c>
    </row>
    <row r="346" spans="1:20" ht="13" hidden="1">
      <c r="A346" s="1336"/>
      <c r="B346" s="738">
        <v>16</v>
      </c>
      <c r="C346" s="739">
        <f>C175</f>
        <v>37</v>
      </c>
      <c r="D346" s="739">
        <f t="shared" ref="D346:F346" si="408">D175</f>
        <v>9.9999999999999995E-7</v>
      </c>
      <c r="E346" s="739" t="str">
        <f t="shared" si="408"/>
        <v>-</v>
      </c>
      <c r="F346" s="739">
        <f t="shared" si="408"/>
        <v>0</v>
      </c>
      <c r="G346" s="698"/>
      <c r="H346" s="1339"/>
      <c r="I346" s="738">
        <v>16</v>
      </c>
      <c r="J346" s="739">
        <f>I175</f>
        <v>80</v>
      </c>
      <c r="K346" s="739">
        <f t="shared" ref="K346:M346" si="409">J175</f>
        <v>-2.2999999999999998</v>
      </c>
      <c r="L346" s="739" t="str">
        <f t="shared" si="409"/>
        <v>-</v>
      </c>
      <c r="M346" s="739">
        <f t="shared" si="409"/>
        <v>0</v>
      </c>
      <c r="N346" s="698"/>
      <c r="O346" s="1339"/>
      <c r="P346" s="738">
        <v>16</v>
      </c>
      <c r="Q346" s="739">
        <f>O175</f>
        <v>1005</v>
      </c>
      <c r="R346" s="739">
        <f t="shared" ref="R346:T346" si="410">P175</f>
        <v>-0.4</v>
      </c>
      <c r="S346" s="739" t="str">
        <f t="shared" si="410"/>
        <v>-</v>
      </c>
      <c r="T346" s="740">
        <f t="shared" si="410"/>
        <v>0</v>
      </c>
    </row>
    <row r="347" spans="1:20" ht="13" hidden="1">
      <c r="A347" s="1336"/>
      <c r="B347" s="738">
        <v>17</v>
      </c>
      <c r="C347" s="739">
        <f>C186</f>
        <v>37</v>
      </c>
      <c r="D347" s="739">
        <f t="shared" ref="D347:F347" si="411">D186</f>
        <v>-0.6</v>
      </c>
      <c r="E347" s="739" t="str">
        <f t="shared" si="411"/>
        <v>-</v>
      </c>
      <c r="F347" s="739">
        <f t="shared" si="411"/>
        <v>0</v>
      </c>
      <c r="G347" s="698"/>
      <c r="H347" s="1339"/>
      <c r="I347" s="738">
        <v>17</v>
      </c>
      <c r="J347" s="739">
        <f>I186</f>
        <v>80</v>
      </c>
      <c r="K347" s="739">
        <f t="shared" ref="K347:M347" si="412">J186</f>
        <v>-0.8</v>
      </c>
      <c r="L347" s="739" t="str">
        <f t="shared" si="412"/>
        <v>-</v>
      </c>
      <c r="M347" s="739">
        <f t="shared" si="412"/>
        <v>0</v>
      </c>
      <c r="N347" s="698"/>
      <c r="O347" s="1339"/>
      <c r="P347" s="738">
        <v>17</v>
      </c>
      <c r="Q347" s="739">
        <f>O186</f>
        <v>1005</v>
      </c>
      <c r="R347" s="739">
        <f t="shared" ref="R347:T347" si="413">P186</f>
        <v>-0.6</v>
      </c>
      <c r="S347" s="739" t="str">
        <f t="shared" si="413"/>
        <v>-</v>
      </c>
      <c r="T347" s="740">
        <f t="shared" si="413"/>
        <v>0</v>
      </c>
    </row>
    <row r="348" spans="1:20" ht="13" hidden="1">
      <c r="A348" s="1336"/>
      <c r="B348" s="738">
        <v>18</v>
      </c>
      <c r="C348" s="739">
        <f>C197</f>
        <v>37</v>
      </c>
      <c r="D348" s="739">
        <f t="shared" ref="D348:F348" si="414">D197</f>
        <v>-0.3</v>
      </c>
      <c r="E348" s="739" t="str">
        <f t="shared" si="414"/>
        <v>-</v>
      </c>
      <c r="F348" s="739">
        <f t="shared" si="414"/>
        <v>0</v>
      </c>
      <c r="G348" s="698"/>
      <c r="H348" s="1339"/>
      <c r="I348" s="738">
        <v>18</v>
      </c>
      <c r="J348" s="739">
        <f>I197</f>
        <v>80</v>
      </c>
      <c r="K348" s="739">
        <f t="shared" ref="K348:M348" si="415">J197</f>
        <v>-0.5</v>
      </c>
      <c r="L348" s="739" t="str">
        <f t="shared" si="415"/>
        <v>-</v>
      </c>
      <c r="M348" s="739">
        <f t="shared" si="415"/>
        <v>0</v>
      </c>
      <c r="N348" s="698"/>
      <c r="O348" s="1339"/>
      <c r="P348" s="738">
        <v>18</v>
      </c>
      <c r="Q348" s="739">
        <f>O197</f>
        <v>1005</v>
      </c>
      <c r="R348" s="739">
        <f t="shared" ref="R348:T348" si="416">P197</f>
        <v>-0.7</v>
      </c>
      <c r="S348" s="739" t="str">
        <f t="shared" si="416"/>
        <v>-</v>
      </c>
      <c r="T348" s="740">
        <f t="shared" si="416"/>
        <v>0</v>
      </c>
    </row>
    <row r="349" spans="1:20" ht="13" hidden="1">
      <c r="A349" s="1336"/>
      <c r="B349" s="738">
        <v>19</v>
      </c>
      <c r="C349" s="739">
        <f>C208</f>
        <v>37</v>
      </c>
      <c r="D349" s="739">
        <f t="shared" ref="D349:F349" si="417">D208</f>
        <v>9.9999999999999995E-7</v>
      </c>
      <c r="E349" s="739" t="str">
        <f t="shared" si="417"/>
        <v>-</v>
      </c>
      <c r="F349" s="739">
        <f t="shared" si="417"/>
        <v>0</v>
      </c>
      <c r="G349" s="698"/>
      <c r="H349" s="1339"/>
      <c r="I349" s="738">
        <v>19</v>
      </c>
      <c r="J349" s="739">
        <f>I208</f>
        <v>80</v>
      </c>
      <c r="K349" s="739">
        <f t="shared" ref="K349:M349" si="418">J208</f>
        <v>-0.9</v>
      </c>
      <c r="L349" s="739" t="str">
        <f t="shared" si="418"/>
        <v>-</v>
      </c>
      <c r="M349" s="739">
        <f t="shared" si="418"/>
        <v>0</v>
      </c>
      <c r="N349" s="698"/>
      <c r="O349" s="1339"/>
      <c r="P349" s="738">
        <v>19</v>
      </c>
      <c r="Q349" s="739">
        <f>O208</f>
        <v>1005</v>
      </c>
      <c r="R349" s="739">
        <f t="shared" ref="R349:T349" si="419">P208</f>
        <v>2.2000000000000002</v>
      </c>
      <c r="S349" s="739" t="str">
        <f t="shared" si="419"/>
        <v>-</v>
      </c>
      <c r="T349" s="740">
        <f t="shared" si="419"/>
        <v>0</v>
      </c>
    </row>
    <row r="350" spans="1:20" ht="13.5" hidden="1" thickBot="1">
      <c r="A350" s="1337"/>
      <c r="B350" s="749">
        <v>20</v>
      </c>
      <c r="C350" s="766">
        <f>C219</f>
        <v>39.5</v>
      </c>
      <c r="D350" s="766">
        <f t="shared" ref="D350:F350" si="420">D219</f>
        <v>9.9999999999999995E-7</v>
      </c>
      <c r="E350" s="766" t="str">
        <f t="shared" si="420"/>
        <v>-</v>
      </c>
      <c r="F350" s="766">
        <f t="shared" si="420"/>
        <v>0</v>
      </c>
      <c r="G350" s="751"/>
      <c r="H350" s="1340"/>
      <c r="I350" s="749">
        <v>20</v>
      </c>
      <c r="J350" s="766">
        <f>I219</f>
        <v>88.7</v>
      </c>
      <c r="K350" s="766">
        <f t="shared" ref="K350:M350" si="421">J219</f>
        <v>9.9999999999999995E-7</v>
      </c>
      <c r="L350" s="766" t="str">
        <f t="shared" si="421"/>
        <v>-</v>
      </c>
      <c r="M350" s="766">
        <f t="shared" si="421"/>
        <v>0</v>
      </c>
      <c r="N350" s="751"/>
      <c r="O350" s="1340"/>
      <c r="P350" s="749">
        <v>20</v>
      </c>
      <c r="Q350" s="766">
        <f>O219</f>
        <v>1005</v>
      </c>
      <c r="R350" s="766" t="str">
        <f t="shared" ref="R350:T350" si="422">P219</f>
        <v>-</v>
      </c>
      <c r="S350" s="766" t="str">
        <f t="shared" si="422"/>
        <v>-</v>
      </c>
      <c r="T350" s="767">
        <f t="shared" si="422"/>
        <v>0</v>
      </c>
    </row>
    <row r="351" spans="1:20" ht="13" hidden="1">
      <c r="A351" s="754"/>
      <c r="B351" s="755"/>
      <c r="C351" s="768"/>
      <c r="D351" s="768"/>
      <c r="E351" s="768"/>
      <c r="F351" s="769"/>
      <c r="G351" s="758"/>
      <c r="H351" s="774"/>
      <c r="I351" s="755"/>
      <c r="J351" s="768"/>
      <c r="K351" s="768"/>
      <c r="L351" s="768"/>
      <c r="M351" s="769"/>
      <c r="N351" s="698"/>
      <c r="O351" s="774"/>
      <c r="P351" s="755"/>
      <c r="Q351" s="768"/>
      <c r="R351" s="768"/>
      <c r="S351" s="768"/>
      <c r="T351" s="769"/>
    </row>
    <row r="352" spans="1:20" ht="13" hidden="1">
      <c r="A352" s="1341">
        <v>7</v>
      </c>
      <c r="B352" s="761">
        <v>1</v>
      </c>
      <c r="C352" s="770">
        <f>C11</f>
        <v>40</v>
      </c>
      <c r="D352" s="770">
        <f t="shared" ref="D352:F352" si="423">D11</f>
        <v>-0.3</v>
      </c>
      <c r="E352" s="770">
        <f t="shared" si="423"/>
        <v>-0.8</v>
      </c>
      <c r="F352" s="770">
        <f t="shared" si="423"/>
        <v>0.25</v>
      </c>
      <c r="G352" s="763"/>
      <c r="H352" s="1344">
        <v>7</v>
      </c>
      <c r="I352" s="761">
        <v>1</v>
      </c>
      <c r="J352" s="770">
        <f>I11</f>
        <v>90</v>
      </c>
      <c r="K352" s="770">
        <f t="shared" ref="K352:M352" si="424">J11</f>
        <v>-1.6</v>
      </c>
      <c r="L352" s="770">
        <f t="shared" si="424"/>
        <v>4.5</v>
      </c>
      <c r="M352" s="770">
        <f t="shared" si="424"/>
        <v>3.05</v>
      </c>
      <c r="N352" s="763"/>
      <c r="O352" s="1344">
        <v>7</v>
      </c>
      <c r="P352" s="761">
        <v>1</v>
      </c>
      <c r="Q352" s="770">
        <f>O11</f>
        <v>1020</v>
      </c>
      <c r="R352" s="770" t="str">
        <f t="shared" ref="R352:T352" si="425">P11</f>
        <v>-</v>
      </c>
      <c r="S352" s="770" t="str">
        <f t="shared" si="425"/>
        <v>-</v>
      </c>
      <c r="T352" s="771">
        <f t="shared" si="425"/>
        <v>0</v>
      </c>
    </row>
    <row r="353" spans="1:20" ht="13" hidden="1">
      <c r="A353" s="1342"/>
      <c r="B353" s="738">
        <v>2</v>
      </c>
      <c r="C353" s="739">
        <f>C22</f>
        <v>40</v>
      </c>
      <c r="D353" s="739">
        <f t="shared" ref="D353:F353" si="426">D22</f>
        <v>-0.1</v>
      </c>
      <c r="E353" s="739">
        <f t="shared" si="426"/>
        <v>-0.3</v>
      </c>
      <c r="F353" s="739">
        <f t="shared" si="426"/>
        <v>9.9999999999999992E-2</v>
      </c>
      <c r="G353" s="698"/>
      <c r="H353" s="1345"/>
      <c r="I353" s="738">
        <v>2</v>
      </c>
      <c r="J353" s="739">
        <f>I22</f>
        <v>90</v>
      </c>
      <c r="K353" s="739">
        <f t="shared" ref="K353:M353" si="427">J22</f>
        <v>1.7</v>
      </c>
      <c r="L353" s="739">
        <f t="shared" si="427"/>
        <v>-0.3</v>
      </c>
      <c r="M353" s="739">
        <f t="shared" si="427"/>
        <v>1</v>
      </c>
      <c r="N353" s="698"/>
      <c r="O353" s="1345"/>
      <c r="P353" s="738">
        <v>2</v>
      </c>
      <c r="Q353" s="739">
        <f>O22</f>
        <v>1020</v>
      </c>
      <c r="R353" s="739" t="str">
        <f t="shared" ref="R353:T353" si="428">P22</f>
        <v>-</v>
      </c>
      <c r="S353" s="739" t="str">
        <f t="shared" si="428"/>
        <v>-</v>
      </c>
      <c r="T353" s="740">
        <f t="shared" si="428"/>
        <v>0</v>
      </c>
    </row>
    <row r="354" spans="1:20" ht="13" hidden="1">
      <c r="A354" s="1342"/>
      <c r="B354" s="738">
        <v>3</v>
      </c>
      <c r="C354" s="739">
        <f>C33</f>
        <v>40</v>
      </c>
      <c r="D354" s="739">
        <f t="shared" ref="D354:F354" si="429">D33</f>
        <v>0.2</v>
      </c>
      <c r="E354" s="739">
        <f t="shared" si="429"/>
        <v>-0.7</v>
      </c>
      <c r="F354" s="739">
        <f t="shared" si="429"/>
        <v>0.44999999999999996</v>
      </c>
      <c r="G354" s="698"/>
      <c r="H354" s="1345"/>
      <c r="I354" s="738">
        <v>3</v>
      </c>
      <c r="J354" s="739">
        <f>I33</f>
        <v>90</v>
      </c>
      <c r="K354" s="739">
        <f t="shared" ref="K354:M354" si="430">J33</f>
        <v>0.3</v>
      </c>
      <c r="L354" s="739">
        <f t="shared" si="430"/>
        <v>-2</v>
      </c>
      <c r="M354" s="739">
        <f t="shared" si="430"/>
        <v>1.1499999999999999</v>
      </c>
      <c r="N354" s="698"/>
      <c r="O354" s="1345"/>
      <c r="P354" s="738">
        <v>3</v>
      </c>
      <c r="Q354" s="739">
        <f>O33</f>
        <v>1020</v>
      </c>
      <c r="R354" s="739" t="str">
        <f t="shared" ref="R354:T354" si="431">P33</f>
        <v>-</v>
      </c>
      <c r="S354" s="739" t="str">
        <f t="shared" si="431"/>
        <v>-</v>
      </c>
      <c r="T354" s="740">
        <f t="shared" si="431"/>
        <v>0</v>
      </c>
    </row>
    <row r="355" spans="1:20" ht="13" hidden="1">
      <c r="A355" s="1342"/>
      <c r="B355" s="738">
        <v>4</v>
      </c>
      <c r="C355" s="739">
        <f>C44</f>
        <v>40</v>
      </c>
      <c r="D355" s="739">
        <f t="shared" ref="D355:F355" si="432">D44</f>
        <v>-0.5</v>
      </c>
      <c r="E355" s="739">
        <f t="shared" si="432"/>
        <v>-0.6</v>
      </c>
      <c r="F355" s="739">
        <f t="shared" si="432"/>
        <v>4.9999999999999989E-2</v>
      </c>
      <c r="G355" s="698"/>
      <c r="H355" s="1345"/>
      <c r="I355" s="738">
        <v>4</v>
      </c>
      <c r="J355" s="739">
        <f>I44</f>
        <v>90</v>
      </c>
      <c r="K355" s="739">
        <f t="shared" ref="K355:M355" si="433">J44</f>
        <v>-3.5</v>
      </c>
      <c r="L355" s="739">
        <f t="shared" si="433"/>
        <v>3.3</v>
      </c>
      <c r="M355" s="739">
        <f t="shared" si="433"/>
        <v>3.4</v>
      </c>
      <c r="N355" s="698"/>
      <c r="O355" s="1345"/>
      <c r="P355" s="738">
        <v>4</v>
      </c>
      <c r="Q355" s="739">
        <f>O44</f>
        <v>1020</v>
      </c>
      <c r="R355" s="739" t="str">
        <f t="shared" ref="R355:T355" si="434">P44</f>
        <v>-</v>
      </c>
      <c r="S355" s="739" t="str">
        <f t="shared" si="434"/>
        <v>-</v>
      </c>
      <c r="T355" s="740">
        <f t="shared" si="434"/>
        <v>0</v>
      </c>
    </row>
    <row r="356" spans="1:20" ht="13" hidden="1">
      <c r="A356" s="1342"/>
      <c r="B356" s="738">
        <v>5</v>
      </c>
      <c r="C356" s="739">
        <f>C55</f>
        <v>40</v>
      </c>
      <c r="D356" s="739">
        <f t="shared" ref="D356:F356" si="435">D55</f>
        <v>0.7</v>
      </c>
      <c r="E356" s="739">
        <f t="shared" si="435"/>
        <v>-0.1</v>
      </c>
      <c r="F356" s="739">
        <f t="shared" si="435"/>
        <v>0.39999999999999997</v>
      </c>
      <c r="G356" s="698"/>
      <c r="H356" s="1345"/>
      <c r="I356" s="738">
        <v>5</v>
      </c>
      <c r="J356" s="739">
        <f>I55</f>
        <v>90</v>
      </c>
      <c r="K356" s="739">
        <f t="shared" ref="K356:M356" si="436">J55</f>
        <v>-1.8</v>
      </c>
      <c r="L356" s="739">
        <f t="shared" si="436"/>
        <v>2.7</v>
      </c>
      <c r="M356" s="739">
        <f t="shared" si="436"/>
        <v>2.25</v>
      </c>
      <c r="N356" s="698"/>
      <c r="O356" s="1345"/>
      <c r="P356" s="738">
        <v>5</v>
      </c>
      <c r="Q356" s="739">
        <f>O55</f>
        <v>1020</v>
      </c>
      <c r="R356" s="739" t="str">
        <f t="shared" ref="R356:T356" si="437">P55</f>
        <v>-</v>
      </c>
      <c r="S356" s="739" t="str">
        <f t="shared" si="437"/>
        <v>-</v>
      </c>
      <c r="T356" s="740">
        <f t="shared" si="437"/>
        <v>0</v>
      </c>
    </row>
    <row r="357" spans="1:20" ht="13" hidden="1">
      <c r="A357" s="1342"/>
      <c r="B357" s="738">
        <v>6</v>
      </c>
      <c r="C357" s="739">
        <f>C66</f>
        <v>40</v>
      </c>
      <c r="D357" s="739">
        <f t="shared" ref="D357:F357" si="438">D66</f>
        <v>0.1</v>
      </c>
      <c r="E357" s="739">
        <f t="shared" si="438"/>
        <v>-1.4</v>
      </c>
      <c r="F357" s="739">
        <f t="shared" si="438"/>
        <v>0.75</v>
      </c>
      <c r="G357" s="698"/>
      <c r="H357" s="1345"/>
      <c r="I357" s="738">
        <v>6</v>
      </c>
      <c r="J357" s="739">
        <f>I66</f>
        <v>90</v>
      </c>
      <c r="K357" s="739">
        <f t="shared" ref="K357:M357" si="439">J66</f>
        <v>-5.2</v>
      </c>
      <c r="L357" s="739">
        <f t="shared" si="439"/>
        <v>0.7</v>
      </c>
      <c r="M357" s="739">
        <f t="shared" si="439"/>
        <v>2.95</v>
      </c>
      <c r="N357" s="698"/>
      <c r="O357" s="1345"/>
      <c r="P357" s="738">
        <v>6</v>
      </c>
      <c r="Q357" s="739">
        <f>O66</f>
        <v>1020</v>
      </c>
      <c r="R357" s="739">
        <f t="shared" ref="R357:T357" si="440">P66</f>
        <v>0.9</v>
      </c>
      <c r="S357" s="739">
        <f t="shared" si="440"/>
        <v>9.9999999999999995E-7</v>
      </c>
      <c r="T357" s="740">
        <f t="shared" si="440"/>
        <v>0.4499995</v>
      </c>
    </row>
    <row r="358" spans="1:20" ht="13" hidden="1">
      <c r="A358" s="1342"/>
      <c r="B358" s="738">
        <v>7</v>
      </c>
      <c r="C358" s="739">
        <f>C77</f>
        <v>40</v>
      </c>
      <c r="D358" s="739">
        <f t="shared" ref="D358:F358" si="441">D77</f>
        <v>0.1</v>
      </c>
      <c r="E358" s="739">
        <f t="shared" si="441"/>
        <v>-1.7</v>
      </c>
      <c r="F358" s="739">
        <f t="shared" si="441"/>
        <v>0.9</v>
      </c>
      <c r="G358" s="698"/>
      <c r="H358" s="1345"/>
      <c r="I358" s="738">
        <v>7</v>
      </c>
      <c r="J358" s="739">
        <f>I77</f>
        <v>90</v>
      </c>
      <c r="K358" s="739">
        <f t="shared" ref="K358:M358" si="442">J77</f>
        <v>-3</v>
      </c>
      <c r="L358" s="739">
        <f t="shared" si="442"/>
        <v>1.8</v>
      </c>
      <c r="M358" s="739">
        <f t="shared" si="442"/>
        <v>2.4</v>
      </c>
      <c r="N358" s="698"/>
      <c r="O358" s="1345"/>
      <c r="P358" s="738">
        <v>7</v>
      </c>
      <c r="Q358" s="739">
        <f>O77</f>
        <v>1020</v>
      </c>
      <c r="R358" s="739">
        <f t="shared" ref="R358:T358" si="443">P77</f>
        <v>-3.8</v>
      </c>
      <c r="S358" s="739">
        <f t="shared" si="443"/>
        <v>9.9999999999999995E-7</v>
      </c>
      <c r="T358" s="740">
        <f t="shared" si="443"/>
        <v>1.9000005</v>
      </c>
    </row>
    <row r="359" spans="1:20" ht="13" hidden="1">
      <c r="A359" s="1342"/>
      <c r="B359" s="738">
        <v>8</v>
      </c>
      <c r="C359" s="739">
        <f>C88</f>
        <v>40</v>
      </c>
      <c r="D359" s="739">
        <f t="shared" ref="D359:F359" si="444">D88</f>
        <v>9.9999999999999995E-7</v>
      </c>
      <c r="E359" s="739">
        <f t="shared" si="444"/>
        <v>-0.4</v>
      </c>
      <c r="F359" s="739">
        <f t="shared" si="444"/>
        <v>0.2000005</v>
      </c>
      <c r="G359" s="698"/>
      <c r="H359" s="1345"/>
      <c r="I359" s="738">
        <v>8</v>
      </c>
      <c r="J359" s="739">
        <f>I88</f>
        <v>90</v>
      </c>
      <c r="K359" s="739">
        <f t="shared" ref="K359:M359" si="445">J88</f>
        <v>-4.9000000000000004</v>
      </c>
      <c r="L359" s="739">
        <f t="shared" si="445"/>
        <v>-1.3</v>
      </c>
      <c r="M359" s="739">
        <f t="shared" si="445"/>
        <v>1.8000000000000003</v>
      </c>
      <c r="N359" s="698"/>
      <c r="O359" s="1345"/>
      <c r="P359" s="738">
        <v>8</v>
      </c>
      <c r="Q359" s="739">
        <f>O88</f>
        <v>1020</v>
      </c>
      <c r="R359" s="739">
        <f t="shared" ref="R359:T359" si="446">P88</f>
        <v>-3.4</v>
      </c>
      <c r="S359" s="739">
        <f t="shared" si="446"/>
        <v>9.9999999999999995E-7</v>
      </c>
      <c r="T359" s="740">
        <f t="shared" si="446"/>
        <v>1.7000005</v>
      </c>
    </row>
    <row r="360" spans="1:20" ht="13" hidden="1">
      <c r="A360" s="1342"/>
      <c r="B360" s="738">
        <v>9</v>
      </c>
      <c r="C360" s="739">
        <f>C99</f>
        <v>40</v>
      </c>
      <c r="D360" s="739">
        <f t="shared" ref="D360:F360" si="447">D99</f>
        <v>-0.4</v>
      </c>
      <c r="E360" s="739" t="str">
        <f t="shared" si="447"/>
        <v>-</v>
      </c>
      <c r="F360" s="739">
        <f t="shared" si="447"/>
        <v>0</v>
      </c>
      <c r="G360" s="698"/>
      <c r="H360" s="1345"/>
      <c r="I360" s="738">
        <v>9</v>
      </c>
      <c r="J360" s="739">
        <f>I99</f>
        <v>90</v>
      </c>
      <c r="K360" s="739">
        <f t="shared" ref="K360:M360" si="448">J99</f>
        <v>-0.2</v>
      </c>
      <c r="L360" s="739" t="str">
        <f t="shared" si="448"/>
        <v>-</v>
      </c>
      <c r="M360" s="739">
        <f t="shared" si="448"/>
        <v>0</v>
      </c>
      <c r="N360" s="698"/>
      <c r="O360" s="1345"/>
      <c r="P360" s="738">
        <v>9</v>
      </c>
      <c r="Q360" s="739">
        <f>O99</f>
        <v>1020</v>
      </c>
      <c r="R360" s="739">
        <f t="shared" ref="R360:T360" si="449">P99</f>
        <v>9.9999999999999995E-7</v>
      </c>
      <c r="S360" s="739" t="str">
        <f t="shared" si="449"/>
        <v>-</v>
      </c>
      <c r="T360" s="740">
        <f t="shared" si="449"/>
        <v>0</v>
      </c>
    </row>
    <row r="361" spans="1:20" ht="13" hidden="1">
      <c r="A361" s="1342"/>
      <c r="B361" s="738">
        <v>10</v>
      </c>
      <c r="C361" s="739">
        <f>C110</f>
        <v>40</v>
      </c>
      <c r="D361" s="739">
        <f t="shared" ref="D361:F361" si="450">D110</f>
        <v>0.2</v>
      </c>
      <c r="E361" s="739">
        <f t="shared" si="450"/>
        <v>9.9999999999999995E-7</v>
      </c>
      <c r="F361" s="739">
        <f t="shared" si="450"/>
        <v>9.9999500000000005E-2</v>
      </c>
      <c r="G361" s="698"/>
      <c r="H361" s="1345"/>
      <c r="I361" s="738">
        <v>10</v>
      </c>
      <c r="J361" s="739">
        <f>I110</f>
        <v>90</v>
      </c>
      <c r="K361" s="739">
        <f t="shared" ref="K361:M361" si="451">J110</f>
        <v>5.4</v>
      </c>
      <c r="L361" s="739">
        <f t="shared" si="451"/>
        <v>0</v>
      </c>
      <c r="M361" s="739">
        <f t="shared" si="451"/>
        <v>2.7</v>
      </c>
      <c r="N361" s="698"/>
      <c r="O361" s="1345"/>
      <c r="P361" s="738">
        <v>10</v>
      </c>
      <c r="Q361" s="739">
        <f>O110</f>
        <v>1020</v>
      </c>
      <c r="R361" s="739" t="str">
        <f t="shared" ref="R361:T361" si="452">P110</f>
        <v>-</v>
      </c>
      <c r="S361" s="739" t="str">
        <f t="shared" si="452"/>
        <v>-</v>
      </c>
      <c r="T361" s="740">
        <f t="shared" si="452"/>
        <v>0</v>
      </c>
    </row>
    <row r="362" spans="1:20" ht="13" hidden="1">
      <c r="A362" s="1342"/>
      <c r="B362" s="738">
        <v>11</v>
      </c>
      <c r="C362" s="739">
        <f>C121</f>
        <v>40</v>
      </c>
      <c r="D362" s="739">
        <f t="shared" ref="D362:F362" si="453">D121</f>
        <v>0.5</v>
      </c>
      <c r="E362" s="739">
        <f t="shared" si="453"/>
        <v>9.9999999999999995E-7</v>
      </c>
      <c r="F362" s="739">
        <f t="shared" si="453"/>
        <v>0.24999950000000001</v>
      </c>
      <c r="G362" s="698"/>
      <c r="H362" s="1345"/>
      <c r="I362" s="738">
        <v>11</v>
      </c>
      <c r="J362" s="739">
        <f>I121</f>
        <v>90</v>
      </c>
      <c r="K362" s="739">
        <f t="shared" ref="K362:M362" si="454">J121</f>
        <v>1.3</v>
      </c>
      <c r="L362" s="739">
        <f t="shared" si="454"/>
        <v>0</v>
      </c>
      <c r="M362" s="739">
        <f t="shared" si="454"/>
        <v>0.65</v>
      </c>
      <c r="N362" s="698"/>
      <c r="O362" s="1345"/>
      <c r="P362" s="738">
        <v>11</v>
      </c>
      <c r="Q362" s="739">
        <f>O121</f>
        <v>1020</v>
      </c>
      <c r="R362" s="739" t="str">
        <f t="shared" ref="R362:T362" si="455">P121</f>
        <v>-</v>
      </c>
      <c r="S362" s="739" t="str">
        <f t="shared" si="455"/>
        <v>-</v>
      </c>
      <c r="T362" s="740">
        <f t="shared" si="455"/>
        <v>0</v>
      </c>
    </row>
    <row r="363" spans="1:20" ht="13" hidden="1">
      <c r="A363" s="1342"/>
      <c r="B363" s="738">
        <v>12</v>
      </c>
      <c r="C363" s="739">
        <f>C132</f>
        <v>40</v>
      </c>
      <c r="D363" s="739">
        <f t="shared" ref="D363:F363" si="456">D132</f>
        <v>-0.4</v>
      </c>
      <c r="E363" s="739" t="str">
        <f t="shared" si="456"/>
        <v>-</v>
      </c>
      <c r="F363" s="739">
        <f t="shared" si="456"/>
        <v>0</v>
      </c>
      <c r="G363" s="698"/>
      <c r="H363" s="1345"/>
      <c r="I363" s="738">
        <v>12</v>
      </c>
      <c r="J363" s="739">
        <f>I132</f>
        <v>90</v>
      </c>
      <c r="K363" s="739">
        <f t="shared" ref="K363:M363" si="457">J132</f>
        <v>-0.9</v>
      </c>
      <c r="L363" s="739" t="str">
        <f t="shared" si="457"/>
        <v>-</v>
      </c>
      <c r="M363" s="739">
        <f t="shared" si="457"/>
        <v>0</v>
      </c>
      <c r="N363" s="698"/>
      <c r="O363" s="1345"/>
      <c r="P363" s="738">
        <v>12</v>
      </c>
      <c r="Q363" s="739">
        <f>O132</f>
        <v>1020</v>
      </c>
      <c r="R363" s="739">
        <f t="shared" ref="R363:T363" si="458">P132</f>
        <v>9.9999999999999995E-7</v>
      </c>
      <c r="S363" s="739" t="str">
        <f t="shared" si="458"/>
        <v>-</v>
      </c>
      <c r="T363" s="740">
        <f t="shared" si="458"/>
        <v>0</v>
      </c>
    </row>
    <row r="364" spans="1:20" ht="13" hidden="1">
      <c r="A364" s="1342"/>
      <c r="B364" s="738">
        <v>13</v>
      </c>
      <c r="C364" s="739">
        <f>C143</f>
        <v>40</v>
      </c>
      <c r="D364" s="739">
        <f t="shared" ref="D364:F364" si="459">D143</f>
        <v>0.5</v>
      </c>
      <c r="E364" s="739" t="str">
        <f t="shared" si="459"/>
        <v>-</v>
      </c>
      <c r="F364" s="739">
        <f t="shared" si="459"/>
        <v>0</v>
      </c>
      <c r="G364" s="698"/>
      <c r="H364" s="1345"/>
      <c r="I364" s="738">
        <v>13</v>
      </c>
      <c r="J364" s="739">
        <f>I143</f>
        <v>90</v>
      </c>
      <c r="K364" s="739">
        <f t="shared" ref="K364:M364" si="460">J143</f>
        <v>-3.2</v>
      </c>
      <c r="L364" s="739" t="str">
        <f t="shared" si="460"/>
        <v>-</v>
      </c>
      <c r="M364" s="739">
        <f t="shared" si="460"/>
        <v>0</v>
      </c>
      <c r="N364" s="698"/>
      <c r="O364" s="1345"/>
      <c r="P364" s="738">
        <v>13</v>
      </c>
      <c r="Q364" s="739">
        <f>O143</f>
        <v>1020</v>
      </c>
      <c r="R364" s="739">
        <f t="shared" ref="R364:T364" si="461">P143</f>
        <v>9.9999999999999995E-7</v>
      </c>
      <c r="S364" s="739" t="str">
        <f t="shared" si="461"/>
        <v>-</v>
      </c>
      <c r="T364" s="740">
        <f t="shared" si="461"/>
        <v>0</v>
      </c>
    </row>
    <row r="365" spans="1:20" ht="13" hidden="1">
      <c r="A365" s="1342"/>
      <c r="B365" s="738">
        <v>14</v>
      </c>
      <c r="C365" s="739">
        <f>C154</f>
        <v>40</v>
      </c>
      <c r="D365" s="739">
        <f t="shared" ref="D365:F365" si="462">D154</f>
        <v>-1.1000000000000001</v>
      </c>
      <c r="E365" s="739" t="str">
        <f t="shared" si="462"/>
        <v>-</v>
      </c>
      <c r="F365" s="739">
        <f t="shared" si="462"/>
        <v>0</v>
      </c>
      <c r="G365" s="698"/>
      <c r="H365" s="1345"/>
      <c r="I365" s="738">
        <v>14</v>
      </c>
      <c r="J365" s="739">
        <f>I154</f>
        <v>90</v>
      </c>
      <c r="K365" s="739">
        <f t="shared" ref="K365:M365" si="463">J154</f>
        <v>-0.8</v>
      </c>
      <c r="L365" s="739" t="str">
        <f t="shared" si="463"/>
        <v>-</v>
      </c>
      <c r="M365" s="739">
        <f t="shared" si="463"/>
        <v>0</v>
      </c>
      <c r="N365" s="698"/>
      <c r="O365" s="1345"/>
      <c r="P365" s="738">
        <v>14</v>
      </c>
      <c r="Q365" s="739">
        <f>O154</f>
        <v>1020</v>
      </c>
      <c r="R365" s="739">
        <f t="shared" ref="R365:T365" si="464">P154</f>
        <v>9.9999999999999995E-7</v>
      </c>
      <c r="S365" s="739" t="str">
        <f t="shared" si="464"/>
        <v>-</v>
      </c>
      <c r="T365" s="740">
        <f t="shared" si="464"/>
        <v>0</v>
      </c>
    </row>
    <row r="366" spans="1:20" ht="13" hidden="1">
      <c r="A366" s="1342"/>
      <c r="B366" s="738">
        <v>15</v>
      </c>
      <c r="C366" s="739">
        <f>C165</f>
        <v>40</v>
      </c>
      <c r="D366" s="739">
        <f t="shared" ref="D366:F366" si="465">D165</f>
        <v>9.9999999999999995E-7</v>
      </c>
      <c r="E366" s="739" t="str">
        <f t="shared" si="465"/>
        <v>-</v>
      </c>
      <c r="F366" s="739">
        <f t="shared" si="465"/>
        <v>0</v>
      </c>
      <c r="G366" s="698"/>
      <c r="H366" s="1345"/>
      <c r="I366" s="738">
        <v>15</v>
      </c>
      <c r="J366" s="739">
        <f>I165</f>
        <v>90</v>
      </c>
      <c r="K366" s="739">
        <f t="shared" ref="K366:M366" si="466">J165</f>
        <v>-2</v>
      </c>
      <c r="L366" s="739" t="str">
        <f t="shared" si="466"/>
        <v>-</v>
      </c>
      <c r="M366" s="739">
        <f t="shared" si="466"/>
        <v>0</v>
      </c>
      <c r="N366" s="698"/>
      <c r="O366" s="1345"/>
      <c r="P366" s="738">
        <v>15</v>
      </c>
      <c r="Q366" s="739">
        <f>O165</f>
        <v>1020</v>
      </c>
      <c r="R366" s="739">
        <f t="shared" ref="R366:T366" si="467">P165</f>
        <v>9.9999999999999995E-7</v>
      </c>
      <c r="S366" s="739" t="str">
        <f t="shared" si="467"/>
        <v>-</v>
      </c>
      <c r="T366" s="740">
        <f t="shared" si="467"/>
        <v>0</v>
      </c>
    </row>
    <row r="367" spans="1:20" ht="13" hidden="1">
      <c r="A367" s="1342"/>
      <c r="B367" s="738">
        <v>16</v>
      </c>
      <c r="C367" s="739">
        <f>C176</f>
        <v>40</v>
      </c>
      <c r="D367" s="739">
        <f t="shared" ref="D367:F367" si="468">D176</f>
        <v>9.9999999999999995E-7</v>
      </c>
      <c r="E367" s="739" t="str">
        <f t="shared" si="468"/>
        <v>-</v>
      </c>
      <c r="F367" s="739">
        <f t="shared" si="468"/>
        <v>0</v>
      </c>
      <c r="G367" s="698"/>
      <c r="H367" s="1345"/>
      <c r="I367" s="738">
        <v>16</v>
      </c>
      <c r="J367" s="739">
        <f>I176</f>
        <v>90</v>
      </c>
      <c r="K367" s="739">
        <f t="shared" ref="K367:M367" si="469">J176</f>
        <v>-3</v>
      </c>
      <c r="L367" s="739" t="str">
        <f t="shared" si="469"/>
        <v>-</v>
      </c>
      <c r="M367" s="739">
        <f t="shared" si="469"/>
        <v>0</v>
      </c>
      <c r="N367" s="698"/>
      <c r="O367" s="1345"/>
      <c r="P367" s="738">
        <v>16</v>
      </c>
      <c r="Q367" s="739">
        <f>O176</f>
        <v>1020</v>
      </c>
      <c r="R367" s="739">
        <f t="shared" ref="R367:T367" si="470">P176</f>
        <v>9.9999999999999995E-7</v>
      </c>
      <c r="S367" s="739" t="str">
        <f t="shared" si="470"/>
        <v>-</v>
      </c>
      <c r="T367" s="740">
        <f t="shared" si="470"/>
        <v>0</v>
      </c>
    </row>
    <row r="368" spans="1:20" ht="13" hidden="1">
      <c r="A368" s="1342"/>
      <c r="B368" s="738">
        <v>17</v>
      </c>
      <c r="C368" s="739">
        <f>C187</f>
        <v>40</v>
      </c>
      <c r="D368" s="739">
        <f t="shared" ref="D368:F368" si="471">D187</f>
        <v>-0.8</v>
      </c>
      <c r="E368" s="739" t="str">
        <f t="shared" si="471"/>
        <v>-</v>
      </c>
      <c r="F368" s="739">
        <f t="shared" si="471"/>
        <v>0</v>
      </c>
      <c r="G368" s="698"/>
      <c r="H368" s="1345"/>
      <c r="I368" s="738">
        <v>17</v>
      </c>
      <c r="J368" s="739">
        <f>I187</f>
        <v>90</v>
      </c>
      <c r="K368" s="739">
        <f t="shared" ref="K368:M368" si="472">J187</f>
        <v>-1.4</v>
      </c>
      <c r="L368" s="739" t="str">
        <f t="shared" si="472"/>
        <v>-</v>
      </c>
      <c r="M368" s="739">
        <f t="shared" si="472"/>
        <v>0</v>
      </c>
      <c r="N368" s="698"/>
      <c r="O368" s="1345"/>
      <c r="P368" s="738">
        <v>17</v>
      </c>
      <c r="Q368" s="739">
        <f>O187</f>
        <v>1020</v>
      </c>
      <c r="R368" s="739">
        <f t="shared" ref="R368:T368" si="473">P187</f>
        <v>9.9999999999999995E-7</v>
      </c>
      <c r="S368" s="739" t="str">
        <f t="shared" si="473"/>
        <v>-</v>
      </c>
      <c r="T368" s="740">
        <f t="shared" si="473"/>
        <v>0</v>
      </c>
    </row>
    <row r="369" spans="1:20" ht="13" hidden="1">
      <c r="A369" s="1342"/>
      <c r="B369" s="738">
        <v>18</v>
      </c>
      <c r="C369" s="739">
        <f>C198</f>
        <v>40</v>
      </c>
      <c r="D369" s="739">
        <f t="shared" ref="D369:F369" si="474">D198</f>
        <v>-0.4</v>
      </c>
      <c r="E369" s="739" t="str">
        <f t="shared" si="474"/>
        <v>-</v>
      </c>
      <c r="F369" s="739">
        <f t="shared" si="474"/>
        <v>0</v>
      </c>
      <c r="G369" s="698"/>
      <c r="H369" s="1345"/>
      <c r="I369" s="738">
        <v>18</v>
      </c>
      <c r="J369" s="739">
        <f>I198</f>
        <v>90</v>
      </c>
      <c r="K369" s="739">
        <f t="shared" ref="K369:M369" si="475">J198</f>
        <v>-0.8</v>
      </c>
      <c r="L369" s="739" t="str">
        <f t="shared" si="475"/>
        <v>-</v>
      </c>
      <c r="M369" s="739">
        <f t="shared" si="475"/>
        <v>0</v>
      </c>
      <c r="N369" s="698"/>
      <c r="O369" s="1345"/>
      <c r="P369" s="738">
        <v>18</v>
      </c>
      <c r="Q369" s="739">
        <f>O198</f>
        <v>1020</v>
      </c>
      <c r="R369" s="739">
        <f t="shared" ref="R369:T369" si="476">P198</f>
        <v>9.9999999999999995E-7</v>
      </c>
      <c r="S369" s="739" t="str">
        <f t="shared" si="476"/>
        <v>-</v>
      </c>
      <c r="T369" s="740">
        <f t="shared" si="476"/>
        <v>0</v>
      </c>
    </row>
    <row r="370" spans="1:20" ht="13" hidden="1">
      <c r="A370" s="1342"/>
      <c r="B370" s="738">
        <v>19</v>
      </c>
      <c r="C370" s="739">
        <f>C209</f>
        <v>40</v>
      </c>
      <c r="D370" s="739">
        <f t="shared" ref="D370:F370" si="477">D209</f>
        <v>0.2</v>
      </c>
      <c r="E370" s="739" t="str">
        <f t="shared" si="477"/>
        <v>-</v>
      </c>
      <c r="F370" s="739">
        <f t="shared" si="477"/>
        <v>0</v>
      </c>
      <c r="G370" s="698"/>
      <c r="H370" s="1345"/>
      <c r="I370" s="738">
        <v>19</v>
      </c>
      <c r="J370" s="739">
        <f>I209</f>
        <v>90</v>
      </c>
      <c r="K370" s="739">
        <f t="shared" ref="K370:M370" si="478">J209</f>
        <v>-0.6</v>
      </c>
      <c r="L370" s="739" t="str">
        <f t="shared" si="478"/>
        <v>-</v>
      </c>
      <c r="M370" s="739">
        <f t="shared" si="478"/>
        <v>0</v>
      </c>
      <c r="N370" s="698"/>
      <c r="O370" s="1345"/>
      <c r="P370" s="738">
        <v>19</v>
      </c>
      <c r="Q370" s="739">
        <f>O209</f>
        <v>1020</v>
      </c>
      <c r="R370" s="739">
        <f t="shared" ref="R370:T370" si="479">P209</f>
        <v>2.2999999999999998</v>
      </c>
      <c r="S370" s="739" t="str">
        <f t="shared" si="479"/>
        <v>-</v>
      </c>
      <c r="T370" s="740">
        <f t="shared" si="479"/>
        <v>0</v>
      </c>
    </row>
    <row r="371" spans="1:20" ht="13.5" hidden="1" thickBot="1">
      <c r="A371" s="1343"/>
      <c r="B371" s="749">
        <v>20</v>
      </c>
      <c r="C371" s="766">
        <f>C220</f>
        <v>40</v>
      </c>
      <c r="D371" s="766">
        <f t="shared" ref="D371:F371" si="480">D220</f>
        <v>9.9999999999999995E-7</v>
      </c>
      <c r="E371" s="766" t="str">
        <f t="shared" si="480"/>
        <v>-</v>
      </c>
      <c r="F371" s="766">
        <f t="shared" si="480"/>
        <v>0</v>
      </c>
      <c r="G371" s="751"/>
      <c r="H371" s="1346"/>
      <c r="I371" s="749">
        <v>20</v>
      </c>
      <c r="J371" s="766">
        <f>I220</f>
        <v>90</v>
      </c>
      <c r="K371" s="766">
        <f t="shared" ref="K371:M371" si="481">J220</f>
        <v>9.9999999999999995E-7</v>
      </c>
      <c r="L371" s="766" t="str">
        <f t="shared" si="481"/>
        <v>-</v>
      </c>
      <c r="M371" s="766">
        <f t="shared" si="481"/>
        <v>0</v>
      </c>
      <c r="N371" s="751"/>
      <c r="O371" s="1346"/>
      <c r="P371" s="749">
        <v>20</v>
      </c>
      <c r="Q371" s="766">
        <f>O220</f>
        <v>1020</v>
      </c>
      <c r="R371" s="766" t="str">
        <f t="shared" ref="R371:T371" si="482">P220</f>
        <v>-</v>
      </c>
      <c r="S371" s="766" t="str">
        <f t="shared" si="482"/>
        <v>-</v>
      </c>
      <c r="T371" s="767">
        <f t="shared" si="482"/>
        <v>0</v>
      </c>
    </row>
    <row r="372" spans="1:20" ht="13.5" thickBot="1">
      <c r="A372" s="775"/>
      <c r="B372" s="776"/>
      <c r="C372" s="758"/>
      <c r="D372" s="758"/>
      <c r="E372" s="758"/>
      <c r="F372" s="758"/>
      <c r="G372" s="758"/>
      <c r="H372" s="698"/>
      <c r="I372" s="753"/>
      <c r="J372" s="776"/>
      <c r="K372" s="758"/>
      <c r="L372" s="758"/>
      <c r="M372" s="758"/>
      <c r="N372" s="758"/>
      <c r="O372" s="758"/>
      <c r="P372" s="698"/>
    </row>
    <row r="373" spans="1:20" ht="29.25" customHeight="1">
      <c r="A373" s="255">
        <f>A413</f>
        <v>3</v>
      </c>
      <c r="B373" s="1331" t="str">
        <f>A392</f>
        <v>Thermohygrolight, Merek : KIMO, Model : KH-210-AO, SN : 14082463</v>
      </c>
      <c r="C373" s="1331"/>
      <c r="D373" s="1332"/>
      <c r="E373" s="256"/>
      <c r="F373" s="255">
        <f>A373</f>
        <v>3</v>
      </c>
      <c r="G373" s="1331" t="str">
        <f>B373</f>
        <v>Thermohygrolight, Merek : KIMO, Model : KH-210-AO, SN : 14082463</v>
      </c>
      <c r="H373" s="1331"/>
      <c r="I373" s="1332"/>
      <c r="J373" s="256"/>
      <c r="K373" s="255">
        <f>F373</f>
        <v>3</v>
      </c>
      <c r="L373" s="1331" t="str">
        <f>G373</f>
        <v>Thermohygrolight, Merek : KIMO, Model : KH-210-AO, SN : 14082463</v>
      </c>
      <c r="M373" s="1331"/>
      <c r="N373" s="1332"/>
      <c r="O373" s="670"/>
      <c r="P373" s="255">
        <f>A373</f>
        <v>3</v>
      </c>
      <c r="Q373" s="1331" t="str">
        <f>G373</f>
        <v>Thermohygrolight, Merek : KIMO, Model : KH-210-AO, SN : 14082463</v>
      </c>
      <c r="R373" s="1331"/>
      <c r="S373" s="1331"/>
      <c r="T373" s="1332"/>
    </row>
    <row r="374" spans="1:20" ht="13.5">
      <c r="A374" s="777" t="s">
        <v>239</v>
      </c>
      <c r="B374" s="1333" t="s">
        <v>75</v>
      </c>
      <c r="C374" s="1333"/>
      <c r="D374" s="1334" t="s">
        <v>74</v>
      </c>
      <c r="E374" s="758"/>
      <c r="F374" s="777" t="s">
        <v>243</v>
      </c>
      <c r="G374" s="1333" t="s">
        <v>75</v>
      </c>
      <c r="H374" s="1333"/>
      <c r="I374" s="1334" t="s">
        <v>74</v>
      </c>
      <c r="J374" s="758"/>
      <c r="K374" s="777" t="s">
        <v>424</v>
      </c>
      <c r="L374" s="1333" t="s">
        <v>75</v>
      </c>
      <c r="M374" s="1333"/>
      <c r="N374" s="1334" t="s">
        <v>74</v>
      </c>
      <c r="P374" s="1325"/>
      <c r="Q374" s="1326" t="s">
        <v>242</v>
      </c>
      <c r="R374" s="1326" t="s">
        <v>241</v>
      </c>
      <c r="S374" s="1326" t="s">
        <v>28</v>
      </c>
      <c r="T374" s="1327" t="s">
        <v>77</v>
      </c>
    </row>
    <row r="375" spans="1:20" ht="14">
      <c r="A375" s="254" t="s">
        <v>240</v>
      </c>
      <c r="B375" s="778">
        <f>VLOOKUP(B373,A393:K412,9,FALSE)</f>
        <v>2021</v>
      </c>
      <c r="C375" s="778">
        <f>VLOOKUP(B373,A393:K412,10,FALSE)</f>
        <v>2018</v>
      </c>
      <c r="D375" s="1334"/>
      <c r="E375" s="758"/>
      <c r="F375" s="253" t="s">
        <v>76</v>
      </c>
      <c r="G375" s="778">
        <f>B375</f>
        <v>2021</v>
      </c>
      <c r="H375" s="778">
        <f>C375</f>
        <v>2018</v>
      </c>
      <c r="I375" s="1334"/>
      <c r="J375" s="758"/>
      <c r="K375" s="253" t="s">
        <v>425</v>
      </c>
      <c r="L375" s="778">
        <f>G375</f>
        <v>2021</v>
      </c>
      <c r="M375" s="778">
        <f>H375</f>
        <v>2018</v>
      </c>
      <c r="N375" s="1334"/>
      <c r="P375" s="1325"/>
      <c r="Q375" s="1326"/>
      <c r="R375" s="1326"/>
      <c r="S375" s="1326"/>
      <c r="T375" s="1327"/>
    </row>
    <row r="376" spans="1:20" ht="13">
      <c r="A376" s="779">
        <f>VLOOKUP($A$373,$B$226:$F$245,2,FALSE)</f>
        <v>15</v>
      </c>
      <c r="B376" s="780">
        <f>VLOOKUP($A$373,$B$226:$F$245,3,FALSE)</f>
        <v>0.4</v>
      </c>
      <c r="C376" s="780">
        <f>VLOOKUP($A$373,$B$226:$F$245,4,FALSE)</f>
        <v>9.9999999999999995E-7</v>
      </c>
      <c r="D376" s="781">
        <f>VLOOKUP($A$373,$B$226:$F$245,5,FALSE)</f>
        <v>0.19999950000000002</v>
      </c>
      <c r="E376" s="758"/>
      <c r="F376" s="779">
        <f>VLOOKUP($F$373,$I$226:$M$245,2,FALSE)</f>
        <v>30</v>
      </c>
      <c r="G376" s="780">
        <f>VLOOKUP($F$373,$I$226:$M$245,3,FALSE)</f>
        <v>-7.3</v>
      </c>
      <c r="H376" s="780">
        <f>VLOOKUP($F$373,$I$226:$M$245,4,FALSE)</f>
        <v>-5.7</v>
      </c>
      <c r="I376" s="781">
        <f>VLOOKUP($F$373,$I$226:$M$245,5,FALSE)</f>
        <v>0.79999999999999982</v>
      </c>
      <c r="J376" s="758"/>
      <c r="K376" s="779">
        <f>VLOOKUP($K$373,$P$226:$T$245,2,FALSE)</f>
        <v>750</v>
      </c>
      <c r="L376" s="780" t="str">
        <f>VLOOKUP($K$373,$P$226:$T$245,3,FALSE)</f>
        <v>-</v>
      </c>
      <c r="M376" s="780" t="str">
        <f>VLOOKUP($K$373,$P$226:$T$245,4,FALSE)</f>
        <v>-</v>
      </c>
      <c r="N376" s="781">
        <f>VLOOKUP($K$373,$P$226:$T$245,5,FALSE)</f>
        <v>0</v>
      </c>
      <c r="P376" s="1325"/>
      <c r="Q376" s="1326"/>
      <c r="R376" s="1326"/>
      <c r="S376" s="1326"/>
      <c r="T376" s="1327"/>
    </row>
    <row r="377" spans="1:20" ht="13">
      <c r="A377" s="779">
        <f>VLOOKUP($A$373,$B$247:$F$266,2,FALSE)</f>
        <v>20</v>
      </c>
      <c r="B377" s="780">
        <f>VLOOKUP($A$373,$B$247:$F$266,3,FALSE)</f>
        <v>1</v>
      </c>
      <c r="C377" s="780">
        <f>VLOOKUP($A$373,$B$247:$F$266,4,FALSE)</f>
        <v>9.9999999999999995E-7</v>
      </c>
      <c r="D377" s="781">
        <f>VLOOKUP($A$373,$B$247:$F$266,5,FALSE)</f>
        <v>0.49999949999999999</v>
      </c>
      <c r="E377" s="758"/>
      <c r="F377" s="779">
        <f>VLOOKUP($F$373,$I$247:$M$266,2,FALSE)</f>
        <v>40</v>
      </c>
      <c r="G377" s="780">
        <f>VLOOKUP($F$373,$I$247:$M$266,3,FALSE)</f>
        <v>-5.9</v>
      </c>
      <c r="H377" s="780">
        <f>VLOOKUP($F$373,$I$247:$M$266,4,FALSE)</f>
        <v>-5.3</v>
      </c>
      <c r="I377" s="781">
        <f>VLOOKUP($F$373,$I$247:$M$266,5,FALSE)</f>
        <v>0.30000000000000027</v>
      </c>
      <c r="J377" s="758"/>
      <c r="K377" s="779">
        <f>VLOOKUP($K$373,$P$247:$T$266,2,FALSE)</f>
        <v>800</v>
      </c>
      <c r="L377" s="780" t="str">
        <f>VLOOKUP($K$373,$P$247:$T$266,3,FALSE)</f>
        <v>-</v>
      </c>
      <c r="M377" s="780" t="str">
        <f>VLOOKUP($K$373,$P$247:$T$266,4,FALSE)</f>
        <v>-</v>
      </c>
      <c r="N377" s="781">
        <f>VLOOKUP($K$373,$P$247:$T$266,5,FALSE)</f>
        <v>0</v>
      </c>
      <c r="P377" s="782" t="s">
        <v>239</v>
      </c>
      <c r="Q377" s="783">
        <f>AVERAGE(ID!F14:G14)</f>
        <v>26.55</v>
      </c>
      <c r="R377" s="784">
        <f>Q377+E386</f>
        <v>26.889339760377361</v>
      </c>
      <c r="S377" s="783"/>
      <c r="T377" s="785">
        <f>IF($P$373=$A$2,U3,IF($P$373=$A$13,U14,IF($P$373=A24,U25,IF($P$373=$A$35,U37,IF($P$373=$A$46,U47,IF($P$373=$A$57,U58,IF($P$373=$A$68,U69,IF($P$373=$A$79,U80,IF($P$373=$A$90,U91,IF($P$373=$A$101,U102,IF($P$373=$A$112,U113,IF($P$373=$A$123,U124,IF($P$373=$A$134,U135,IF($P$373=$A$145,U146,IF($P$373=$A$156,U157,IF($P$373=$A$167,U168,IF($P$373=$A$178,U179,IF($P$373=$A$189,U190,IF($P$373=$A$200,U201,IF($P$373=$A$211,U212))))))))))))))))))))</f>
        <v>0.5</v>
      </c>
    </row>
    <row r="378" spans="1:20" ht="13">
      <c r="A378" s="779">
        <f>VLOOKUP($A$373,$B$268:$F$287,2,FALSE)</f>
        <v>25</v>
      </c>
      <c r="B378" s="780">
        <f>VLOOKUP($A$373,$B$268:$F$287,3,FALSE)</f>
        <v>0.7</v>
      </c>
      <c r="C378" s="780">
        <f>VLOOKUP($A$373,$B$268:$F$287,4,FALSE)</f>
        <v>-0.1</v>
      </c>
      <c r="D378" s="781">
        <f>VLOOKUP($A$373,$B$268:$F$287,5,FALSE)</f>
        <v>0.39999999999999997</v>
      </c>
      <c r="E378" s="758"/>
      <c r="F378" s="779">
        <f>VLOOKUP($F$373,$I$268:$M$287,2,FALSE)</f>
        <v>50</v>
      </c>
      <c r="G378" s="780">
        <f>VLOOKUP($F$373,$I$268:$M$287,3,FALSE)</f>
        <v>-4.5</v>
      </c>
      <c r="H378" s="780">
        <f>VLOOKUP($F$373,$I$268:$M$287,4,FALSE)</f>
        <v>-4.9000000000000004</v>
      </c>
      <c r="I378" s="781">
        <f>VLOOKUP($F$373,$I$268:$M$287,5,FALSE)</f>
        <v>0.20000000000000018</v>
      </c>
      <c r="J378" s="758"/>
      <c r="K378" s="779">
        <f>VLOOKUP($K$373,$P$268:$T$287,2,FALSE)</f>
        <v>850</v>
      </c>
      <c r="L378" s="780" t="str">
        <f>VLOOKUP($K$373,$P$268:$T$287,3,FALSE)</f>
        <v>-</v>
      </c>
      <c r="M378" s="780" t="str">
        <f>VLOOKUP($K$373,$P$268:$T$287,4,FALSE)</f>
        <v>-</v>
      </c>
      <c r="N378" s="781">
        <f>VLOOKUP($K$373,$P$268:$T$287,5,FALSE)</f>
        <v>0</v>
      </c>
      <c r="P378" s="782" t="s">
        <v>76</v>
      </c>
      <c r="Q378" s="783">
        <f>AVERAGE(ID!F15:G15)</f>
        <v>68.5</v>
      </c>
      <c r="R378" s="784">
        <f>Q378+J386</f>
        <v>66.234821428571422</v>
      </c>
      <c r="S378" s="783"/>
      <c r="T378" s="785">
        <f>IF($P$373=$A$2,U4,IF($P$373=$A$13,U15,IF($P$373=A24,U26,IF($P$373=$A$35,U38,IF($P$373=$A$46,U48,IF($P$373=$A$57,U59,IF($P$373=$A$68,U70,IF($P$373=$A$79,U81,IF($P$373=$A$90,U92,IF($P$373=$A$101,U103,IF($P$373=$A$112,U114,IF($P$373=$A$123,U125,IF($P$373=$A$134,U136,IF($P$373=$A$145,U147,IF($P$373=$A$156,U158,IF($P$373=$A$167,U169,IF($P$373=$A$178,U180,IF($P$373=$A$189,U191,IF($P$373=$A$200,U202,IF($P$373=$A$211,U213))))))))))))))))))))</f>
        <v>3.1</v>
      </c>
    </row>
    <row r="379" spans="1:20" ht="13.5" thickBot="1">
      <c r="A379" s="779">
        <f>VLOOKUP($A$373,$B$289:$F$308,2,FALSE)</f>
        <v>30</v>
      </c>
      <c r="B379" s="780">
        <f>VLOOKUP($A$373,$B$289:$F$308,3,FALSE)</f>
        <v>9.9999999999999995E-7</v>
      </c>
      <c r="C379" s="780">
        <f>VLOOKUP($A$373,$B$289:$F$308,4,FALSE)</f>
        <v>-0.3</v>
      </c>
      <c r="D379" s="781">
        <f>VLOOKUP($A$373,$B$289:$F$308,5,FALSE)</f>
        <v>0.15000049999999998</v>
      </c>
      <c r="E379" s="758"/>
      <c r="F379" s="779">
        <f>VLOOKUP($F$373,$I$289:$M$308,2,FALSE)</f>
        <v>60</v>
      </c>
      <c r="G379" s="780">
        <f>VLOOKUP($F$373,$I$289:$M$308,3,FALSE)</f>
        <v>-3.2</v>
      </c>
      <c r="H379" s="780">
        <f>VLOOKUP($F$373,$I$289:$M$308,4,FALSE)</f>
        <v>-4.3</v>
      </c>
      <c r="I379" s="781">
        <f>VLOOKUP($F$373,$I$289:$M$308,5,FALSE)</f>
        <v>0.54999999999999982</v>
      </c>
      <c r="J379" s="758"/>
      <c r="K379" s="779">
        <f>VLOOKUP($K$373,$P$289:$T$308,2,FALSE)</f>
        <v>900</v>
      </c>
      <c r="L379" s="780" t="str">
        <f>VLOOKUP($K$373,$P$289:$T$308,3,FALSE)</f>
        <v>-</v>
      </c>
      <c r="M379" s="780" t="str">
        <f>VLOOKUP($K$373,$P$289:$T$308,4,FALSE)</f>
        <v>-</v>
      </c>
      <c r="N379" s="781">
        <f>VLOOKUP($K$373,$P$289:$T$308,5,FALSE)</f>
        <v>0</v>
      </c>
      <c r="O379" s="786"/>
      <c r="P379" s="787" t="s">
        <v>425</v>
      </c>
      <c r="Q379" s="788"/>
      <c r="R379" s="789">
        <f>Q379+M386</f>
        <v>0</v>
      </c>
      <c r="S379" s="788"/>
      <c r="T379" s="785" t="b">
        <f t="shared" ref="T379" si="483">IF($P$373=$A$2,U5,IF($P$373=$A$13,U16,IF($P$373=A26,U27,IF($P$373=$A$35,U39,IF($P$373=$A$46,U49,IF($P$373=$A$57,U60,IF($P$373=$A$68,U71,IF($P$373=$A$79,U82,IF($P$373=$A$90,U93,IF($P$373=$A$101,U104,IF($P$373=$A$112,U115,IF($P$373=$A$123,U126,IF($P$373=$A$134,U137,IF($P$373=$A$145,U148,IF($P$373=$A$156,U159,IF($P$373=$A$167,U170,IF($P$373=$A$178,U181,IF($P$373=$A$189,U192,IF($P$373=$A$200,U203,IF($P$373=$A$211,U214))))))))))))))))))))</f>
        <v>0</v>
      </c>
    </row>
    <row r="380" spans="1:20" ht="13.5" thickBot="1">
      <c r="A380" s="779">
        <f>VLOOKUP($A$373,$B$310:$F$329,2,FALSE)</f>
        <v>35</v>
      </c>
      <c r="B380" s="780">
        <f>VLOOKUP($A$373,$B$310:$F$329,3,FALSE)</f>
        <v>-0.3</v>
      </c>
      <c r="C380" s="780">
        <f>VLOOKUP($A$373,$B$310:$F$329,4,FALSE)</f>
        <v>-0.5</v>
      </c>
      <c r="D380" s="781">
        <f>VLOOKUP($A$373,$B$310:$F$329,5,FALSE)</f>
        <v>0.1</v>
      </c>
      <c r="E380" s="758"/>
      <c r="F380" s="779">
        <f>VLOOKUP($F$373,$I$310:$M$329,2,FALSE)</f>
        <v>70</v>
      </c>
      <c r="G380" s="780">
        <f>VLOOKUP($F$373,$I$310:$M$329,3,FALSE)</f>
        <v>-2</v>
      </c>
      <c r="H380" s="780">
        <f>VLOOKUP($F$373,$I$310:$M$329,4,FALSE)</f>
        <v>-3.6</v>
      </c>
      <c r="I380" s="781">
        <f>VLOOKUP($F$373,$I$310:$M$329,5,FALSE)</f>
        <v>0.8</v>
      </c>
      <c r="J380" s="758"/>
      <c r="K380" s="779">
        <f>VLOOKUP($K$373,$P$310:$T$329,2,FALSE)</f>
        <v>1000</v>
      </c>
      <c r="L380" s="780" t="str">
        <f>VLOOKUP($K$373,$P$310:$T$329,3,FALSE)</f>
        <v>-</v>
      </c>
      <c r="M380" s="780" t="str">
        <f>VLOOKUP($K$373,$P$310:$T$329,4,FALSE)</f>
        <v>-</v>
      </c>
      <c r="N380" s="781">
        <f>VLOOKUP($K$373,$P$310:$T$329,5,FALSE)</f>
        <v>0</v>
      </c>
      <c r="O380" s="790"/>
      <c r="P380" s="670"/>
      <c r="T380" s="612"/>
    </row>
    <row r="381" spans="1:20" ht="14">
      <c r="A381" s="779">
        <f>VLOOKUP($A$373,$B$331:$F$350,2,FALSE)</f>
        <v>37</v>
      </c>
      <c r="B381" s="780">
        <f>VLOOKUP($A$373,$B$331:$F$350,3,FALSE)</f>
        <v>-0.2</v>
      </c>
      <c r="C381" s="780">
        <f>VLOOKUP($A$373,$B$331:$F$350,4,FALSE)</f>
        <v>-0.6</v>
      </c>
      <c r="D381" s="781">
        <f>VLOOKUP($A$373,$B$331:$F$350,5,FALSE)</f>
        <v>0.19999999999999998</v>
      </c>
      <c r="E381" s="758"/>
      <c r="F381" s="779">
        <f>VLOOKUP($F$373,$I$331:$M$350,2,FALSE)</f>
        <v>80</v>
      </c>
      <c r="G381" s="780">
        <f>VLOOKUP($F$373,$I$331:$M$350,3,FALSE)</f>
        <v>-0.8</v>
      </c>
      <c r="H381" s="780">
        <f>VLOOKUP($F$373,$I$331:$M$350,4,FALSE)</f>
        <v>-2.9</v>
      </c>
      <c r="I381" s="781">
        <f>VLOOKUP($F$373,$I$331:$M$350,5,FALSE)</f>
        <v>1.0499999999999998</v>
      </c>
      <c r="J381" s="758"/>
      <c r="K381" s="779">
        <f>VLOOKUP($K$373,$P$331:$T$350,2,FALSE)</f>
        <v>1005</v>
      </c>
      <c r="L381" s="780" t="str">
        <f>VLOOKUP($K$373,$P$331:$T$350,3,FALSE)</f>
        <v>-</v>
      </c>
      <c r="M381" s="780" t="str">
        <f>VLOOKUP($K$373,$P$331:$T$350,4,FALSE)</f>
        <v>-</v>
      </c>
      <c r="N381" s="781">
        <f>VLOOKUP($K$373,$P$331:$T$350,5,FALSE)</f>
        <v>0</v>
      </c>
      <c r="O381" s="251"/>
      <c r="P381" s="1328" t="s">
        <v>434</v>
      </c>
      <c r="Q381" s="791" t="str">
        <f>M396&amp;M393&amp;N396&amp;N393&amp;O396&amp;O393</f>
        <v>( 26.9 ± 0.5 ) °C</v>
      </c>
      <c r="R381" s="792"/>
      <c r="T381" s="612"/>
    </row>
    <row r="382" spans="1:20" ht="14.5" thickBot="1">
      <c r="A382" s="793">
        <f>VLOOKUP($A$373,$B$352:$F$371,2,FALSE)</f>
        <v>40</v>
      </c>
      <c r="B382" s="794">
        <f>VLOOKUP($A$373,$B$352:$F$371,3,FALSE)</f>
        <v>0.2</v>
      </c>
      <c r="C382" s="794">
        <f>VLOOKUP($A$373,$B$352:$F$371,4,FALSE)</f>
        <v>-0.7</v>
      </c>
      <c r="D382" s="795">
        <f>VLOOKUP($A$373,$B$352:$F$371,5,FALSE)</f>
        <v>0.44999999999999996</v>
      </c>
      <c r="E382" s="758"/>
      <c r="F382" s="793">
        <f>VLOOKUP($F$373,$I$352:$M$371,2,FALSE)</f>
        <v>90</v>
      </c>
      <c r="G382" s="794">
        <f>VLOOKUP($F$373,$I$352:$M$371,3,FALSE)</f>
        <v>0.3</v>
      </c>
      <c r="H382" s="794">
        <f>VLOOKUP($F$373,$I$352:$M$371,4,FALSE)</f>
        <v>-2</v>
      </c>
      <c r="I382" s="795">
        <f>VLOOKUP($F$373,$I$352:$M$371,5,FALSE)</f>
        <v>1.1499999999999999</v>
      </c>
      <c r="J382" s="758"/>
      <c r="K382" s="793">
        <f>VLOOKUP($K$373,$P$352:$T$371,2,FALSE)</f>
        <v>1020</v>
      </c>
      <c r="L382" s="794" t="str">
        <f>VLOOKUP($K$373,$P$352:$T$371,3,FALSE)</f>
        <v>-</v>
      </c>
      <c r="M382" s="794" t="str">
        <f>VLOOKUP($K$373,$P$352:$T$371,4,FALSE)</f>
        <v>-</v>
      </c>
      <c r="N382" s="795">
        <f>VLOOKUP($K$373,$P$352:$T$371,5,FALSE)</f>
        <v>0</v>
      </c>
      <c r="O382" s="251"/>
      <c r="P382" s="1329"/>
      <c r="Q382" s="796" t="str">
        <f>M396&amp;M394&amp;N396&amp;N394&amp;O396&amp;O394</f>
        <v>( 66.2 ± 3.1 ) %RH</v>
      </c>
      <c r="R382" s="797"/>
      <c r="T382" s="612"/>
    </row>
    <row r="383" spans="1:20" ht="14.5" thickBot="1">
      <c r="A383" s="798"/>
      <c r="B383" s="758"/>
      <c r="C383" s="758"/>
      <c r="D383" s="758"/>
      <c r="E383" s="758"/>
      <c r="F383" s="758"/>
      <c r="G383" s="758"/>
      <c r="H383" s="758"/>
      <c r="I383" s="758"/>
      <c r="J383" s="758"/>
      <c r="K383" s="758"/>
      <c r="L383" s="758"/>
      <c r="M383" s="758"/>
      <c r="N383" s="758"/>
      <c r="O383" s="251"/>
      <c r="P383" s="1330"/>
      <c r="Q383" s="799" t="str">
        <f>M396&amp;M395&amp;N396&amp;N395&amp;O396&amp;O395</f>
        <v>( 0.0 ± FALSE ) hPa</v>
      </c>
      <c r="R383" s="800"/>
      <c r="T383" s="612"/>
    </row>
    <row r="384" spans="1:20" ht="14.5" thickBot="1">
      <c r="A384" s="1311" t="s">
        <v>232</v>
      </c>
      <c r="B384" s="1312"/>
      <c r="C384" s="1312"/>
      <c r="D384" s="1313"/>
      <c r="E384" s="252"/>
      <c r="F384" s="1311" t="s">
        <v>231</v>
      </c>
      <c r="G384" s="1312"/>
      <c r="H384" s="1312"/>
      <c r="I384" s="1313"/>
      <c r="J384" s="758"/>
      <c r="K384" s="1311" t="s">
        <v>435</v>
      </c>
      <c r="L384" s="1312"/>
      <c r="M384" s="1312"/>
      <c r="N384" s="1313"/>
      <c r="O384" s="251"/>
      <c r="P384" s="801"/>
      <c r="T384" s="612"/>
    </row>
    <row r="385" spans="1:20" ht="13.5">
      <c r="A385" s="802"/>
      <c r="B385" s="803"/>
      <c r="C385" s="803"/>
      <c r="D385" s="804"/>
      <c r="E385" s="805"/>
      <c r="F385" s="806"/>
      <c r="G385" s="803"/>
      <c r="H385" s="803"/>
      <c r="I385" s="804"/>
      <c r="J385" s="758"/>
      <c r="K385" s="806"/>
      <c r="L385" s="803"/>
      <c r="M385" s="803"/>
      <c r="N385" s="804"/>
      <c r="O385" s="758"/>
      <c r="T385" s="612"/>
    </row>
    <row r="386" spans="1:20" ht="13">
      <c r="A386" s="807">
        <f>Q377</f>
        <v>26.55</v>
      </c>
      <c r="B386" s="808"/>
      <c r="C386" s="808"/>
      <c r="D386" s="809"/>
      <c r="E386" s="898">
        <f>(FORECAST(A386,B376:B382,A376:A382))</f>
        <v>0.33933976037735847</v>
      </c>
      <c r="F386" s="807">
        <f>Q378</f>
        <v>68.5</v>
      </c>
      <c r="G386" s="808"/>
      <c r="H386" s="808"/>
      <c r="I386" s="809"/>
      <c r="J386" s="899">
        <f>(FORECAST(F386,G376:G382,F376:F382))</f>
        <v>-2.2651785714285708</v>
      </c>
      <c r="K386" s="807">
        <f>Q379</f>
        <v>0</v>
      </c>
      <c r="L386" s="808"/>
      <c r="M386" s="808"/>
      <c r="N386" s="809"/>
      <c r="O386" s="899"/>
      <c r="T386" s="612"/>
    </row>
    <row r="387" spans="1:20" ht="13.5" thickBot="1">
      <c r="A387" s="810"/>
      <c r="B387" s="811"/>
      <c r="C387" s="812"/>
      <c r="D387" s="813"/>
      <c r="E387" s="814"/>
      <c r="F387" s="810"/>
      <c r="G387" s="811"/>
      <c r="H387" s="812"/>
      <c r="I387" s="813"/>
      <c r="J387" s="815"/>
      <c r="K387" s="810"/>
      <c r="L387" s="811"/>
      <c r="M387" s="812"/>
      <c r="N387" s="813"/>
      <c r="O387" s="815"/>
      <c r="P387" s="816"/>
      <c r="Q387" s="693"/>
      <c r="R387" s="693"/>
      <c r="S387" s="693"/>
      <c r="T387" s="817"/>
    </row>
    <row r="391" spans="1:20" ht="13" thickBot="1"/>
    <row r="392" spans="1:20" ht="13.5" thickBot="1">
      <c r="A392" s="1314" t="str">
        <f>ID!B98</f>
        <v>Thermohygrolight, Merek : KIMO, Model : KH-210-AO, SN : 14082463</v>
      </c>
      <c r="B392" s="1315"/>
      <c r="C392" s="1315"/>
      <c r="D392" s="1315"/>
      <c r="E392" s="1315"/>
      <c r="F392" s="1315"/>
      <c r="G392" s="1315"/>
      <c r="H392" s="1315"/>
      <c r="I392" s="1316"/>
      <c r="J392" s="1316"/>
      <c r="K392" s="1317"/>
      <c r="M392" s="1318" t="s">
        <v>238</v>
      </c>
      <c r="N392" s="1319"/>
      <c r="O392" s="1320"/>
    </row>
    <row r="393" spans="1:20" ht="15.5">
      <c r="A393" s="818" t="s">
        <v>539</v>
      </c>
      <c r="B393" s="819"/>
      <c r="C393" s="819"/>
      <c r="D393" s="820"/>
      <c r="E393" s="820"/>
      <c r="F393" s="820"/>
      <c r="G393" s="821"/>
      <c r="H393" s="822"/>
      <c r="I393" s="823">
        <f>D4</f>
        <v>2020</v>
      </c>
      <c r="J393" s="824">
        <f>E4</f>
        <v>2017</v>
      </c>
      <c r="K393" s="825">
        <v>1</v>
      </c>
      <c r="M393" s="662" t="str">
        <f>TEXT(R377,"0.0")</f>
        <v>26.9</v>
      </c>
      <c r="N393" s="664" t="str">
        <f>TEXT(T377,"0.0")</f>
        <v>0.5</v>
      </c>
      <c r="O393" s="826" t="s">
        <v>237</v>
      </c>
    </row>
    <row r="394" spans="1:20" ht="15.5">
      <c r="A394" s="818" t="s">
        <v>540</v>
      </c>
      <c r="B394" s="819"/>
      <c r="C394" s="819"/>
      <c r="D394" s="820"/>
      <c r="E394" s="820"/>
      <c r="F394" s="820"/>
      <c r="G394" s="821"/>
      <c r="H394" s="822"/>
      <c r="I394" s="827">
        <f>D15</f>
        <v>2021</v>
      </c>
      <c r="J394" s="828">
        <f>E15</f>
        <v>2018</v>
      </c>
      <c r="K394" s="825">
        <v>2</v>
      </c>
      <c r="M394" s="662" t="str">
        <f>TEXT(R378,"0.0")</f>
        <v>66.2</v>
      </c>
      <c r="N394" s="664" t="str">
        <f>TEXT(T378,"0.0")</f>
        <v>3.1</v>
      </c>
      <c r="O394" s="826" t="s">
        <v>236</v>
      </c>
    </row>
    <row r="395" spans="1:20" ht="15.5">
      <c r="A395" s="818" t="s">
        <v>230</v>
      </c>
      <c r="B395" s="819"/>
      <c r="C395" s="819"/>
      <c r="D395" s="820"/>
      <c r="E395" s="820"/>
      <c r="F395" s="820"/>
      <c r="G395" s="821"/>
      <c r="H395" s="822"/>
      <c r="I395" s="827">
        <f>D26</f>
        <v>2021</v>
      </c>
      <c r="J395" s="828">
        <f>E26</f>
        <v>2018</v>
      </c>
      <c r="K395" s="825">
        <v>3</v>
      </c>
      <c r="M395" s="662" t="str">
        <f>TEXT(R379,"0.0")</f>
        <v>0.0</v>
      </c>
      <c r="N395" s="664" t="str">
        <f>TEXT(T379,"0.0")</f>
        <v>FALSE</v>
      </c>
      <c r="O395" s="829" t="s">
        <v>436</v>
      </c>
    </row>
    <row r="396" spans="1:20" ht="16" thickBot="1">
      <c r="A396" s="818" t="s">
        <v>541</v>
      </c>
      <c r="B396" s="819"/>
      <c r="C396" s="819"/>
      <c r="D396" s="820"/>
      <c r="E396" s="820"/>
      <c r="F396" s="820"/>
      <c r="G396" s="821"/>
      <c r="H396" s="822"/>
      <c r="I396" s="827">
        <f>D37</f>
        <v>2019</v>
      </c>
      <c r="J396" s="828">
        <f>E37</f>
        <v>2017</v>
      </c>
      <c r="K396" s="825">
        <v>4</v>
      </c>
      <c r="M396" s="830" t="s">
        <v>235</v>
      </c>
      <c r="N396" s="831" t="s">
        <v>234</v>
      </c>
      <c r="O396" s="832" t="s">
        <v>233</v>
      </c>
    </row>
    <row r="397" spans="1:20" ht="13">
      <c r="A397" s="818" t="s">
        <v>542</v>
      </c>
      <c r="B397" s="819"/>
      <c r="C397" s="819"/>
      <c r="D397" s="820"/>
      <c r="E397" s="820"/>
      <c r="F397" s="820"/>
      <c r="G397" s="821"/>
      <c r="H397" s="822"/>
      <c r="I397" s="827">
        <f>D48</f>
        <v>2020</v>
      </c>
      <c r="J397" s="828">
        <f>E48</f>
        <v>2017</v>
      </c>
      <c r="K397" s="825">
        <v>5</v>
      </c>
    </row>
    <row r="398" spans="1:20" ht="13">
      <c r="A398" s="818" t="s">
        <v>229</v>
      </c>
      <c r="B398" s="819"/>
      <c r="C398" s="819"/>
      <c r="D398" s="820"/>
      <c r="E398" s="820"/>
      <c r="F398" s="820"/>
      <c r="G398" s="821"/>
      <c r="H398" s="822"/>
      <c r="I398" s="827">
        <f>D59</f>
        <v>2019</v>
      </c>
      <c r="J398" s="828">
        <f>E59</f>
        <v>2018</v>
      </c>
      <c r="K398" s="825">
        <v>6</v>
      </c>
    </row>
    <row r="399" spans="1:20" ht="13">
      <c r="A399" s="818" t="s">
        <v>228</v>
      </c>
      <c r="B399" s="819"/>
      <c r="C399" s="819"/>
      <c r="D399" s="820"/>
      <c r="E399" s="820"/>
      <c r="F399" s="820"/>
      <c r="G399" s="821"/>
      <c r="H399" s="822"/>
      <c r="I399" s="827">
        <f>D70</f>
        <v>2021</v>
      </c>
      <c r="J399" s="828">
        <f>E70</f>
        <v>2018</v>
      </c>
      <c r="K399" s="825">
        <v>7</v>
      </c>
    </row>
    <row r="400" spans="1:20" ht="13">
      <c r="A400" s="818" t="s">
        <v>397</v>
      </c>
      <c r="B400" s="819"/>
      <c r="C400" s="819"/>
      <c r="D400" s="820"/>
      <c r="E400" s="820"/>
      <c r="F400" s="820"/>
      <c r="G400" s="821"/>
      <c r="H400" s="822"/>
      <c r="I400" s="827">
        <f>D81</f>
        <v>2021</v>
      </c>
      <c r="J400" s="828">
        <f>E81</f>
        <v>2019</v>
      </c>
      <c r="K400" s="825">
        <v>8</v>
      </c>
    </row>
    <row r="401" spans="1:11" ht="13">
      <c r="A401" s="818" t="s">
        <v>227</v>
      </c>
      <c r="B401" s="819"/>
      <c r="C401" s="819"/>
      <c r="D401" s="820"/>
      <c r="E401" s="820"/>
      <c r="F401" s="820"/>
      <c r="G401" s="821"/>
      <c r="H401" s="822"/>
      <c r="I401" s="827">
        <f>D92</f>
        <v>2019</v>
      </c>
      <c r="J401" s="828" t="str">
        <f>E92</f>
        <v>-</v>
      </c>
      <c r="K401" s="825">
        <v>9</v>
      </c>
    </row>
    <row r="402" spans="1:11" ht="13">
      <c r="A402" s="818" t="s">
        <v>226</v>
      </c>
      <c r="B402" s="819"/>
      <c r="C402" s="819"/>
      <c r="D402" s="820"/>
      <c r="E402" s="820"/>
      <c r="F402" s="820"/>
      <c r="G402" s="821"/>
      <c r="H402" s="822"/>
      <c r="I402" s="827">
        <f>D103</f>
        <v>2019</v>
      </c>
      <c r="J402" s="828">
        <f>E103</f>
        <v>2016</v>
      </c>
      <c r="K402" s="825">
        <v>10</v>
      </c>
    </row>
    <row r="403" spans="1:11" ht="13">
      <c r="A403" s="818" t="s">
        <v>225</v>
      </c>
      <c r="B403" s="819"/>
      <c r="C403" s="819"/>
      <c r="D403" s="820"/>
      <c r="E403" s="820"/>
      <c r="F403" s="820"/>
      <c r="G403" s="821"/>
      <c r="H403" s="822"/>
      <c r="I403" s="827">
        <f>D114</f>
        <v>2020</v>
      </c>
      <c r="J403" s="828">
        <f>E114</f>
        <v>2016</v>
      </c>
      <c r="K403" s="825">
        <v>11</v>
      </c>
    </row>
    <row r="404" spans="1:11" ht="13">
      <c r="A404" s="818" t="s">
        <v>437</v>
      </c>
      <c r="B404" s="819"/>
      <c r="C404" s="819"/>
      <c r="D404" s="820"/>
      <c r="E404" s="820"/>
      <c r="F404" s="820"/>
      <c r="G404" s="821"/>
      <c r="H404" s="822"/>
      <c r="I404" s="827">
        <f>D125</f>
        <v>2020</v>
      </c>
      <c r="J404" s="828" t="str">
        <f>E125</f>
        <v>-</v>
      </c>
      <c r="K404" s="825">
        <v>12</v>
      </c>
    </row>
    <row r="405" spans="1:11" ht="13">
      <c r="A405" s="818" t="s">
        <v>438</v>
      </c>
      <c r="B405" s="833"/>
      <c r="C405" s="833"/>
      <c r="D405" s="834"/>
      <c r="E405" s="834"/>
      <c r="F405" s="834"/>
      <c r="G405" s="835"/>
      <c r="H405" s="836"/>
      <c r="I405" s="827">
        <f>D136</f>
        <v>2020</v>
      </c>
      <c r="J405" s="828" t="str">
        <f>E136</f>
        <v>-</v>
      </c>
      <c r="K405" s="825">
        <v>13</v>
      </c>
    </row>
    <row r="406" spans="1:11" ht="13">
      <c r="A406" s="818" t="s">
        <v>439</v>
      </c>
      <c r="B406" s="833"/>
      <c r="C406" s="833"/>
      <c r="D406" s="834"/>
      <c r="E406" s="834"/>
      <c r="F406" s="834"/>
      <c r="G406" s="835"/>
      <c r="H406" s="836"/>
      <c r="I406" s="827">
        <f>D147</f>
        <v>2020</v>
      </c>
      <c r="J406" s="828" t="str">
        <f>E147</f>
        <v>-</v>
      </c>
      <c r="K406" s="825">
        <v>14</v>
      </c>
    </row>
    <row r="407" spans="1:11" ht="13">
      <c r="A407" s="818" t="s">
        <v>440</v>
      </c>
      <c r="B407" s="833"/>
      <c r="C407" s="833"/>
      <c r="D407" s="834"/>
      <c r="E407" s="834"/>
      <c r="F407" s="834"/>
      <c r="G407" s="835"/>
      <c r="H407" s="836"/>
      <c r="I407" s="827">
        <f>D158</f>
        <v>2020</v>
      </c>
      <c r="J407" s="828" t="str">
        <f>E158</f>
        <v>-</v>
      </c>
      <c r="K407" s="825">
        <v>15</v>
      </c>
    </row>
    <row r="408" spans="1:11" ht="13">
      <c r="A408" s="818" t="s">
        <v>441</v>
      </c>
      <c r="B408" s="833"/>
      <c r="C408" s="833"/>
      <c r="D408" s="834"/>
      <c r="E408" s="834"/>
      <c r="F408" s="834"/>
      <c r="G408" s="835"/>
      <c r="H408" s="836"/>
      <c r="I408" s="827">
        <f>D169</f>
        <v>2020</v>
      </c>
      <c r="J408" s="828" t="str">
        <f>E169</f>
        <v>-</v>
      </c>
      <c r="K408" s="825">
        <v>16</v>
      </c>
    </row>
    <row r="409" spans="1:11" ht="13">
      <c r="A409" s="818" t="s">
        <v>442</v>
      </c>
      <c r="B409" s="833"/>
      <c r="C409" s="833"/>
      <c r="D409" s="834"/>
      <c r="E409" s="834"/>
      <c r="F409" s="834"/>
      <c r="G409" s="835"/>
      <c r="H409" s="836"/>
      <c r="I409" s="827">
        <f>D180</f>
        <v>2020</v>
      </c>
      <c r="J409" s="828" t="str">
        <f>E180</f>
        <v>-</v>
      </c>
      <c r="K409" s="825">
        <v>17</v>
      </c>
    </row>
    <row r="410" spans="1:11" ht="13">
      <c r="A410" s="818" t="s">
        <v>443</v>
      </c>
      <c r="B410" s="833"/>
      <c r="C410" s="833"/>
      <c r="D410" s="834"/>
      <c r="E410" s="834"/>
      <c r="F410" s="834"/>
      <c r="G410" s="835"/>
      <c r="H410" s="836"/>
      <c r="I410" s="827">
        <f>D191</f>
        <v>2020</v>
      </c>
      <c r="J410" s="828" t="str">
        <f>E191</f>
        <v>-</v>
      </c>
      <c r="K410" s="825">
        <v>18</v>
      </c>
    </row>
    <row r="411" spans="1:11" ht="13">
      <c r="A411" s="818" t="s">
        <v>444</v>
      </c>
      <c r="B411" s="833"/>
      <c r="C411" s="833"/>
      <c r="D411" s="834"/>
      <c r="E411" s="834"/>
      <c r="F411" s="834"/>
      <c r="G411" s="835"/>
      <c r="H411" s="836"/>
      <c r="I411" s="827">
        <v>2021</v>
      </c>
      <c r="J411" s="828" t="str">
        <f>E202</f>
        <v>-</v>
      </c>
      <c r="K411" s="825">
        <v>19</v>
      </c>
    </row>
    <row r="412" spans="1:11" ht="13.5" thickBot="1">
      <c r="A412" s="837">
        <v>20</v>
      </c>
      <c r="B412" s="833"/>
      <c r="C412" s="833"/>
      <c r="D412" s="834"/>
      <c r="E412" s="834"/>
      <c r="F412" s="834"/>
      <c r="G412" s="835"/>
      <c r="H412" s="836"/>
      <c r="I412" s="838">
        <f>D213</f>
        <v>2017</v>
      </c>
      <c r="J412" s="839" t="str">
        <f>E213</f>
        <v>-</v>
      </c>
      <c r="K412" s="825">
        <v>20</v>
      </c>
    </row>
    <row r="413" spans="1:11" ht="13.5" thickBot="1">
      <c r="A413" s="1321">
        <f>VLOOKUP(A392,A393:K412,11,(FALSE))</f>
        <v>3</v>
      </c>
      <c r="B413" s="1322"/>
      <c r="C413" s="1322"/>
      <c r="D413" s="1322"/>
      <c r="E413" s="1322"/>
      <c r="F413" s="1322"/>
      <c r="G413" s="1322"/>
      <c r="H413" s="1322"/>
      <c r="I413" s="1323"/>
      <c r="J413" s="1323"/>
      <c r="K413" s="1324"/>
    </row>
  </sheetData>
  <sheetProtection formatCells="0" formatColumns="0" formatRows="0" insertColumns="0" insertRows="0" insertHyperlinks="0" deleteColumns="0" deleteRows="0" sort="0" autoFilter="0" pivotTables="0"/>
  <mergeCells count="406">
    <mergeCell ref="J3:K3"/>
    <mergeCell ref="L3:L4"/>
    <mergeCell ref="N3:O3"/>
    <mergeCell ref="P3:Q3"/>
    <mergeCell ref="R3:R4"/>
    <mergeCell ref="B4:C4"/>
    <mergeCell ref="H4:I4"/>
    <mergeCell ref="N4:O4"/>
    <mergeCell ref="A1:U1"/>
    <mergeCell ref="A2:A11"/>
    <mergeCell ref="B2:F2"/>
    <mergeCell ref="H2:L2"/>
    <mergeCell ref="N2:R2"/>
    <mergeCell ref="T2:U2"/>
    <mergeCell ref="B3:C3"/>
    <mergeCell ref="D3:E3"/>
    <mergeCell ref="F3:F4"/>
    <mergeCell ref="H3:I3"/>
    <mergeCell ref="A13:A22"/>
    <mergeCell ref="B13:F13"/>
    <mergeCell ref="H13:L13"/>
    <mergeCell ref="N13:R13"/>
    <mergeCell ref="T13:U13"/>
    <mergeCell ref="B14:C14"/>
    <mergeCell ref="D14:E14"/>
    <mergeCell ref="F14:F15"/>
    <mergeCell ref="H14:I14"/>
    <mergeCell ref="J14:K14"/>
    <mergeCell ref="F25:F26"/>
    <mergeCell ref="H25:I25"/>
    <mergeCell ref="J25:K25"/>
    <mergeCell ref="L14:L15"/>
    <mergeCell ref="N14:O14"/>
    <mergeCell ref="P14:Q14"/>
    <mergeCell ref="R14:R15"/>
    <mergeCell ref="B15:C15"/>
    <mergeCell ref="H15:I15"/>
    <mergeCell ref="N15:O15"/>
    <mergeCell ref="L25:L26"/>
    <mergeCell ref="N25:O25"/>
    <mergeCell ref="P25:Q25"/>
    <mergeCell ref="R25:R26"/>
    <mergeCell ref="B26:C26"/>
    <mergeCell ref="H26:I26"/>
    <mergeCell ref="N26:O26"/>
    <mergeCell ref="A24:A33"/>
    <mergeCell ref="B24:F24"/>
    <mergeCell ref="H24:L24"/>
    <mergeCell ref="N24:R24"/>
    <mergeCell ref="N36:O36"/>
    <mergeCell ref="P36:Q36"/>
    <mergeCell ref="R36:R37"/>
    <mergeCell ref="T36:U36"/>
    <mergeCell ref="B37:C37"/>
    <mergeCell ref="H37:I37"/>
    <mergeCell ref="N37:O37"/>
    <mergeCell ref="A35:A44"/>
    <mergeCell ref="B35:F35"/>
    <mergeCell ref="H35:L35"/>
    <mergeCell ref="N35:R35"/>
    <mergeCell ref="B36:C36"/>
    <mergeCell ref="D36:E36"/>
    <mergeCell ref="F36:F37"/>
    <mergeCell ref="H36:I36"/>
    <mergeCell ref="J36:K36"/>
    <mergeCell ref="L36:L37"/>
    <mergeCell ref="T24:U24"/>
    <mergeCell ref="B25:C25"/>
    <mergeCell ref="D25:E25"/>
    <mergeCell ref="A57:A66"/>
    <mergeCell ref="B57:F57"/>
    <mergeCell ref="H57:L57"/>
    <mergeCell ref="N57:R57"/>
    <mergeCell ref="A46:A55"/>
    <mergeCell ref="B46:F46"/>
    <mergeCell ref="H46:L46"/>
    <mergeCell ref="N46:R46"/>
    <mergeCell ref="T46:U46"/>
    <mergeCell ref="B47:C47"/>
    <mergeCell ref="D47:E47"/>
    <mergeCell ref="F47:F48"/>
    <mergeCell ref="H47:I47"/>
    <mergeCell ref="J47:K47"/>
    <mergeCell ref="L47:L48"/>
    <mergeCell ref="N47:O47"/>
    <mergeCell ref="P47:Q47"/>
    <mergeCell ref="R47:R48"/>
    <mergeCell ref="B48:C48"/>
    <mergeCell ref="H48:I48"/>
    <mergeCell ref="N48:O48"/>
    <mergeCell ref="F69:F70"/>
    <mergeCell ref="H69:I69"/>
    <mergeCell ref="J69:K69"/>
    <mergeCell ref="L58:L59"/>
    <mergeCell ref="N58:O58"/>
    <mergeCell ref="P58:Q58"/>
    <mergeCell ref="R58:R59"/>
    <mergeCell ref="B59:C59"/>
    <mergeCell ref="H59:I59"/>
    <mergeCell ref="N59:O59"/>
    <mergeCell ref="A79:A88"/>
    <mergeCell ref="B79:F79"/>
    <mergeCell ref="H79:L79"/>
    <mergeCell ref="N79:R79"/>
    <mergeCell ref="T57:U57"/>
    <mergeCell ref="B58:C58"/>
    <mergeCell ref="D58:E58"/>
    <mergeCell ref="F58:F59"/>
    <mergeCell ref="H58:I58"/>
    <mergeCell ref="J58:K58"/>
    <mergeCell ref="L69:L70"/>
    <mergeCell ref="N69:O69"/>
    <mergeCell ref="P69:Q69"/>
    <mergeCell ref="R69:R70"/>
    <mergeCell ref="B70:C70"/>
    <mergeCell ref="H70:I70"/>
    <mergeCell ref="N70:O70"/>
    <mergeCell ref="A68:A77"/>
    <mergeCell ref="B68:F68"/>
    <mergeCell ref="H68:L68"/>
    <mergeCell ref="N68:R68"/>
    <mergeCell ref="T68:U68"/>
    <mergeCell ref="B69:C69"/>
    <mergeCell ref="D69:E69"/>
    <mergeCell ref="F91:F92"/>
    <mergeCell ref="H91:I91"/>
    <mergeCell ref="J91:K91"/>
    <mergeCell ref="L80:L81"/>
    <mergeCell ref="N80:O80"/>
    <mergeCell ref="P80:Q80"/>
    <mergeCell ref="R80:R81"/>
    <mergeCell ref="B81:C81"/>
    <mergeCell ref="H81:I81"/>
    <mergeCell ref="N81:O81"/>
    <mergeCell ref="A101:A110"/>
    <mergeCell ref="B101:F101"/>
    <mergeCell ref="H101:L101"/>
    <mergeCell ref="N101:R101"/>
    <mergeCell ref="T79:U79"/>
    <mergeCell ref="B80:C80"/>
    <mergeCell ref="D80:E80"/>
    <mergeCell ref="F80:F81"/>
    <mergeCell ref="H80:I80"/>
    <mergeCell ref="J80:K80"/>
    <mergeCell ref="L91:L92"/>
    <mergeCell ref="N91:O91"/>
    <mergeCell ref="P91:Q91"/>
    <mergeCell ref="R91:R92"/>
    <mergeCell ref="B92:C92"/>
    <mergeCell ref="H92:I92"/>
    <mergeCell ref="N92:O92"/>
    <mergeCell ref="A90:A99"/>
    <mergeCell ref="B90:F90"/>
    <mergeCell ref="H90:L90"/>
    <mergeCell ref="N90:R90"/>
    <mergeCell ref="T90:U90"/>
    <mergeCell ref="B91:C91"/>
    <mergeCell ref="D91:E91"/>
    <mergeCell ref="F113:F114"/>
    <mergeCell ref="H113:I113"/>
    <mergeCell ref="J113:K113"/>
    <mergeCell ref="L102:L103"/>
    <mergeCell ref="N102:O102"/>
    <mergeCell ref="P102:Q102"/>
    <mergeCell ref="R102:R103"/>
    <mergeCell ref="B103:C103"/>
    <mergeCell ref="H103:I103"/>
    <mergeCell ref="N103:O103"/>
    <mergeCell ref="A123:A132"/>
    <mergeCell ref="B123:F123"/>
    <mergeCell ref="H123:L123"/>
    <mergeCell ref="N123:R123"/>
    <mergeCell ref="T101:U101"/>
    <mergeCell ref="B102:C102"/>
    <mergeCell ref="D102:E102"/>
    <mergeCell ref="F102:F103"/>
    <mergeCell ref="H102:I102"/>
    <mergeCell ref="J102:K102"/>
    <mergeCell ref="L113:L114"/>
    <mergeCell ref="N113:O113"/>
    <mergeCell ref="P113:Q113"/>
    <mergeCell ref="R113:R114"/>
    <mergeCell ref="B114:C114"/>
    <mergeCell ref="H114:I114"/>
    <mergeCell ref="N114:O114"/>
    <mergeCell ref="A112:A121"/>
    <mergeCell ref="B112:F112"/>
    <mergeCell ref="H112:L112"/>
    <mergeCell ref="N112:R112"/>
    <mergeCell ref="T112:U112"/>
    <mergeCell ref="B113:C113"/>
    <mergeCell ref="D113:E113"/>
    <mergeCell ref="F135:F136"/>
    <mergeCell ref="H135:I135"/>
    <mergeCell ref="J135:K135"/>
    <mergeCell ref="L124:L125"/>
    <mergeCell ref="N124:O124"/>
    <mergeCell ref="P124:Q124"/>
    <mergeCell ref="R124:R125"/>
    <mergeCell ref="B125:C125"/>
    <mergeCell ref="H125:I125"/>
    <mergeCell ref="N125:O125"/>
    <mergeCell ref="A145:A154"/>
    <mergeCell ref="B145:F145"/>
    <mergeCell ref="H145:L145"/>
    <mergeCell ref="N145:R145"/>
    <mergeCell ref="T123:U123"/>
    <mergeCell ref="B124:C124"/>
    <mergeCell ref="D124:E124"/>
    <mergeCell ref="F124:F125"/>
    <mergeCell ref="H124:I124"/>
    <mergeCell ref="J124:K124"/>
    <mergeCell ref="L135:L136"/>
    <mergeCell ref="N135:O135"/>
    <mergeCell ref="P135:Q135"/>
    <mergeCell ref="R135:R136"/>
    <mergeCell ref="B136:C136"/>
    <mergeCell ref="H136:I136"/>
    <mergeCell ref="N136:O136"/>
    <mergeCell ref="A134:A143"/>
    <mergeCell ref="B134:F134"/>
    <mergeCell ref="H134:L134"/>
    <mergeCell ref="N134:R134"/>
    <mergeCell ref="T134:U134"/>
    <mergeCell ref="B135:C135"/>
    <mergeCell ref="D135:E135"/>
    <mergeCell ref="F157:F158"/>
    <mergeCell ref="H157:I157"/>
    <mergeCell ref="J157:K157"/>
    <mergeCell ref="L146:L147"/>
    <mergeCell ref="N146:O146"/>
    <mergeCell ref="P146:Q146"/>
    <mergeCell ref="R146:R147"/>
    <mergeCell ref="B147:C147"/>
    <mergeCell ref="H147:I147"/>
    <mergeCell ref="N147:O147"/>
    <mergeCell ref="A167:A176"/>
    <mergeCell ref="B167:F167"/>
    <mergeCell ref="H167:L167"/>
    <mergeCell ref="N167:R167"/>
    <mergeCell ref="T145:U145"/>
    <mergeCell ref="B146:C146"/>
    <mergeCell ref="D146:E146"/>
    <mergeCell ref="F146:F147"/>
    <mergeCell ref="H146:I146"/>
    <mergeCell ref="J146:K146"/>
    <mergeCell ref="L157:L158"/>
    <mergeCell ref="N157:O157"/>
    <mergeCell ref="P157:Q157"/>
    <mergeCell ref="R157:R158"/>
    <mergeCell ref="B158:C158"/>
    <mergeCell ref="H158:I158"/>
    <mergeCell ref="N158:O158"/>
    <mergeCell ref="A156:A165"/>
    <mergeCell ref="B156:F156"/>
    <mergeCell ref="H156:L156"/>
    <mergeCell ref="N156:R156"/>
    <mergeCell ref="T156:U156"/>
    <mergeCell ref="B157:C157"/>
    <mergeCell ref="D157:E157"/>
    <mergeCell ref="F179:F180"/>
    <mergeCell ref="H179:I179"/>
    <mergeCell ref="J179:K179"/>
    <mergeCell ref="L168:L169"/>
    <mergeCell ref="N168:O168"/>
    <mergeCell ref="P168:Q168"/>
    <mergeCell ref="R168:R169"/>
    <mergeCell ref="B169:C169"/>
    <mergeCell ref="H169:I169"/>
    <mergeCell ref="N169:O169"/>
    <mergeCell ref="A189:A198"/>
    <mergeCell ref="B189:F189"/>
    <mergeCell ref="H189:L189"/>
    <mergeCell ref="N189:R189"/>
    <mergeCell ref="T167:U167"/>
    <mergeCell ref="B168:C168"/>
    <mergeCell ref="D168:E168"/>
    <mergeCell ref="F168:F169"/>
    <mergeCell ref="H168:I168"/>
    <mergeCell ref="J168:K168"/>
    <mergeCell ref="L179:L180"/>
    <mergeCell ref="N179:O179"/>
    <mergeCell ref="P179:Q179"/>
    <mergeCell ref="R179:R180"/>
    <mergeCell ref="B180:C180"/>
    <mergeCell ref="H180:I180"/>
    <mergeCell ref="N180:O180"/>
    <mergeCell ref="A178:A187"/>
    <mergeCell ref="B178:F178"/>
    <mergeCell ref="H178:L178"/>
    <mergeCell ref="N178:R178"/>
    <mergeCell ref="T178:U178"/>
    <mergeCell ref="B179:C179"/>
    <mergeCell ref="D179:E179"/>
    <mergeCell ref="F201:F202"/>
    <mergeCell ref="H201:I201"/>
    <mergeCell ref="J201:K201"/>
    <mergeCell ref="L190:L191"/>
    <mergeCell ref="N190:O190"/>
    <mergeCell ref="P190:Q190"/>
    <mergeCell ref="R190:R191"/>
    <mergeCell ref="B191:C191"/>
    <mergeCell ref="H191:I191"/>
    <mergeCell ref="N191:O191"/>
    <mergeCell ref="A211:A220"/>
    <mergeCell ref="B211:F211"/>
    <mergeCell ref="H211:L211"/>
    <mergeCell ref="N211:R211"/>
    <mergeCell ref="T189:U189"/>
    <mergeCell ref="B190:C190"/>
    <mergeCell ref="D190:E190"/>
    <mergeCell ref="F190:F191"/>
    <mergeCell ref="H190:I190"/>
    <mergeCell ref="J190:K190"/>
    <mergeCell ref="L201:L202"/>
    <mergeCell ref="N201:O201"/>
    <mergeCell ref="P201:Q201"/>
    <mergeCell ref="R201:R202"/>
    <mergeCell ref="B202:C202"/>
    <mergeCell ref="H202:I202"/>
    <mergeCell ref="N202:O202"/>
    <mergeCell ref="A200:A209"/>
    <mergeCell ref="B200:F200"/>
    <mergeCell ref="H200:L200"/>
    <mergeCell ref="N200:R200"/>
    <mergeCell ref="T200:U200"/>
    <mergeCell ref="B201:C201"/>
    <mergeCell ref="D201:E201"/>
    <mergeCell ref="A223:A225"/>
    <mergeCell ref="B223:B225"/>
    <mergeCell ref="C223:F223"/>
    <mergeCell ref="H223:H225"/>
    <mergeCell ref="I223:I225"/>
    <mergeCell ref="J223:M223"/>
    <mergeCell ref="O223:O225"/>
    <mergeCell ref="P223:P225"/>
    <mergeCell ref="Q223:T223"/>
    <mergeCell ref="T211:U211"/>
    <mergeCell ref="B212:C212"/>
    <mergeCell ref="D212:E212"/>
    <mergeCell ref="F212:F213"/>
    <mergeCell ref="H212:I212"/>
    <mergeCell ref="J212:K212"/>
    <mergeCell ref="V223:W223"/>
    <mergeCell ref="D224:E224"/>
    <mergeCell ref="F224:F225"/>
    <mergeCell ref="K224:L224"/>
    <mergeCell ref="M224:M225"/>
    <mergeCell ref="R224:S224"/>
    <mergeCell ref="T224:T225"/>
    <mergeCell ref="V224:W224"/>
    <mergeCell ref="B221:U221"/>
    <mergeCell ref="L212:L213"/>
    <mergeCell ref="N212:O212"/>
    <mergeCell ref="P212:Q212"/>
    <mergeCell ref="R212:R213"/>
    <mergeCell ref="B213:C213"/>
    <mergeCell ref="H213:I213"/>
    <mergeCell ref="N213:O213"/>
    <mergeCell ref="V247:W247"/>
    <mergeCell ref="V248:W248"/>
    <mergeCell ref="A268:A287"/>
    <mergeCell ref="H268:H287"/>
    <mergeCell ref="O268:O287"/>
    <mergeCell ref="V271:W271"/>
    <mergeCell ref="V272:W272"/>
    <mergeCell ref="A226:A245"/>
    <mergeCell ref="H226:H245"/>
    <mergeCell ref="O226:O245"/>
    <mergeCell ref="A247:A266"/>
    <mergeCell ref="H247:H266"/>
    <mergeCell ref="O247:O266"/>
    <mergeCell ref="A331:A350"/>
    <mergeCell ref="H331:H350"/>
    <mergeCell ref="O331:O350"/>
    <mergeCell ref="A352:A371"/>
    <mergeCell ref="H352:H371"/>
    <mergeCell ref="O352:O371"/>
    <mergeCell ref="A289:A308"/>
    <mergeCell ref="H289:H308"/>
    <mergeCell ref="O289:O308"/>
    <mergeCell ref="A310:A329"/>
    <mergeCell ref="H310:H329"/>
    <mergeCell ref="O310:O329"/>
    <mergeCell ref="S374:S376"/>
    <mergeCell ref="T374:T376"/>
    <mergeCell ref="P381:P383"/>
    <mergeCell ref="B373:D373"/>
    <mergeCell ref="G373:I373"/>
    <mergeCell ref="L373:N373"/>
    <mergeCell ref="Q373:T373"/>
    <mergeCell ref="B374:C374"/>
    <mergeCell ref="D374:D375"/>
    <mergeCell ref="G374:H374"/>
    <mergeCell ref="I374:I375"/>
    <mergeCell ref="L374:M374"/>
    <mergeCell ref="N374:N375"/>
    <mergeCell ref="A384:D384"/>
    <mergeCell ref="F384:I384"/>
    <mergeCell ref="K384:N384"/>
    <mergeCell ref="A392:K392"/>
    <mergeCell ref="M392:O392"/>
    <mergeCell ref="A413:K413"/>
    <mergeCell ref="P374:P376"/>
    <mergeCell ref="Q374:Q376"/>
    <mergeCell ref="R374:R376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>
    <tabColor rgb="FFFF0000"/>
  </sheetPr>
  <dimension ref="A1:T123"/>
  <sheetViews>
    <sheetView topLeftCell="E91" zoomScale="85" zoomScaleNormal="85" workbookViewId="0">
      <selection activeCell="J90" sqref="J90"/>
    </sheetView>
  </sheetViews>
  <sheetFormatPr defaultRowHeight="12.5"/>
  <cols>
    <col min="1" max="1" width="18.453125" customWidth="1"/>
    <col min="2" max="2" width="11.08984375" customWidth="1"/>
    <col min="3" max="3" width="10.90625" customWidth="1"/>
    <col min="4" max="6" width="11.08984375" customWidth="1"/>
    <col min="7" max="7" width="11.54296875" customWidth="1"/>
    <col min="8" max="8" width="19.90625" customWidth="1"/>
    <col min="9" max="9" width="11.90625" customWidth="1"/>
    <col min="11" max="13" width="11.90625" customWidth="1"/>
    <col min="15" max="15" width="22.08984375" customWidth="1"/>
    <col min="16" max="16" width="11.08984375" customWidth="1"/>
    <col min="18" max="20" width="11.08984375" customWidth="1"/>
  </cols>
  <sheetData>
    <row r="1" spans="1:20" ht="28">
      <c r="A1" s="645" t="s">
        <v>200</v>
      </c>
      <c r="B1" s="645"/>
      <c r="D1" s="645"/>
      <c r="E1" s="645"/>
    </row>
    <row r="2" spans="1:20" s="450" customFormat="1" ht="30.75" customHeight="1" thickBot="1">
      <c r="A2" s="1401" t="s">
        <v>357</v>
      </c>
      <c r="B2" s="1401"/>
      <c r="C2" s="1401"/>
      <c r="D2" s="1401"/>
      <c r="E2" s="1401"/>
      <c r="F2" s="1401"/>
      <c r="H2" s="1401" t="s">
        <v>320</v>
      </c>
      <c r="I2" s="1401"/>
      <c r="J2" s="1401"/>
      <c r="K2" s="1401"/>
      <c r="L2" s="1401"/>
      <c r="M2" s="1401"/>
      <c r="O2" s="1397" t="s">
        <v>388</v>
      </c>
      <c r="P2" s="1397"/>
      <c r="Q2" s="1397"/>
      <c r="R2" s="1397"/>
      <c r="S2" s="1397"/>
      <c r="T2" s="1397"/>
    </row>
    <row r="3" spans="1:20" ht="14">
      <c r="A3" s="1404" t="s">
        <v>201</v>
      </c>
      <c r="B3" s="1405"/>
      <c r="C3" s="1405"/>
      <c r="D3" s="1406"/>
      <c r="E3" s="633" t="s">
        <v>74</v>
      </c>
      <c r="F3" s="636" t="s">
        <v>176</v>
      </c>
      <c r="H3" s="1404" t="s">
        <v>201</v>
      </c>
      <c r="I3" s="1405"/>
      <c r="J3" s="1405"/>
      <c r="K3" s="1406"/>
      <c r="L3" s="633" t="s">
        <v>74</v>
      </c>
      <c r="M3" s="636" t="s">
        <v>176</v>
      </c>
      <c r="O3" s="1404" t="s">
        <v>201</v>
      </c>
      <c r="P3" s="1405"/>
      <c r="Q3" s="1405"/>
      <c r="R3" s="1406"/>
      <c r="S3" s="633" t="s">
        <v>74</v>
      </c>
      <c r="T3" s="636" t="s">
        <v>176</v>
      </c>
    </row>
    <row r="4" spans="1:20" ht="13">
      <c r="A4" s="646" t="s">
        <v>202</v>
      </c>
      <c r="B4" s="1403" t="s">
        <v>75</v>
      </c>
      <c r="C4" s="1403"/>
      <c r="D4" s="1403"/>
      <c r="E4" s="634"/>
      <c r="F4" s="637"/>
      <c r="H4" s="646" t="s">
        <v>202</v>
      </c>
      <c r="I4" s="1403" t="s">
        <v>75</v>
      </c>
      <c r="J4" s="1403"/>
      <c r="K4" s="1403"/>
      <c r="L4" s="634"/>
      <c r="M4" s="637"/>
      <c r="O4" s="646" t="s">
        <v>202</v>
      </c>
      <c r="P4" s="1403" t="s">
        <v>75</v>
      </c>
      <c r="Q4" s="1403"/>
      <c r="R4" s="1403"/>
      <c r="S4" s="634"/>
      <c r="T4" s="637"/>
    </row>
    <row r="5" spans="1:20" ht="14">
      <c r="A5" s="647" t="s">
        <v>203</v>
      </c>
      <c r="B5" s="646">
        <v>2015</v>
      </c>
      <c r="C5" s="646">
        <v>2015</v>
      </c>
      <c r="D5" s="646">
        <v>2016</v>
      </c>
      <c r="E5" s="635"/>
      <c r="F5" s="638"/>
      <c r="H5" s="179" t="s">
        <v>203</v>
      </c>
      <c r="I5" s="646">
        <v>2015</v>
      </c>
      <c r="J5" s="646">
        <v>2015</v>
      </c>
      <c r="K5" s="315">
        <v>2018</v>
      </c>
      <c r="L5" s="635"/>
      <c r="M5" s="638"/>
      <c r="O5" s="179" t="s">
        <v>203</v>
      </c>
      <c r="P5" s="646">
        <v>2019</v>
      </c>
      <c r="Q5" s="646">
        <v>2019</v>
      </c>
      <c r="R5" s="315">
        <v>2020</v>
      </c>
      <c r="S5" s="635"/>
      <c r="T5" s="638"/>
    </row>
    <row r="6" spans="1:20">
      <c r="A6" s="658">
        <v>0</v>
      </c>
      <c r="B6" s="659" t="s">
        <v>62</v>
      </c>
      <c r="C6" s="659" t="s">
        <v>62</v>
      </c>
      <c r="D6" s="659">
        <v>-0.1</v>
      </c>
      <c r="E6" s="27">
        <f>0.5*(MAX(B6:D6)-MIN(B6:D6))</f>
        <v>0</v>
      </c>
      <c r="F6" s="211">
        <v>0.1</v>
      </c>
      <c r="H6" s="212">
        <v>0</v>
      </c>
      <c r="I6" s="67">
        <v>9.9999999999999995E-7</v>
      </c>
      <c r="J6" s="67">
        <v>9.9999999999999995E-7</v>
      </c>
      <c r="K6" s="67">
        <v>9.9999999999999995E-7</v>
      </c>
      <c r="L6" s="27">
        <f>0.5*(MAX(I6:K6)-MIN(I6:K6))</f>
        <v>0</v>
      </c>
      <c r="M6" s="211">
        <v>1.6</v>
      </c>
      <c r="O6" s="212">
        <v>0</v>
      </c>
      <c r="P6" s="67" t="s">
        <v>62</v>
      </c>
      <c r="Q6" s="67"/>
      <c r="R6" s="67">
        <v>9.9999999999999995E-7</v>
      </c>
      <c r="S6" s="27">
        <v>9.9999999999999995E-7</v>
      </c>
      <c r="T6" s="211">
        <v>0.123</v>
      </c>
    </row>
    <row r="7" spans="1:20">
      <c r="A7" s="212">
        <v>30</v>
      </c>
      <c r="B7" s="67" t="s">
        <v>62</v>
      </c>
      <c r="C7" s="67" t="s">
        <v>62</v>
      </c>
      <c r="D7" s="67">
        <v>9.9999999999999995E-7</v>
      </c>
      <c r="E7" s="27">
        <f t="shared" ref="E7:E16" si="0">0.5*(MAX(B7:D7)-MIN(B7:D7))</f>
        <v>0</v>
      </c>
      <c r="F7" s="211">
        <v>0.1</v>
      </c>
      <c r="H7" s="212">
        <v>50</v>
      </c>
      <c r="I7" s="67">
        <v>6.3E-2</v>
      </c>
      <c r="J7" s="67">
        <v>6.3E-2</v>
      </c>
      <c r="K7" s="57">
        <v>-0.1</v>
      </c>
      <c r="L7" s="27">
        <f t="shared" ref="L7:L16" si="1">0.5*(MAX(I7:K7)-MIN(I7:K7))</f>
        <v>8.1500000000000003E-2</v>
      </c>
      <c r="M7" s="211">
        <v>1.6</v>
      </c>
      <c r="O7" s="212">
        <v>50</v>
      </c>
      <c r="P7" s="67" t="s">
        <v>62</v>
      </c>
      <c r="Q7" s="67" t="s">
        <v>62</v>
      </c>
      <c r="R7" s="67">
        <v>6.3E-2</v>
      </c>
      <c r="S7" s="27">
        <f t="shared" ref="S7:S16" si="2">0.5*(MAX(P7:R7)-MIN(P7:R7))</f>
        <v>0</v>
      </c>
      <c r="T7" s="211">
        <v>0.17699999999999999</v>
      </c>
    </row>
    <row r="8" spans="1:20">
      <c r="A8" s="212">
        <v>60</v>
      </c>
      <c r="B8" s="67" t="s">
        <v>62</v>
      </c>
      <c r="C8" s="67" t="s">
        <v>62</v>
      </c>
      <c r="D8" s="67">
        <v>9.9999999999999995E-7</v>
      </c>
      <c r="E8" s="27">
        <f t="shared" si="0"/>
        <v>0</v>
      </c>
      <c r="F8" s="211">
        <v>0.2</v>
      </c>
      <c r="H8" s="212">
        <v>60</v>
      </c>
      <c r="I8" s="67">
        <v>6.3E-2</v>
      </c>
      <c r="J8" s="67">
        <v>6.3E-2</v>
      </c>
      <c r="K8" s="57">
        <v>-0.1</v>
      </c>
      <c r="L8" s="27">
        <f t="shared" si="1"/>
        <v>8.1500000000000003E-2</v>
      </c>
      <c r="M8" s="211">
        <v>1.6</v>
      </c>
      <c r="O8" s="212">
        <v>60</v>
      </c>
      <c r="P8" s="67" t="s">
        <v>62</v>
      </c>
      <c r="Q8" s="67" t="s">
        <v>62</v>
      </c>
      <c r="R8" s="67">
        <v>6.3E-2</v>
      </c>
      <c r="S8" s="27">
        <f t="shared" si="2"/>
        <v>0</v>
      </c>
      <c r="T8" s="211">
        <v>0.17699999999999999</v>
      </c>
    </row>
    <row r="9" spans="1:20">
      <c r="A9" s="232">
        <v>90</v>
      </c>
      <c r="B9" s="67" t="s">
        <v>62</v>
      </c>
      <c r="C9" s="67" t="s">
        <v>62</v>
      </c>
      <c r="D9" s="67">
        <v>9.9999999999999995E-7</v>
      </c>
      <c r="E9" s="27">
        <f t="shared" si="0"/>
        <v>0</v>
      </c>
      <c r="F9" s="211">
        <v>0.2</v>
      </c>
      <c r="H9" s="232">
        <v>65</v>
      </c>
      <c r="I9" s="67">
        <v>6.3E-2</v>
      </c>
      <c r="J9" s="67">
        <v>6.3E-2</v>
      </c>
      <c r="K9" s="57">
        <v>-0.1</v>
      </c>
      <c r="L9" s="27">
        <f t="shared" si="1"/>
        <v>8.1500000000000003E-2</v>
      </c>
      <c r="M9" s="211">
        <v>1.6</v>
      </c>
      <c r="O9" s="232">
        <v>65</v>
      </c>
      <c r="P9" s="67" t="s">
        <v>62</v>
      </c>
      <c r="Q9" s="67" t="s">
        <v>62</v>
      </c>
      <c r="R9" s="67">
        <v>6.3E-2</v>
      </c>
      <c r="S9" s="27">
        <f t="shared" si="2"/>
        <v>0</v>
      </c>
      <c r="T9" s="211">
        <v>0.17699999999999999</v>
      </c>
    </row>
    <row r="10" spans="1:20">
      <c r="A10" s="212">
        <v>120</v>
      </c>
      <c r="B10" s="67" t="s">
        <v>62</v>
      </c>
      <c r="C10" s="67" t="s">
        <v>62</v>
      </c>
      <c r="D10" s="67">
        <v>9.9999999999999995E-7</v>
      </c>
      <c r="E10" s="27">
        <f t="shared" si="0"/>
        <v>0</v>
      </c>
      <c r="F10" s="211">
        <v>0.2</v>
      </c>
      <c r="H10" s="212">
        <v>80</v>
      </c>
      <c r="I10" s="67">
        <v>6.3E-2</v>
      </c>
      <c r="J10" s="67">
        <v>6.3E-2</v>
      </c>
      <c r="K10" s="57">
        <v>-0.1</v>
      </c>
      <c r="L10" s="27">
        <f t="shared" si="1"/>
        <v>8.1500000000000003E-2</v>
      </c>
      <c r="M10" s="211">
        <v>1.6</v>
      </c>
      <c r="O10" s="212">
        <v>80</v>
      </c>
      <c r="P10" s="67" t="s">
        <v>62</v>
      </c>
      <c r="Q10" s="67" t="s">
        <v>62</v>
      </c>
      <c r="R10" s="67">
        <v>6.3E-2</v>
      </c>
      <c r="S10" s="27">
        <f t="shared" si="2"/>
        <v>0</v>
      </c>
      <c r="T10" s="211">
        <v>0.17699999999999999</v>
      </c>
    </row>
    <row r="11" spans="1:20">
      <c r="A11" s="212">
        <v>150</v>
      </c>
      <c r="B11" s="67" t="s">
        <v>62</v>
      </c>
      <c r="C11" s="67" t="s">
        <v>62</v>
      </c>
      <c r="D11" s="67">
        <v>-0.1</v>
      </c>
      <c r="E11" s="27">
        <f t="shared" si="0"/>
        <v>0</v>
      </c>
      <c r="F11" s="211">
        <v>0.2</v>
      </c>
      <c r="H11" s="212">
        <v>100</v>
      </c>
      <c r="I11" s="67">
        <v>3.0000000000000001E-3</v>
      </c>
      <c r="J11" s="67">
        <v>3.0000000000000001E-3</v>
      </c>
      <c r="K11" s="57">
        <v>-0.2</v>
      </c>
      <c r="L11" s="27">
        <f t="shared" si="1"/>
        <v>0.10150000000000001</v>
      </c>
      <c r="M11" s="211">
        <v>1.6</v>
      </c>
      <c r="O11" s="212">
        <v>100</v>
      </c>
      <c r="P11" s="67" t="s">
        <v>62</v>
      </c>
      <c r="Q11" s="67" t="s">
        <v>62</v>
      </c>
      <c r="R11" s="67">
        <v>3.0000000000000001E-3</v>
      </c>
      <c r="S11" s="27">
        <f t="shared" si="2"/>
        <v>0</v>
      </c>
      <c r="T11" s="211">
        <v>0.13800000000000001</v>
      </c>
    </row>
    <row r="12" spans="1:20">
      <c r="A12" s="233">
        <v>180</v>
      </c>
      <c r="B12" s="67" t="s">
        <v>62</v>
      </c>
      <c r="C12" s="67" t="s">
        <v>62</v>
      </c>
      <c r="D12" s="67">
        <v>-0.1</v>
      </c>
      <c r="E12" s="27">
        <f t="shared" si="0"/>
        <v>0</v>
      </c>
      <c r="F12" s="211">
        <v>0.2</v>
      </c>
      <c r="H12" s="233">
        <v>120</v>
      </c>
      <c r="I12" s="67">
        <v>3.0000000000000001E-3</v>
      </c>
      <c r="J12" s="67">
        <v>3.0000000000000001E-3</v>
      </c>
      <c r="K12" s="57">
        <v>-0.2</v>
      </c>
      <c r="L12" s="27">
        <f t="shared" si="1"/>
        <v>0.10150000000000001</v>
      </c>
      <c r="M12" s="211">
        <v>1.6</v>
      </c>
      <c r="O12" s="233">
        <v>120</v>
      </c>
      <c r="P12" s="67" t="s">
        <v>62</v>
      </c>
      <c r="Q12" s="67" t="s">
        <v>62</v>
      </c>
      <c r="R12" s="67">
        <v>3.0000000000000001E-3</v>
      </c>
      <c r="S12" s="27">
        <f t="shared" si="2"/>
        <v>0</v>
      </c>
      <c r="T12" s="211">
        <v>0.13800000000000001</v>
      </c>
    </row>
    <row r="13" spans="1:20" ht="14">
      <c r="A13" s="234">
        <v>210</v>
      </c>
      <c r="B13" s="67" t="s">
        <v>62</v>
      </c>
      <c r="C13" s="67" t="s">
        <v>62</v>
      </c>
      <c r="D13" s="67">
        <v>-0.1</v>
      </c>
      <c r="E13" s="27">
        <f t="shared" si="0"/>
        <v>0</v>
      </c>
      <c r="F13" s="211">
        <v>0.2</v>
      </c>
      <c r="H13" s="234">
        <v>150</v>
      </c>
      <c r="I13" s="67">
        <v>9.9999999999999995E-7</v>
      </c>
      <c r="J13" s="67">
        <v>9.9999999999999995E-7</v>
      </c>
      <c r="K13" s="57">
        <v>-0.2</v>
      </c>
      <c r="L13" s="27">
        <f t="shared" si="1"/>
        <v>0.10000050000000001</v>
      </c>
      <c r="M13" s="211">
        <v>1.6</v>
      </c>
      <c r="O13" s="234">
        <v>150</v>
      </c>
      <c r="P13" s="67" t="s">
        <v>62</v>
      </c>
      <c r="Q13" s="67" t="s">
        <v>62</v>
      </c>
      <c r="R13" s="67">
        <v>9.9999999999999995E-7</v>
      </c>
      <c r="S13" s="27">
        <f t="shared" si="2"/>
        <v>0</v>
      </c>
      <c r="T13" s="211">
        <v>0.13500000000000001</v>
      </c>
    </row>
    <row r="14" spans="1:20">
      <c r="A14" s="212">
        <v>240</v>
      </c>
      <c r="B14" s="67" t="s">
        <v>62</v>
      </c>
      <c r="C14" s="67" t="s">
        <v>62</v>
      </c>
      <c r="D14" s="67">
        <v>-0.1</v>
      </c>
      <c r="E14" s="27">
        <f t="shared" si="0"/>
        <v>0</v>
      </c>
      <c r="F14" s="211">
        <v>0.2</v>
      </c>
      <c r="H14" s="212">
        <v>200</v>
      </c>
      <c r="I14" s="67">
        <v>-3.0000000000000001E-3</v>
      </c>
      <c r="J14" s="67">
        <v>-3.0000000000000001E-3</v>
      </c>
      <c r="K14" s="57">
        <v>-0.3</v>
      </c>
      <c r="L14" s="27">
        <f t="shared" si="1"/>
        <v>0.14849999999999999</v>
      </c>
      <c r="M14" s="211">
        <v>1.6</v>
      </c>
      <c r="O14" s="212">
        <v>200</v>
      </c>
      <c r="P14" s="67" t="s">
        <v>62</v>
      </c>
      <c r="Q14" s="67" t="s">
        <v>62</v>
      </c>
      <c r="R14" s="67">
        <v>-3.0000000000000001E-3</v>
      </c>
      <c r="S14" s="27">
        <f t="shared" si="2"/>
        <v>0</v>
      </c>
      <c r="T14" s="211">
        <v>0.13300000000000001</v>
      </c>
    </row>
    <row r="15" spans="1:20">
      <c r="A15" s="212">
        <v>270</v>
      </c>
      <c r="B15" s="67" t="s">
        <v>62</v>
      </c>
      <c r="C15" s="67" t="s">
        <v>62</v>
      </c>
      <c r="D15" s="67">
        <v>-0.1</v>
      </c>
      <c r="E15" s="27">
        <f t="shared" si="0"/>
        <v>0</v>
      </c>
      <c r="F15" s="211">
        <v>0.2</v>
      </c>
      <c r="H15" s="212">
        <v>250</v>
      </c>
      <c r="I15" s="67">
        <v>3.3000000000000002E-2</v>
      </c>
      <c r="J15" s="67">
        <v>3.3000000000000002E-2</v>
      </c>
      <c r="K15" s="57">
        <v>-0.3</v>
      </c>
      <c r="L15" s="27">
        <f t="shared" si="1"/>
        <v>0.16649999999999998</v>
      </c>
      <c r="M15" s="211">
        <v>1.6</v>
      </c>
      <c r="O15" s="212">
        <v>250</v>
      </c>
      <c r="P15" s="67" t="s">
        <v>62</v>
      </c>
      <c r="Q15" s="67" t="s">
        <v>62</v>
      </c>
      <c r="R15" s="67">
        <v>3.3000000000000002E-2</v>
      </c>
      <c r="S15" s="27">
        <f t="shared" si="2"/>
        <v>0</v>
      </c>
      <c r="T15" s="211">
        <v>0.154</v>
      </c>
    </row>
    <row r="16" spans="1:20" ht="13" thickBot="1">
      <c r="A16" s="654">
        <v>300</v>
      </c>
      <c r="B16" s="655" t="s">
        <v>62</v>
      </c>
      <c r="C16" s="655" t="s">
        <v>62</v>
      </c>
      <c r="D16" s="655">
        <v>-0.1</v>
      </c>
      <c r="E16" s="656">
        <f t="shared" si="0"/>
        <v>0</v>
      </c>
      <c r="F16" s="657">
        <v>0.1</v>
      </c>
      <c r="H16" s="212">
        <v>300</v>
      </c>
      <c r="I16" s="67">
        <v>9.9999999999999995E-7</v>
      </c>
      <c r="J16" s="67">
        <v>9.9999999999999995E-7</v>
      </c>
      <c r="K16" s="57">
        <v>-0.3</v>
      </c>
      <c r="L16" s="27">
        <f t="shared" si="1"/>
        <v>0.15000049999999998</v>
      </c>
      <c r="M16" s="211">
        <v>1.6</v>
      </c>
      <c r="O16" s="212">
        <v>300</v>
      </c>
      <c r="P16" s="67" t="s">
        <v>62</v>
      </c>
      <c r="Q16" s="67" t="s">
        <v>62</v>
      </c>
      <c r="R16" s="67">
        <v>9.9999999999999995E-7</v>
      </c>
      <c r="S16" s="27">
        <f t="shared" si="2"/>
        <v>0</v>
      </c>
      <c r="T16" s="211">
        <v>0.151</v>
      </c>
    </row>
    <row r="17" spans="1:20">
      <c r="A17" s="44"/>
      <c r="B17" s="424"/>
      <c r="D17" s="424"/>
      <c r="E17" s="425"/>
      <c r="F17" s="63"/>
      <c r="H17" s="44"/>
      <c r="I17" s="424"/>
      <c r="K17" s="61"/>
      <c r="L17" s="425"/>
      <c r="M17" s="63"/>
      <c r="O17" s="44"/>
      <c r="P17" s="424"/>
      <c r="R17" s="424"/>
      <c r="S17" s="425"/>
      <c r="T17" s="63"/>
    </row>
    <row r="18" spans="1:20" s="450" customFormat="1" ht="30.75" customHeight="1" thickBot="1">
      <c r="A18" s="1402" t="s">
        <v>358</v>
      </c>
      <c r="B18" s="1402"/>
      <c r="C18" s="1402"/>
      <c r="D18" s="1402"/>
      <c r="E18" s="1402"/>
      <c r="F18" s="1402"/>
      <c r="H18" s="1402" t="s">
        <v>359</v>
      </c>
      <c r="I18" s="1402"/>
      <c r="J18" s="1402"/>
      <c r="K18" s="1402"/>
      <c r="L18" s="1402"/>
      <c r="M18" s="1402"/>
      <c r="O18" s="1397" t="s">
        <v>391</v>
      </c>
      <c r="P18" s="1397"/>
      <c r="Q18" s="1397"/>
      <c r="R18" s="1397"/>
      <c r="S18" s="1397"/>
      <c r="T18" s="1397"/>
    </row>
    <row r="19" spans="1:20" ht="14">
      <c r="A19" s="1404" t="s">
        <v>201</v>
      </c>
      <c r="B19" s="1405"/>
      <c r="C19" s="1405"/>
      <c r="D19" s="1406"/>
      <c r="E19" s="633" t="s">
        <v>74</v>
      </c>
      <c r="F19" s="636" t="s">
        <v>176</v>
      </c>
      <c r="H19" s="1404" t="s">
        <v>201</v>
      </c>
      <c r="I19" s="1405"/>
      <c r="J19" s="1405"/>
      <c r="K19" s="1406"/>
      <c r="L19" s="633" t="s">
        <v>74</v>
      </c>
      <c r="M19" s="636" t="s">
        <v>176</v>
      </c>
      <c r="O19" s="1404" t="s">
        <v>201</v>
      </c>
      <c r="P19" s="1405"/>
      <c r="Q19" s="1405"/>
      <c r="R19" s="1406"/>
      <c r="S19" s="633" t="s">
        <v>74</v>
      </c>
      <c r="T19" s="636" t="s">
        <v>176</v>
      </c>
    </row>
    <row r="20" spans="1:20" ht="13">
      <c r="A20" s="646" t="s">
        <v>202</v>
      </c>
      <c r="B20" s="1403" t="s">
        <v>75</v>
      </c>
      <c r="C20" s="1403"/>
      <c r="D20" s="1403"/>
      <c r="E20" s="634"/>
      <c r="F20" s="637"/>
      <c r="H20" s="646" t="s">
        <v>202</v>
      </c>
      <c r="I20" s="1403" t="s">
        <v>75</v>
      </c>
      <c r="J20" s="1403"/>
      <c r="K20" s="1403"/>
      <c r="L20" s="634"/>
      <c r="M20" s="637"/>
      <c r="O20" s="646" t="s">
        <v>202</v>
      </c>
      <c r="P20" s="1403" t="s">
        <v>75</v>
      </c>
      <c r="Q20" s="1403"/>
      <c r="R20" s="1403"/>
      <c r="S20" s="634"/>
      <c r="T20" s="637"/>
    </row>
    <row r="21" spans="1:20" ht="14">
      <c r="A21" s="179" t="s">
        <v>203</v>
      </c>
      <c r="B21" s="646">
        <v>2016</v>
      </c>
      <c r="C21" s="646">
        <v>2016</v>
      </c>
      <c r="D21" s="315">
        <v>2017</v>
      </c>
      <c r="E21" s="635"/>
      <c r="F21" s="638"/>
      <c r="H21" s="179" t="s">
        <v>203</v>
      </c>
      <c r="I21" s="646">
        <v>2017</v>
      </c>
      <c r="J21" s="646">
        <v>2017</v>
      </c>
      <c r="K21" s="315">
        <v>2018</v>
      </c>
      <c r="L21" s="635"/>
      <c r="M21" s="638"/>
      <c r="O21" s="179" t="s">
        <v>203</v>
      </c>
      <c r="P21" s="646">
        <v>2019</v>
      </c>
      <c r="Q21" s="646">
        <v>2019</v>
      </c>
      <c r="R21" s="315">
        <v>2020</v>
      </c>
      <c r="S21" s="635"/>
      <c r="T21" s="638"/>
    </row>
    <row r="22" spans="1:20">
      <c r="A22" s="212">
        <v>0</v>
      </c>
      <c r="B22" s="67" t="s">
        <v>62</v>
      </c>
      <c r="C22" s="67" t="s">
        <v>62</v>
      </c>
      <c r="D22" s="67">
        <v>0.1</v>
      </c>
      <c r="E22" s="27">
        <f>0.5*(MAX(B22:D22)-MIN(B22:D22))</f>
        <v>0</v>
      </c>
      <c r="F22" s="211">
        <v>0.1</v>
      </c>
      <c r="H22" s="212">
        <v>0</v>
      </c>
      <c r="I22" s="67" t="s">
        <v>62</v>
      </c>
      <c r="J22" s="67" t="s">
        <v>62</v>
      </c>
      <c r="K22" s="67">
        <v>9.9999999999999995E-7</v>
      </c>
      <c r="L22" s="27">
        <f t="shared" ref="L22:L32" si="3">0.5*(MAX(I22:K22)-MIN(I22:K22))</f>
        <v>0</v>
      </c>
      <c r="M22" s="211">
        <v>0.123</v>
      </c>
      <c r="O22" s="212">
        <v>0</v>
      </c>
      <c r="P22" s="67" t="s">
        <v>62</v>
      </c>
      <c r="Q22" s="67" t="s">
        <v>62</v>
      </c>
      <c r="R22" s="67">
        <v>9.9999999999999995E-7</v>
      </c>
      <c r="S22" s="27">
        <v>9.9999999999999995E-7</v>
      </c>
      <c r="T22" s="211">
        <v>0.123</v>
      </c>
    </row>
    <row r="23" spans="1:20">
      <c r="A23" s="212">
        <v>50</v>
      </c>
      <c r="B23" s="67">
        <v>0.7</v>
      </c>
      <c r="C23" s="67">
        <v>0.7</v>
      </c>
      <c r="D23" s="67">
        <v>0.1</v>
      </c>
      <c r="E23" s="27">
        <f t="shared" ref="E23:E32" si="4">0.5*(MAX(B23:D23)-MIN(B23:D23))</f>
        <v>0.3</v>
      </c>
      <c r="F23" s="211">
        <v>0.1</v>
      </c>
      <c r="H23" s="212">
        <v>50</v>
      </c>
      <c r="I23" s="67" t="s">
        <v>62</v>
      </c>
      <c r="J23" s="67" t="s">
        <v>62</v>
      </c>
      <c r="K23" s="67">
        <v>9.9999999999999995E-7</v>
      </c>
      <c r="L23" s="27">
        <f t="shared" si="3"/>
        <v>0</v>
      </c>
      <c r="M23" s="211">
        <v>0.17699999999999999</v>
      </c>
      <c r="O23" s="212">
        <v>50</v>
      </c>
      <c r="P23" s="67" t="s">
        <v>62</v>
      </c>
      <c r="Q23" s="67" t="s">
        <v>62</v>
      </c>
      <c r="R23" s="67">
        <v>6.3E-2</v>
      </c>
      <c r="S23" s="27">
        <f t="shared" ref="S23:S32" si="5">0.5*(MAX(P23:R23)-MIN(P23:R23))</f>
        <v>0</v>
      </c>
      <c r="T23" s="211">
        <v>0.17699999999999999</v>
      </c>
    </row>
    <row r="24" spans="1:20">
      <c r="A24" s="212">
        <v>60</v>
      </c>
      <c r="B24" s="67" t="s">
        <v>62</v>
      </c>
      <c r="C24" s="67" t="s">
        <v>62</v>
      </c>
      <c r="D24" s="67">
        <v>0.1</v>
      </c>
      <c r="E24" s="27">
        <f t="shared" si="4"/>
        <v>0</v>
      </c>
      <c r="F24" s="211">
        <v>0.1</v>
      </c>
      <c r="H24" s="212">
        <v>60</v>
      </c>
      <c r="I24" s="67" t="s">
        <v>62</v>
      </c>
      <c r="J24" s="67" t="s">
        <v>62</v>
      </c>
      <c r="K24" s="67">
        <v>9.9999999999999995E-7</v>
      </c>
      <c r="L24" s="27">
        <f t="shared" si="3"/>
        <v>0</v>
      </c>
      <c r="M24" s="211">
        <v>0.17699999999999999</v>
      </c>
      <c r="O24" s="212">
        <v>60</v>
      </c>
      <c r="P24" s="67" t="s">
        <v>62</v>
      </c>
      <c r="Q24" s="67" t="s">
        <v>62</v>
      </c>
      <c r="R24" s="67">
        <v>6.3E-2</v>
      </c>
      <c r="S24" s="27">
        <f t="shared" si="5"/>
        <v>0</v>
      </c>
      <c r="T24" s="211">
        <v>0.17699999999999999</v>
      </c>
    </row>
    <row r="25" spans="1:20">
      <c r="A25" s="232">
        <v>65</v>
      </c>
      <c r="B25" s="67" t="s">
        <v>62</v>
      </c>
      <c r="C25" s="67" t="s">
        <v>62</v>
      </c>
      <c r="D25" s="67">
        <v>0.1</v>
      </c>
      <c r="E25" s="27">
        <f t="shared" si="4"/>
        <v>0</v>
      </c>
      <c r="F25" s="211">
        <v>0.2</v>
      </c>
      <c r="H25" s="232">
        <v>65</v>
      </c>
      <c r="I25" s="67" t="s">
        <v>62</v>
      </c>
      <c r="J25" s="67" t="s">
        <v>62</v>
      </c>
      <c r="K25" s="67">
        <v>9.9999999999999995E-7</v>
      </c>
      <c r="L25" s="27">
        <f t="shared" si="3"/>
        <v>0</v>
      </c>
      <c r="M25" s="211">
        <v>0.17699999999999999</v>
      </c>
      <c r="O25" s="232">
        <v>65</v>
      </c>
      <c r="P25" s="67" t="s">
        <v>62</v>
      </c>
      <c r="Q25" s="67" t="s">
        <v>62</v>
      </c>
      <c r="R25" s="67">
        <v>6.3E-2</v>
      </c>
      <c r="S25" s="27">
        <f t="shared" si="5"/>
        <v>0</v>
      </c>
      <c r="T25" s="211">
        <v>0.17699999999999999</v>
      </c>
    </row>
    <row r="26" spans="1:20">
      <c r="A26" s="212">
        <v>80</v>
      </c>
      <c r="B26" s="67" t="s">
        <v>62</v>
      </c>
      <c r="C26" s="67" t="s">
        <v>62</v>
      </c>
      <c r="D26" s="67">
        <v>0.1</v>
      </c>
      <c r="E26" s="27">
        <f t="shared" si="4"/>
        <v>0</v>
      </c>
      <c r="F26" s="211">
        <v>0.1</v>
      </c>
      <c r="H26" s="212">
        <v>80</v>
      </c>
      <c r="I26" s="67" t="s">
        <v>62</v>
      </c>
      <c r="J26" s="67" t="s">
        <v>62</v>
      </c>
      <c r="K26" s="67">
        <v>9.9999999999999995E-7</v>
      </c>
      <c r="L26" s="27">
        <f t="shared" si="3"/>
        <v>0</v>
      </c>
      <c r="M26" s="211">
        <v>0.17699999999999999</v>
      </c>
      <c r="O26" s="212">
        <v>80</v>
      </c>
      <c r="P26" s="67" t="s">
        <v>62</v>
      </c>
      <c r="Q26" s="67" t="s">
        <v>62</v>
      </c>
      <c r="R26" s="67">
        <v>6.3E-2</v>
      </c>
      <c r="S26" s="27">
        <f t="shared" si="5"/>
        <v>0</v>
      </c>
      <c r="T26" s="211">
        <v>0.17699999999999999</v>
      </c>
    </row>
    <row r="27" spans="1:20">
      <c r="A27" s="212">
        <v>100</v>
      </c>
      <c r="B27" s="67">
        <v>0.8</v>
      </c>
      <c r="C27" s="67">
        <v>0.8</v>
      </c>
      <c r="D27" s="67">
        <v>0.2</v>
      </c>
      <c r="E27" s="27">
        <f t="shared" si="4"/>
        <v>0.30000000000000004</v>
      </c>
      <c r="F27" s="211">
        <v>0.2</v>
      </c>
      <c r="H27" s="212">
        <v>100</v>
      </c>
      <c r="I27" s="67" t="s">
        <v>62</v>
      </c>
      <c r="J27" s="67" t="s">
        <v>62</v>
      </c>
      <c r="K27" s="67">
        <v>9.9999999999999995E-7</v>
      </c>
      <c r="L27" s="27">
        <f t="shared" si="3"/>
        <v>0</v>
      </c>
      <c r="M27" s="211">
        <v>0.13800000000000001</v>
      </c>
      <c r="O27" s="212">
        <v>100</v>
      </c>
      <c r="P27" s="67" t="s">
        <v>62</v>
      </c>
      <c r="Q27" s="67" t="s">
        <v>62</v>
      </c>
      <c r="R27" s="67">
        <v>3.0000000000000001E-3</v>
      </c>
      <c r="S27" s="27">
        <f t="shared" si="5"/>
        <v>0</v>
      </c>
      <c r="T27" s="211">
        <v>0.13800000000000001</v>
      </c>
    </row>
    <row r="28" spans="1:20">
      <c r="A28" s="233">
        <v>120</v>
      </c>
      <c r="B28" s="67" t="s">
        <v>62</v>
      </c>
      <c r="C28" s="67" t="s">
        <v>62</v>
      </c>
      <c r="D28" s="67">
        <v>0.2</v>
      </c>
      <c r="E28" s="27">
        <f t="shared" si="4"/>
        <v>0</v>
      </c>
      <c r="F28" s="211">
        <v>0.2</v>
      </c>
      <c r="H28" s="233">
        <v>120</v>
      </c>
      <c r="I28" s="67" t="s">
        <v>62</v>
      </c>
      <c r="J28" s="67" t="s">
        <v>62</v>
      </c>
      <c r="K28" s="67">
        <v>-0.1</v>
      </c>
      <c r="L28" s="27">
        <f t="shared" si="3"/>
        <v>0</v>
      </c>
      <c r="M28" s="211">
        <v>0.13800000000000001</v>
      </c>
      <c r="O28" s="233">
        <v>120</v>
      </c>
      <c r="P28" s="67" t="s">
        <v>62</v>
      </c>
      <c r="Q28" s="67" t="s">
        <v>62</v>
      </c>
      <c r="R28" s="67">
        <v>3.0000000000000001E-3</v>
      </c>
      <c r="S28" s="27">
        <f t="shared" si="5"/>
        <v>0</v>
      </c>
      <c r="T28" s="211">
        <v>0.13800000000000001</v>
      </c>
    </row>
    <row r="29" spans="1:20" ht="14">
      <c r="A29" s="234">
        <v>150</v>
      </c>
      <c r="B29" s="67">
        <v>0.8</v>
      </c>
      <c r="C29" s="67">
        <v>0.8</v>
      </c>
      <c r="D29" s="67">
        <v>0.3</v>
      </c>
      <c r="E29" s="27">
        <f t="shared" si="4"/>
        <v>0.25</v>
      </c>
      <c r="F29" s="211">
        <v>0.1</v>
      </c>
      <c r="H29" s="234">
        <v>150</v>
      </c>
      <c r="I29" s="67" t="s">
        <v>62</v>
      </c>
      <c r="J29" s="67" t="s">
        <v>62</v>
      </c>
      <c r="K29" s="67">
        <v>-0.1</v>
      </c>
      <c r="L29" s="27">
        <f t="shared" si="3"/>
        <v>0</v>
      </c>
      <c r="M29" s="211">
        <v>0.13500000000000001</v>
      </c>
      <c r="O29" s="234">
        <v>150</v>
      </c>
      <c r="P29" s="67" t="s">
        <v>62</v>
      </c>
      <c r="Q29" s="67" t="s">
        <v>62</v>
      </c>
      <c r="R29" s="67">
        <v>9.9999999999999995E-7</v>
      </c>
      <c r="S29" s="27">
        <f t="shared" si="5"/>
        <v>0</v>
      </c>
      <c r="T29" s="211">
        <v>0.13500000000000001</v>
      </c>
    </row>
    <row r="30" spans="1:20">
      <c r="A30" s="212">
        <v>200</v>
      </c>
      <c r="B30" s="67">
        <v>0.9</v>
      </c>
      <c r="C30" s="67">
        <v>0.9</v>
      </c>
      <c r="D30" s="67">
        <v>0.4</v>
      </c>
      <c r="E30" s="27">
        <f t="shared" si="4"/>
        <v>0.25</v>
      </c>
      <c r="F30" s="211">
        <v>0.2</v>
      </c>
      <c r="H30" s="212">
        <v>200</v>
      </c>
      <c r="I30" s="67" t="s">
        <v>62</v>
      </c>
      <c r="J30" s="67" t="s">
        <v>62</v>
      </c>
      <c r="K30" s="67">
        <v>-0.1</v>
      </c>
      <c r="L30" s="27">
        <f t="shared" si="3"/>
        <v>0</v>
      </c>
      <c r="M30" s="211">
        <v>0.13300000000000001</v>
      </c>
      <c r="O30" s="212">
        <v>200</v>
      </c>
      <c r="P30" s="67" t="s">
        <v>62</v>
      </c>
      <c r="Q30" s="67" t="s">
        <v>62</v>
      </c>
      <c r="R30" s="67">
        <v>-3.0000000000000001E-3</v>
      </c>
      <c r="S30" s="27">
        <f t="shared" si="5"/>
        <v>0</v>
      </c>
      <c r="T30" s="211">
        <v>0.13300000000000001</v>
      </c>
    </row>
    <row r="31" spans="1:20">
      <c r="A31" s="212">
        <v>250</v>
      </c>
      <c r="B31" s="67">
        <v>0.9</v>
      </c>
      <c r="C31" s="67">
        <v>0.9</v>
      </c>
      <c r="D31" s="67">
        <v>0.5</v>
      </c>
      <c r="E31" s="27">
        <f t="shared" si="4"/>
        <v>0.2</v>
      </c>
      <c r="F31" s="211">
        <v>0.2</v>
      </c>
      <c r="H31" s="212">
        <v>250</v>
      </c>
      <c r="I31" s="67" t="s">
        <v>62</v>
      </c>
      <c r="J31" s="67" t="s">
        <v>62</v>
      </c>
      <c r="K31" s="67">
        <v>-0.4</v>
      </c>
      <c r="L31" s="27">
        <f t="shared" si="3"/>
        <v>0</v>
      </c>
      <c r="M31" s="211">
        <v>0.154</v>
      </c>
      <c r="O31" s="212">
        <v>250</v>
      </c>
      <c r="P31" s="67" t="s">
        <v>62</v>
      </c>
      <c r="Q31" s="67" t="s">
        <v>62</v>
      </c>
      <c r="R31" s="67">
        <v>3.3000000000000002E-2</v>
      </c>
      <c r="S31" s="27">
        <f t="shared" si="5"/>
        <v>0</v>
      </c>
      <c r="T31" s="211">
        <v>0.154</v>
      </c>
    </row>
    <row r="32" spans="1:20">
      <c r="A32" s="212">
        <v>300</v>
      </c>
      <c r="B32" s="67">
        <v>1</v>
      </c>
      <c r="C32" s="67">
        <v>1</v>
      </c>
      <c r="D32" s="67">
        <v>0.5</v>
      </c>
      <c r="E32" s="27">
        <f t="shared" si="4"/>
        <v>0.25</v>
      </c>
      <c r="F32" s="211">
        <v>0.1</v>
      </c>
      <c r="H32" s="212">
        <v>300</v>
      </c>
      <c r="I32" s="67" t="s">
        <v>62</v>
      </c>
      <c r="J32" s="67" t="s">
        <v>62</v>
      </c>
      <c r="K32" s="67">
        <v>-0.7</v>
      </c>
      <c r="L32" s="27">
        <f t="shared" si="3"/>
        <v>0</v>
      </c>
      <c r="M32" s="211">
        <v>0.151</v>
      </c>
      <c r="O32" s="212">
        <v>300</v>
      </c>
      <c r="P32" s="67" t="s">
        <v>62</v>
      </c>
      <c r="Q32" s="67" t="s">
        <v>62</v>
      </c>
      <c r="R32" s="67">
        <v>9.9999999999999995E-7</v>
      </c>
      <c r="S32" s="27">
        <f t="shared" si="5"/>
        <v>0</v>
      </c>
      <c r="T32" s="211">
        <v>0.151</v>
      </c>
    </row>
    <row r="33" spans="1:20">
      <c r="A33" s="44"/>
      <c r="B33" s="424"/>
      <c r="D33" s="424"/>
      <c r="E33" s="425"/>
      <c r="F33" s="63"/>
      <c r="H33" s="44"/>
      <c r="I33" s="424"/>
      <c r="K33" s="424"/>
      <c r="L33" s="425"/>
      <c r="M33" s="63"/>
      <c r="O33" s="44"/>
      <c r="P33" s="424"/>
      <c r="R33" s="424"/>
      <c r="S33" s="425"/>
      <c r="T33" s="63"/>
    </row>
    <row r="34" spans="1:20" s="450" customFormat="1" ht="30.75" customHeight="1" thickBot="1">
      <c r="A34" s="1402" t="s">
        <v>319</v>
      </c>
      <c r="B34" s="1402"/>
      <c r="C34" s="1402"/>
      <c r="D34" s="1402"/>
      <c r="E34" s="1402"/>
      <c r="F34" s="1402"/>
      <c r="H34" s="1397" t="s">
        <v>191</v>
      </c>
      <c r="I34" s="1397"/>
      <c r="J34" s="1397"/>
      <c r="K34" s="1397"/>
      <c r="L34" s="1397"/>
      <c r="M34" s="1397"/>
      <c r="O34" s="1397" t="s">
        <v>392</v>
      </c>
      <c r="P34" s="1397"/>
      <c r="Q34" s="1397"/>
      <c r="R34" s="1397"/>
      <c r="S34" s="1397"/>
      <c r="T34" s="1397"/>
    </row>
    <row r="35" spans="1:20" ht="14">
      <c r="A35" s="1404" t="s">
        <v>201</v>
      </c>
      <c r="B35" s="1405"/>
      <c r="C35" s="1405"/>
      <c r="D35" s="1406"/>
      <c r="E35" s="633" t="s">
        <v>74</v>
      </c>
      <c r="F35" s="636" t="s">
        <v>176</v>
      </c>
      <c r="H35" s="1404" t="s">
        <v>201</v>
      </c>
      <c r="I35" s="1405"/>
      <c r="J35" s="1405"/>
      <c r="K35" s="1406"/>
      <c r="L35" s="633" t="s">
        <v>74</v>
      </c>
      <c r="M35" s="636" t="s">
        <v>176</v>
      </c>
      <c r="O35" s="1404" t="s">
        <v>201</v>
      </c>
      <c r="P35" s="1405"/>
      <c r="Q35" s="1405"/>
      <c r="R35" s="1406"/>
      <c r="S35" s="633" t="s">
        <v>74</v>
      </c>
      <c r="T35" s="636" t="s">
        <v>176</v>
      </c>
    </row>
    <row r="36" spans="1:20" ht="13">
      <c r="A36" s="646" t="s">
        <v>202</v>
      </c>
      <c r="B36" s="1403" t="s">
        <v>75</v>
      </c>
      <c r="C36" s="1403"/>
      <c r="D36" s="1403"/>
      <c r="E36" s="634"/>
      <c r="F36" s="637"/>
      <c r="H36" s="646" t="s">
        <v>202</v>
      </c>
      <c r="I36" s="1403" t="s">
        <v>75</v>
      </c>
      <c r="J36" s="1403"/>
      <c r="K36" s="1403"/>
      <c r="L36" s="634"/>
      <c r="M36" s="637"/>
      <c r="O36" s="646" t="s">
        <v>202</v>
      </c>
      <c r="P36" s="1403" t="s">
        <v>75</v>
      </c>
      <c r="Q36" s="1403"/>
      <c r="R36" s="1403"/>
      <c r="S36" s="634"/>
      <c r="T36" s="637"/>
    </row>
    <row r="37" spans="1:20" ht="14">
      <c r="A37" s="179" t="s">
        <v>203</v>
      </c>
      <c r="B37" s="646">
        <v>2015</v>
      </c>
      <c r="C37" s="646">
        <v>2015</v>
      </c>
      <c r="D37" s="315">
        <v>2017</v>
      </c>
      <c r="E37" s="635"/>
      <c r="F37" s="638"/>
      <c r="H37" s="179" t="s">
        <v>203</v>
      </c>
      <c r="I37" s="646">
        <v>2019</v>
      </c>
      <c r="J37" s="646">
        <v>2019</v>
      </c>
      <c r="K37" s="315">
        <v>2020</v>
      </c>
      <c r="L37" s="635"/>
      <c r="M37" s="638"/>
      <c r="O37" s="179" t="s">
        <v>203</v>
      </c>
      <c r="P37" s="646">
        <v>2019</v>
      </c>
      <c r="Q37" s="646">
        <v>2019</v>
      </c>
      <c r="R37" s="315">
        <v>2020</v>
      </c>
      <c r="S37" s="635"/>
      <c r="T37" s="638"/>
    </row>
    <row r="38" spans="1:20">
      <c r="A38" s="212">
        <v>0</v>
      </c>
      <c r="B38" s="67">
        <v>9.9999999999999995E-7</v>
      </c>
      <c r="C38" s="67">
        <v>9.9999999999999995E-7</v>
      </c>
      <c r="D38" s="67">
        <v>9.9999999999999995E-7</v>
      </c>
      <c r="E38" s="27">
        <f t="shared" ref="E38:E48" si="6">0.5*(MAX(B38:D38)-MIN(B38:D38))</f>
        <v>0</v>
      </c>
      <c r="F38" s="211">
        <v>1.6</v>
      </c>
      <c r="H38" s="212">
        <v>0</v>
      </c>
      <c r="I38" s="67" t="s">
        <v>62</v>
      </c>
      <c r="J38" s="67" t="s">
        <v>62</v>
      </c>
      <c r="K38" s="67">
        <v>9.9999999999999995E-7</v>
      </c>
      <c r="L38" s="27">
        <f t="shared" ref="L38:L48" si="7">0.5*(MAX(I38:K38)-MIN(I38:K38))</f>
        <v>0</v>
      </c>
      <c r="M38" s="211">
        <v>0.123</v>
      </c>
      <c r="O38" s="212">
        <v>0</v>
      </c>
      <c r="P38" s="67" t="s">
        <v>62</v>
      </c>
      <c r="Q38" s="67" t="s">
        <v>62</v>
      </c>
      <c r="R38" s="67">
        <v>9.9999999999999995E-7</v>
      </c>
      <c r="S38" s="27">
        <v>9.9999999999999995E-7</v>
      </c>
      <c r="T38" s="211">
        <v>0.123</v>
      </c>
    </row>
    <row r="39" spans="1:20">
      <c r="A39" s="212">
        <v>50</v>
      </c>
      <c r="B39" s="67">
        <v>-3.0000000000000001E-3</v>
      </c>
      <c r="C39" s="67">
        <v>-3.0000000000000001E-3</v>
      </c>
      <c r="D39" s="67">
        <v>9.9999999999999995E-7</v>
      </c>
      <c r="E39" s="27">
        <f t="shared" si="6"/>
        <v>1.5005000000000001E-3</v>
      </c>
      <c r="F39" s="211">
        <v>1.6</v>
      </c>
      <c r="H39" s="212">
        <v>50</v>
      </c>
      <c r="I39" s="67" t="s">
        <v>62</v>
      </c>
      <c r="J39" s="67" t="s">
        <v>62</v>
      </c>
      <c r="K39" s="67">
        <v>6.3E-2</v>
      </c>
      <c r="L39" s="27">
        <f t="shared" si="7"/>
        <v>0</v>
      </c>
      <c r="M39" s="211">
        <v>0.17699999999999999</v>
      </c>
      <c r="O39" s="212">
        <v>50</v>
      </c>
      <c r="P39" s="67" t="s">
        <v>62</v>
      </c>
      <c r="Q39" s="67" t="s">
        <v>62</v>
      </c>
      <c r="R39" s="67">
        <v>6.3E-2</v>
      </c>
      <c r="S39" s="27">
        <f t="shared" ref="S39:S48" si="8">0.5*(MAX(P39:R39)-MIN(P39:R39))</f>
        <v>0</v>
      </c>
      <c r="T39" s="211">
        <v>0.17699999999999999</v>
      </c>
    </row>
    <row r="40" spans="1:20">
      <c r="A40" s="212">
        <v>60</v>
      </c>
      <c r="B40" s="67">
        <v>-3.0000000000000001E-3</v>
      </c>
      <c r="C40" s="67">
        <v>-3.0000000000000001E-3</v>
      </c>
      <c r="D40" s="67">
        <v>-0.1</v>
      </c>
      <c r="E40" s="27">
        <f t="shared" si="6"/>
        <v>4.8500000000000001E-2</v>
      </c>
      <c r="F40" s="211">
        <v>1.6</v>
      </c>
      <c r="H40" s="212">
        <v>60</v>
      </c>
      <c r="I40" s="67" t="s">
        <v>62</v>
      </c>
      <c r="J40" s="67" t="s">
        <v>62</v>
      </c>
      <c r="K40" s="67">
        <v>6.3E-2</v>
      </c>
      <c r="L40" s="27">
        <f t="shared" si="7"/>
        <v>0</v>
      </c>
      <c r="M40" s="211">
        <v>0.17699999999999999</v>
      </c>
      <c r="O40" s="212">
        <v>60</v>
      </c>
      <c r="P40" s="67" t="s">
        <v>62</v>
      </c>
      <c r="Q40" s="67" t="s">
        <v>62</v>
      </c>
      <c r="R40" s="67">
        <v>6.3E-2</v>
      </c>
      <c r="S40" s="27">
        <f t="shared" si="8"/>
        <v>0</v>
      </c>
      <c r="T40" s="211">
        <v>0.17699999999999999</v>
      </c>
    </row>
    <row r="41" spans="1:20">
      <c r="A41" s="232">
        <v>65</v>
      </c>
      <c r="B41" s="67">
        <v>-3.0000000000000001E-3</v>
      </c>
      <c r="C41" s="67">
        <v>-3.0000000000000001E-3</v>
      </c>
      <c r="D41" s="67">
        <v>-0.1</v>
      </c>
      <c r="E41" s="27">
        <f t="shared" si="6"/>
        <v>4.8500000000000001E-2</v>
      </c>
      <c r="F41" s="211">
        <v>1.6</v>
      </c>
      <c r="H41" s="232">
        <v>65</v>
      </c>
      <c r="I41" s="67" t="s">
        <v>62</v>
      </c>
      <c r="J41" s="67" t="s">
        <v>62</v>
      </c>
      <c r="K41" s="67">
        <v>6.3E-2</v>
      </c>
      <c r="L41" s="27">
        <f t="shared" si="7"/>
        <v>0</v>
      </c>
      <c r="M41" s="211">
        <v>0.17699999999999999</v>
      </c>
      <c r="O41" s="232">
        <v>65</v>
      </c>
      <c r="P41" s="67" t="s">
        <v>62</v>
      </c>
      <c r="Q41" s="67" t="s">
        <v>62</v>
      </c>
      <c r="R41" s="67">
        <v>6.3E-2</v>
      </c>
      <c r="S41" s="27">
        <f t="shared" si="8"/>
        <v>0</v>
      </c>
      <c r="T41" s="211">
        <v>0.17699999999999999</v>
      </c>
    </row>
    <row r="42" spans="1:20">
      <c r="A42" s="212">
        <v>80</v>
      </c>
      <c r="B42" s="67">
        <v>-3.0000000000000001E-3</v>
      </c>
      <c r="C42" s="67">
        <v>-3.0000000000000001E-3</v>
      </c>
      <c r="D42" s="67">
        <v>-0.1</v>
      </c>
      <c r="E42" s="27">
        <f t="shared" si="6"/>
        <v>4.8500000000000001E-2</v>
      </c>
      <c r="F42" s="211">
        <v>1.6</v>
      </c>
      <c r="H42" s="212">
        <v>80</v>
      </c>
      <c r="I42" s="67" t="s">
        <v>62</v>
      </c>
      <c r="J42" s="67" t="s">
        <v>62</v>
      </c>
      <c r="K42" s="67">
        <v>6.3E-2</v>
      </c>
      <c r="L42" s="27">
        <f t="shared" si="7"/>
        <v>0</v>
      </c>
      <c r="M42" s="211">
        <v>0.17699999999999999</v>
      </c>
      <c r="O42" s="212">
        <v>80</v>
      </c>
      <c r="P42" s="67" t="s">
        <v>62</v>
      </c>
      <c r="Q42" s="67" t="s">
        <v>62</v>
      </c>
      <c r="R42" s="67">
        <v>6.3E-2</v>
      </c>
      <c r="S42" s="27">
        <f t="shared" si="8"/>
        <v>0</v>
      </c>
      <c r="T42" s="211">
        <v>0.17699999999999999</v>
      </c>
    </row>
    <row r="43" spans="1:20">
      <c r="A43" s="212">
        <v>100</v>
      </c>
      <c r="B43" s="67">
        <v>-7.0000000000000001E-3</v>
      </c>
      <c r="C43" s="67">
        <v>-7.0000000000000001E-3</v>
      </c>
      <c r="D43" s="67">
        <v>-0.2</v>
      </c>
      <c r="E43" s="27">
        <f t="shared" si="6"/>
        <v>9.6500000000000002E-2</v>
      </c>
      <c r="F43" s="211">
        <v>1.6</v>
      </c>
      <c r="H43" s="212">
        <v>100</v>
      </c>
      <c r="I43" s="67" t="s">
        <v>62</v>
      </c>
      <c r="J43" s="67" t="s">
        <v>62</v>
      </c>
      <c r="K43" s="67">
        <v>3.0000000000000001E-3</v>
      </c>
      <c r="L43" s="27">
        <f t="shared" si="7"/>
        <v>0</v>
      </c>
      <c r="M43" s="211">
        <v>0.13800000000000001</v>
      </c>
      <c r="O43" s="212">
        <v>100</v>
      </c>
      <c r="P43" s="67" t="s">
        <v>62</v>
      </c>
      <c r="Q43" s="67" t="s">
        <v>62</v>
      </c>
      <c r="R43" s="67">
        <v>3.0000000000000001E-3</v>
      </c>
      <c r="S43" s="27">
        <f t="shared" si="8"/>
        <v>0</v>
      </c>
      <c r="T43" s="211">
        <v>0.13800000000000001</v>
      </c>
    </row>
    <row r="44" spans="1:20">
      <c r="A44" s="233">
        <v>120</v>
      </c>
      <c r="B44" s="67">
        <v>-7.0000000000000001E-3</v>
      </c>
      <c r="C44" s="67">
        <v>-7.0000000000000001E-3</v>
      </c>
      <c r="D44" s="67">
        <v>-0.2</v>
      </c>
      <c r="E44" s="27">
        <f t="shared" si="6"/>
        <v>9.6500000000000002E-2</v>
      </c>
      <c r="F44" s="211">
        <v>1.6</v>
      </c>
      <c r="H44" s="233">
        <v>120</v>
      </c>
      <c r="I44" s="67" t="s">
        <v>62</v>
      </c>
      <c r="J44" s="67" t="s">
        <v>62</v>
      </c>
      <c r="K44" s="67">
        <v>3.0000000000000001E-3</v>
      </c>
      <c r="L44" s="27">
        <f t="shared" si="7"/>
        <v>0</v>
      </c>
      <c r="M44" s="211">
        <v>0.13800000000000001</v>
      </c>
      <c r="O44" s="233">
        <v>120</v>
      </c>
      <c r="P44" s="67" t="s">
        <v>62</v>
      </c>
      <c r="Q44" s="67" t="s">
        <v>62</v>
      </c>
      <c r="R44" s="67">
        <v>3.0000000000000001E-3</v>
      </c>
      <c r="S44" s="27">
        <f t="shared" si="8"/>
        <v>0</v>
      </c>
      <c r="T44" s="211">
        <v>0.13800000000000001</v>
      </c>
    </row>
    <row r="45" spans="1:20" ht="14">
      <c r="A45" s="234">
        <v>150</v>
      </c>
      <c r="B45" s="67">
        <v>-7.0000000000000001E-3</v>
      </c>
      <c r="C45" s="67">
        <v>-7.0000000000000001E-3</v>
      </c>
      <c r="D45" s="67">
        <v>-0.2</v>
      </c>
      <c r="E45" s="27">
        <f t="shared" si="6"/>
        <v>9.6500000000000002E-2</v>
      </c>
      <c r="F45" s="211">
        <v>1.6</v>
      </c>
      <c r="H45" s="234">
        <v>150</v>
      </c>
      <c r="I45" s="67" t="s">
        <v>62</v>
      </c>
      <c r="J45" s="67" t="s">
        <v>62</v>
      </c>
      <c r="K45" s="67">
        <v>9.9999999999999995E-7</v>
      </c>
      <c r="L45" s="27">
        <f t="shared" si="7"/>
        <v>0</v>
      </c>
      <c r="M45" s="211">
        <v>0.13500000000000001</v>
      </c>
      <c r="O45" s="234">
        <v>150</v>
      </c>
      <c r="P45" s="67" t="s">
        <v>62</v>
      </c>
      <c r="Q45" s="67" t="s">
        <v>62</v>
      </c>
      <c r="R45" s="67">
        <v>9.9999999999999995E-7</v>
      </c>
      <c r="S45" s="27">
        <f t="shared" si="8"/>
        <v>0</v>
      </c>
      <c r="T45" s="211">
        <v>0.13500000000000001</v>
      </c>
    </row>
    <row r="46" spans="1:20">
      <c r="A46" s="212">
        <v>200</v>
      </c>
      <c r="B46" s="67">
        <v>-0.01</v>
      </c>
      <c r="C46" s="67">
        <v>-0.01</v>
      </c>
      <c r="D46" s="67">
        <v>-0.2</v>
      </c>
      <c r="E46" s="27">
        <f t="shared" si="6"/>
        <v>9.5000000000000001E-2</v>
      </c>
      <c r="F46" s="211">
        <v>1.6</v>
      </c>
      <c r="H46" s="212">
        <v>200</v>
      </c>
      <c r="I46" s="67" t="s">
        <v>62</v>
      </c>
      <c r="J46" s="67" t="s">
        <v>62</v>
      </c>
      <c r="K46" s="67">
        <v>-3.0000000000000001E-3</v>
      </c>
      <c r="L46" s="27">
        <f t="shared" si="7"/>
        <v>0</v>
      </c>
      <c r="M46" s="211">
        <v>0.13300000000000001</v>
      </c>
      <c r="O46" s="212">
        <v>200</v>
      </c>
      <c r="P46" s="67" t="s">
        <v>62</v>
      </c>
      <c r="Q46" s="67" t="s">
        <v>62</v>
      </c>
      <c r="R46" s="67">
        <v>-3.0000000000000001E-3</v>
      </c>
      <c r="S46" s="27">
        <f t="shared" si="8"/>
        <v>0</v>
      </c>
      <c r="T46" s="211">
        <v>0.13300000000000001</v>
      </c>
    </row>
    <row r="47" spans="1:20">
      <c r="A47" s="212">
        <v>250</v>
      </c>
      <c r="B47" s="67">
        <v>0.9</v>
      </c>
      <c r="C47" s="67">
        <v>0.9</v>
      </c>
      <c r="D47" s="67">
        <v>-0.3</v>
      </c>
      <c r="E47" s="27">
        <f t="shared" si="6"/>
        <v>0.6</v>
      </c>
      <c r="F47" s="211">
        <v>1.6</v>
      </c>
      <c r="H47" s="212">
        <v>250</v>
      </c>
      <c r="I47" s="67" t="s">
        <v>62</v>
      </c>
      <c r="J47" s="67" t="s">
        <v>62</v>
      </c>
      <c r="K47" s="67">
        <v>3.3000000000000002E-2</v>
      </c>
      <c r="L47" s="27">
        <f t="shared" si="7"/>
        <v>0</v>
      </c>
      <c r="M47" s="211">
        <v>0.154</v>
      </c>
      <c r="O47" s="212">
        <v>250</v>
      </c>
      <c r="P47" s="67" t="s">
        <v>62</v>
      </c>
      <c r="Q47" s="67" t="s">
        <v>62</v>
      </c>
      <c r="R47" s="67">
        <v>3.3000000000000002E-2</v>
      </c>
      <c r="S47" s="27">
        <f t="shared" si="8"/>
        <v>0</v>
      </c>
      <c r="T47" s="211">
        <v>0.154</v>
      </c>
    </row>
    <row r="48" spans="1:20">
      <c r="A48" s="212">
        <v>300</v>
      </c>
      <c r="B48" s="67">
        <v>3.0000000000000001E-3</v>
      </c>
      <c r="C48" s="67">
        <v>3.0000000000000001E-3</v>
      </c>
      <c r="D48" s="67">
        <v>-0.3</v>
      </c>
      <c r="E48" s="27">
        <f t="shared" si="6"/>
        <v>0.1515</v>
      </c>
      <c r="F48" s="211">
        <v>1.6</v>
      </c>
      <c r="H48" s="212">
        <v>300</v>
      </c>
      <c r="I48" s="67" t="s">
        <v>62</v>
      </c>
      <c r="J48" s="67" t="s">
        <v>62</v>
      </c>
      <c r="K48" s="67">
        <v>9.9999999999999995E-7</v>
      </c>
      <c r="L48" s="27">
        <f t="shared" si="7"/>
        <v>0</v>
      </c>
      <c r="M48" s="211">
        <v>0.151</v>
      </c>
      <c r="O48" s="212">
        <v>300</v>
      </c>
      <c r="P48" s="67" t="s">
        <v>62</v>
      </c>
      <c r="Q48" s="67" t="s">
        <v>62</v>
      </c>
      <c r="R48" s="67">
        <v>9.9999999999999995E-7</v>
      </c>
      <c r="S48" s="27">
        <f t="shared" si="8"/>
        <v>0</v>
      </c>
      <c r="T48" s="211">
        <v>0.151</v>
      </c>
    </row>
    <row r="50" spans="1:20" s="450" customFormat="1" ht="50.4" customHeight="1" thickBot="1">
      <c r="A50" s="1402" t="s">
        <v>395</v>
      </c>
      <c r="B50" s="1402"/>
      <c r="C50" s="1402"/>
      <c r="D50" s="1402"/>
      <c r="E50" s="1402"/>
      <c r="F50" s="1402"/>
      <c r="H50" s="1402" t="s">
        <v>389</v>
      </c>
      <c r="I50" s="1402"/>
      <c r="J50" s="1402"/>
      <c r="K50" s="1402"/>
      <c r="L50" s="1402"/>
      <c r="M50" s="1402"/>
      <c r="O50" s="1402" t="s">
        <v>390</v>
      </c>
      <c r="P50" s="1402"/>
      <c r="Q50" s="1402"/>
      <c r="R50" s="1402"/>
      <c r="S50" s="1402"/>
      <c r="T50" s="1402"/>
    </row>
    <row r="51" spans="1:20" ht="17.25" customHeight="1">
      <c r="A51" s="1404" t="s">
        <v>201</v>
      </c>
      <c r="B51" s="1405"/>
      <c r="C51" s="1405"/>
      <c r="D51" s="1406"/>
      <c r="E51" s="633" t="s">
        <v>74</v>
      </c>
      <c r="F51" s="636" t="s">
        <v>176</v>
      </c>
      <c r="H51" s="1404" t="s">
        <v>201</v>
      </c>
      <c r="I51" s="1405"/>
      <c r="J51" s="1405"/>
      <c r="K51" s="1406"/>
      <c r="L51" s="633" t="s">
        <v>74</v>
      </c>
      <c r="M51" s="636" t="s">
        <v>176</v>
      </c>
      <c r="O51" s="1404" t="s">
        <v>201</v>
      </c>
      <c r="P51" s="1405"/>
      <c r="Q51" s="1405"/>
      <c r="R51" s="1406"/>
      <c r="S51" s="633" t="s">
        <v>74</v>
      </c>
      <c r="T51" s="636" t="s">
        <v>176</v>
      </c>
    </row>
    <row r="52" spans="1:20" ht="15" customHeight="1">
      <c r="A52" s="646" t="s">
        <v>202</v>
      </c>
      <c r="B52" s="1403" t="s">
        <v>75</v>
      </c>
      <c r="C52" s="1403"/>
      <c r="D52" s="1403"/>
      <c r="E52" s="634"/>
      <c r="F52" s="637"/>
      <c r="H52" s="646" t="s">
        <v>202</v>
      </c>
      <c r="I52" s="1403" t="s">
        <v>75</v>
      </c>
      <c r="J52" s="1403"/>
      <c r="K52" s="1403"/>
      <c r="L52" s="634"/>
      <c r="M52" s="637"/>
      <c r="O52" s="646" t="s">
        <v>202</v>
      </c>
      <c r="P52" s="1403" t="s">
        <v>75</v>
      </c>
      <c r="Q52" s="1403"/>
      <c r="R52" s="1403"/>
      <c r="S52" s="634"/>
      <c r="T52" s="637"/>
    </row>
    <row r="53" spans="1:20" ht="14">
      <c r="A53" s="179" t="s">
        <v>203</v>
      </c>
      <c r="B53" s="646">
        <v>2019</v>
      </c>
      <c r="C53" s="646">
        <v>2019</v>
      </c>
      <c r="D53" s="315">
        <v>2020</v>
      </c>
      <c r="E53" s="635"/>
      <c r="F53" s="638"/>
      <c r="H53" s="179" t="s">
        <v>203</v>
      </c>
      <c r="I53" s="646">
        <v>2019</v>
      </c>
      <c r="J53" s="646">
        <v>2019</v>
      </c>
      <c r="K53" s="315">
        <v>2020</v>
      </c>
      <c r="L53" s="635"/>
      <c r="M53" s="638"/>
      <c r="O53" s="179" t="s">
        <v>203</v>
      </c>
      <c r="P53" s="646">
        <v>2019</v>
      </c>
      <c r="Q53" s="646">
        <v>2019</v>
      </c>
      <c r="R53" s="315">
        <v>2020</v>
      </c>
      <c r="S53" s="635"/>
      <c r="T53" s="638"/>
    </row>
    <row r="54" spans="1:20">
      <c r="A54" s="212">
        <v>0</v>
      </c>
      <c r="B54" s="67" t="s">
        <v>62</v>
      </c>
      <c r="C54" s="67" t="s">
        <v>62</v>
      </c>
      <c r="D54" s="67">
        <v>9.9999999999999995E-7</v>
      </c>
      <c r="E54" s="27">
        <f t="shared" ref="E54:E64" si="9">0.5*(MAX(B54:D54)-MIN(B54:D54))</f>
        <v>0</v>
      </c>
      <c r="F54" s="211">
        <v>0.123</v>
      </c>
      <c r="H54" s="212">
        <v>0</v>
      </c>
      <c r="I54" s="67" t="s">
        <v>62</v>
      </c>
      <c r="J54" s="67" t="s">
        <v>62</v>
      </c>
      <c r="K54" s="67">
        <v>9.9999999999999995E-7</v>
      </c>
      <c r="L54" s="27">
        <f t="shared" ref="L54:L64" si="10">0.5*(MAX(I54:K54)-MIN(I54:K54))</f>
        <v>0</v>
      </c>
      <c r="M54" s="211">
        <v>0.123</v>
      </c>
      <c r="O54" s="212">
        <v>0</v>
      </c>
      <c r="P54" s="67" t="s">
        <v>62</v>
      </c>
      <c r="Q54" s="67" t="s">
        <v>62</v>
      </c>
      <c r="R54" s="67">
        <v>9.9999999999999995E-7</v>
      </c>
      <c r="S54" s="27">
        <f t="shared" ref="S54:S64" si="11">0.5*(MAX(P54:R54)-MIN(P54:R54))</f>
        <v>0</v>
      </c>
      <c r="T54" s="211">
        <v>0.123</v>
      </c>
    </row>
    <row r="55" spans="1:20">
      <c r="A55" s="212">
        <v>50</v>
      </c>
      <c r="B55" s="67" t="s">
        <v>62</v>
      </c>
      <c r="C55" s="67" t="s">
        <v>62</v>
      </c>
      <c r="D55" s="67">
        <v>6.3E-2</v>
      </c>
      <c r="E55" s="27">
        <f t="shared" si="9"/>
        <v>0</v>
      </c>
      <c r="F55" s="211">
        <v>0.17699999999999999</v>
      </c>
      <c r="H55" s="212">
        <v>50</v>
      </c>
      <c r="I55" s="67" t="s">
        <v>62</v>
      </c>
      <c r="J55" s="67" t="s">
        <v>62</v>
      </c>
      <c r="K55" s="67">
        <v>6.3E-2</v>
      </c>
      <c r="L55" s="27">
        <f t="shared" si="10"/>
        <v>0</v>
      </c>
      <c r="M55" s="211">
        <v>0.17699999999999999</v>
      </c>
      <c r="O55" s="212">
        <v>50</v>
      </c>
      <c r="P55" s="67" t="s">
        <v>62</v>
      </c>
      <c r="Q55" s="67" t="s">
        <v>62</v>
      </c>
      <c r="R55" s="67">
        <v>6.3E-2</v>
      </c>
      <c r="S55" s="27">
        <f t="shared" si="11"/>
        <v>0</v>
      </c>
      <c r="T55" s="211">
        <v>0.17699999999999999</v>
      </c>
    </row>
    <row r="56" spans="1:20">
      <c r="A56" s="212">
        <v>60</v>
      </c>
      <c r="B56" s="67" t="s">
        <v>62</v>
      </c>
      <c r="C56" s="67" t="s">
        <v>62</v>
      </c>
      <c r="D56" s="67">
        <v>6.3E-2</v>
      </c>
      <c r="E56" s="27">
        <f t="shared" si="9"/>
        <v>0</v>
      </c>
      <c r="F56" s="211">
        <v>0.17699999999999999</v>
      </c>
      <c r="H56" s="212">
        <v>60</v>
      </c>
      <c r="I56" s="67" t="s">
        <v>62</v>
      </c>
      <c r="J56" s="67" t="s">
        <v>62</v>
      </c>
      <c r="K56" s="67">
        <v>6.3E-2</v>
      </c>
      <c r="L56" s="27">
        <f t="shared" si="10"/>
        <v>0</v>
      </c>
      <c r="M56" s="211">
        <v>0.17699999999999999</v>
      </c>
      <c r="O56" s="212">
        <v>60</v>
      </c>
      <c r="P56" s="67" t="s">
        <v>62</v>
      </c>
      <c r="Q56" s="67" t="s">
        <v>62</v>
      </c>
      <c r="R56" s="67">
        <v>6.3E-2</v>
      </c>
      <c r="S56" s="27">
        <f t="shared" si="11"/>
        <v>0</v>
      </c>
      <c r="T56" s="211">
        <v>0.17699999999999999</v>
      </c>
    </row>
    <row r="57" spans="1:20">
      <c r="A57" s="232">
        <v>65</v>
      </c>
      <c r="B57" s="67" t="s">
        <v>62</v>
      </c>
      <c r="C57" s="67" t="s">
        <v>62</v>
      </c>
      <c r="D57" s="67">
        <v>6.3E-2</v>
      </c>
      <c r="E57" s="27">
        <f t="shared" si="9"/>
        <v>0</v>
      </c>
      <c r="F57" s="211">
        <v>0.17699999999999999</v>
      </c>
      <c r="H57" s="232">
        <v>65</v>
      </c>
      <c r="I57" s="67" t="s">
        <v>62</v>
      </c>
      <c r="J57" s="67" t="s">
        <v>62</v>
      </c>
      <c r="K57" s="67">
        <v>6.3E-2</v>
      </c>
      <c r="L57" s="27">
        <f t="shared" si="10"/>
        <v>0</v>
      </c>
      <c r="M57" s="211">
        <v>0.17699999999999999</v>
      </c>
      <c r="O57" s="232">
        <v>65</v>
      </c>
      <c r="P57" s="67" t="s">
        <v>62</v>
      </c>
      <c r="Q57" s="67" t="s">
        <v>62</v>
      </c>
      <c r="R57" s="67">
        <v>6.3E-2</v>
      </c>
      <c r="S57" s="27">
        <f t="shared" si="11"/>
        <v>0</v>
      </c>
      <c r="T57" s="211">
        <v>0.17699999999999999</v>
      </c>
    </row>
    <row r="58" spans="1:20">
      <c r="A58" s="212">
        <v>80</v>
      </c>
      <c r="B58" s="67" t="s">
        <v>62</v>
      </c>
      <c r="C58" s="67" t="s">
        <v>62</v>
      </c>
      <c r="D58" s="67">
        <v>6.3E-2</v>
      </c>
      <c r="E58" s="27">
        <f t="shared" si="9"/>
        <v>0</v>
      </c>
      <c r="F58" s="211">
        <v>0.17699999999999999</v>
      </c>
      <c r="H58" s="212">
        <v>80</v>
      </c>
      <c r="I58" s="67" t="s">
        <v>62</v>
      </c>
      <c r="J58" s="67" t="s">
        <v>62</v>
      </c>
      <c r="K58" s="67">
        <v>6.3E-2</v>
      </c>
      <c r="L58" s="27">
        <f t="shared" si="10"/>
        <v>0</v>
      </c>
      <c r="M58" s="211">
        <v>0.17699999999999999</v>
      </c>
      <c r="O58" s="212">
        <v>80</v>
      </c>
      <c r="P58" s="67" t="s">
        <v>62</v>
      </c>
      <c r="Q58" s="67" t="s">
        <v>62</v>
      </c>
      <c r="R58" s="67">
        <v>6.3E-2</v>
      </c>
      <c r="S58" s="27">
        <f t="shared" si="11"/>
        <v>0</v>
      </c>
      <c r="T58" s="211">
        <v>0.17699999999999999</v>
      </c>
    </row>
    <row r="59" spans="1:20">
      <c r="A59" s="212">
        <v>100</v>
      </c>
      <c r="B59" s="67" t="s">
        <v>62</v>
      </c>
      <c r="C59" s="67" t="s">
        <v>62</v>
      </c>
      <c r="D59" s="67">
        <v>3.0000000000000001E-3</v>
      </c>
      <c r="E59" s="27">
        <f t="shared" si="9"/>
        <v>0</v>
      </c>
      <c r="F59" s="211">
        <v>0.13800000000000001</v>
      </c>
      <c r="H59" s="212">
        <v>100</v>
      </c>
      <c r="I59" s="67" t="s">
        <v>62</v>
      </c>
      <c r="J59" s="67" t="s">
        <v>62</v>
      </c>
      <c r="K59" s="67">
        <v>3.0000000000000001E-3</v>
      </c>
      <c r="L59" s="27">
        <f t="shared" si="10"/>
        <v>0</v>
      </c>
      <c r="M59" s="211">
        <v>0.13800000000000001</v>
      </c>
      <c r="O59" s="212">
        <v>100</v>
      </c>
      <c r="P59" s="67" t="s">
        <v>62</v>
      </c>
      <c r="Q59" s="67" t="s">
        <v>62</v>
      </c>
      <c r="R59" s="67">
        <v>3.0000000000000001E-3</v>
      </c>
      <c r="S59" s="27">
        <f t="shared" si="11"/>
        <v>0</v>
      </c>
      <c r="T59" s="211">
        <v>0.13800000000000001</v>
      </c>
    </row>
    <row r="60" spans="1:20">
      <c r="A60" s="233">
        <v>120</v>
      </c>
      <c r="B60" s="67" t="s">
        <v>62</v>
      </c>
      <c r="C60" s="67" t="s">
        <v>62</v>
      </c>
      <c r="D60" s="67">
        <v>3.0000000000000001E-3</v>
      </c>
      <c r="E60" s="27">
        <f t="shared" si="9"/>
        <v>0</v>
      </c>
      <c r="F60" s="211">
        <v>0.13800000000000001</v>
      </c>
      <c r="H60" s="233">
        <v>120</v>
      </c>
      <c r="I60" s="67" t="s">
        <v>62</v>
      </c>
      <c r="J60" s="67" t="s">
        <v>62</v>
      </c>
      <c r="K60" s="67">
        <v>3.0000000000000001E-3</v>
      </c>
      <c r="L60" s="27">
        <f t="shared" si="10"/>
        <v>0</v>
      </c>
      <c r="M60" s="211">
        <v>0.13800000000000001</v>
      </c>
      <c r="O60" s="233">
        <v>120</v>
      </c>
      <c r="P60" s="67" t="s">
        <v>62</v>
      </c>
      <c r="Q60" s="67" t="s">
        <v>62</v>
      </c>
      <c r="R60" s="67">
        <v>3.0000000000000001E-3</v>
      </c>
      <c r="S60" s="27">
        <f t="shared" si="11"/>
        <v>0</v>
      </c>
      <c r="T60" s="211">
        <v>0.13800000000000001</v>
      </c>
    </row>
    <row r="61" spans="1:20" ht="14">
      <c r="A61" s="234">
        <v>150</v>
      </c>
      <c r="B61" s="67" t="s">
        <v>62</v>
      </c>
      <c r="C61" s="67" t="s">
        <v>62</v>
      </c>
      <c r="D61" s="67">
        <v>0</v>
      </c>
      <c r="E61" s="27">
        <f t="shared" si="9"/>
        <v>0</v>
      </c>
      <c r="F61" s="211">
        <v>0.13500000000000001</v>
      </c>
      <c r="H61" s="234">
        <v>150</v>
      </c>
      <c r="I61" s="67" t="s">
        <v>62</v>
      </c>
      <c r="J61" s="67" t="s">
        <v>62</v>
      </c>
      <c r="K61" s="67">
        <v>9.9999999999999995E-7</v>
      </c>
      <c r="L61" s="27">
        <f t="shared" si="10"/>
        <v>0</v>
      </c>
      <c r="M61" s="211">
        <v>0.13500000000000001</v>
      </c>
      <c r="O61" s="234">
        <v>150</v>
      </c>
      <c r="P61" s="67" t="s">
        <v>62</v>
      </c>
      <c r="Q61" s="67" t="s">
        <v>62</v>
      </c>
      <c r="R61" s="67">
        <v>9.9999999999999995E-7</v>
      </c>
      <c r="S61" s="27">
        <f t="shared" si="11"/>
        <v>0</v>
      </c>
      <c r="T61" s="211">
        <v>0.13500000000000001</v>
      </c>
    </row>
    <row r="62" spans="1:20">
      <c r="A62" s="212">
        <v>200</v>
      </c>
      <c r="B62" s="67" t="s">
        <v>62</v>
      </c>
      <c r="C62" s="67" t="s">
        <v>62</v>
      </c>
      <c r="D62" s="67">
        <v>-3.0000000000000001E-3</v>
      </c>
      <c r="E62" s="27">
        <f t="shared" si="9"/>
        <v>0</v>
      </c>
      <c r="F62" s="211">
        <v>0.13300000000000001</v>
      </c>
      <c r="H62" s="212">
        <v>200</v>
      </c>
      <c r="I62" s="67" t="s">
        <v>62</v>
      </c>
      <c r="J62" s="67" t="s">
        <v>62</v>
      </c>
      <c r="K62" s="67">
        <v>-3.0000000000000001E-3</v>
      </c>
      <c r="L62" s="27">
        <f t="shared" si="10"/>
        <v>0</v>
      </c>
      <c r="M62" s="211">
        <v>0.13300000000000001</v>
      </c>
      <c r="O62" s="212">
        <v>200</v>
      </c>
      <c r="P62" s="67" t="s">
        <v>62</v>
      </c>
      <c r="Q62" s="67" t="s">
        <v>62</v>
      </c>
      <c r="R62" s="67">
        <v>-3.0000000000000001E-3</v>
      </c>
      <c r="S62" s="27">
        <f t="shared" si="11"/>
        <v>0</v>
      </c>
      <c r="T62" s="211">
        <v>0.13300000000000001</v>
      </c>
    </row>
    <row r="63" spans="1:20">
      <c r="A63" s="212">
        <v>250</v>
      </c>
      <c r="B63" s="67" t="s">
        <v>62</v>
      </c>
      <c r="C63" s="67" t="s">
        <v>62</v>
      </c>
      <c r="D63" s="67">
        <v>3.3000000000000002E-2</v>
      </c>
      <c r="E63" s="27">
        <f t="shared" si="9"/>
        <v>0</v>
      </c>
      <c r="F63" s="211">
        <v>0.154</v>
      </c>
      <c r="H63" s="212">
        <v>250</v>
      </c>
      <c r="I63" s="67" t="s">
        <v>62</v>
      </c>
      <c r="J63" s="67" t="s">
        <v>62</v>
      </c>
      <c r="K63" s="67">
        <v>3.3000000000000002E-2</v>
      </c>
      <c r="L63" s="27">
        <f t="shared" si="10"/>
        <v>0</v>
      </c>
      <c r="M63" s="211">
        <v>0.154</v>
      </c>
      <c r="O63" s="212">
        <v>250</v>
      </c>
      <c r="P63" s="67" t="s">
        <v>62</v>
      </c>
      <c r="Q63" s="67" t="s">
        <v>62</v>
      </c>
      <c r="R63" s="67">
        <v>3.3000000000000002E-2</v>
      </c>
      <c r="S63" s="27">
        <f t="shared" si="11"/>
        <v>0</v>
      </c>
      <c r="T63" s="211">
        <v>0.154</v>
      </c>
    </row>
    <row r="64" spans="1:20">
      <c r="A64" s="212">
        <v>300</v>
      </c>
      <c r="B64" s="67" t="s">
        <v>62</v>
      </c>
      <c r="C64" s="67" t="s">
        <v>62</v>
      </c>
      <c r="D64" s="67">
        <v>9.9999999999999995E-7</v>
      </c>
      <c r="E64" s="27">
        <f t="shared" si="9"/>
        <v>0</v>
      </c>
      <c r="F64" s="211">
        <v>0.151</v>
      </c>
      <c r="H64" s="212">
        <v>300</v>
      </c>
      <c r="I64" s="67" t="s">
        <v>62</v>
      </c>
      <c r="J64" s="67" t="s">
        <v>62</v>
      </c>
      <c r="K64" s="67">
        <v>9.9999999999999995E-7</v>
      </c>
      <c r="L64" s="27">
        <f t="shared" si="10"/>
        <v>0</v>
      </c>
      <c r="M64" s="211">
        <v>0.151</v>
      </c>
      <c r="O64" s="212">
        <v>300</v>
      </c>
      <c r="P64" s="67" t="s">
        <v>62</v>
      </c>
      <c r="Q64" s="67" t="s">
        <v>62</v>
      </c>
      <c r="R64" s="67">
        <v>9.9999999999999995E-7</v>
      </c>
      <c r="S64" s="27">
        <f t="shared" si="11"/>
        <v>0</v>
      </c>
      <c r="T64" s="211">
        <v>0.151</v>
      </c>
    </row>
    <row r="65" spans="1:20">
      <c r="A65" s="44"/>
      <c r="B65" s="424"/>
      <c r="D65" s="424"/>
      <c r="E65" s="425"/>
      <c r="F65" s="63"/>
      <c r="H65" s="44"/>
      <c r="I65" s="424"/>
      <c r="K65" s="424"/>
      <c r="L65" s="425"/>
      <c r="M65" s="63"/>
      <c r="O65" s="44"/>
      <c r="P65" s="424"/>
      <c r="R65" s="424"/>
      <c r="S65" s="425"/>
      <c r="T65" s="63"/>
    </row>
    <row r="66" spans="1:20" s="450" customFormat="1" ht="15.75" customHeight="1" thickBot="1">
      <c r="A66" s="1402" t="s">
        <v>393</v>
      </c>
      <c r="B66" s="1402"/>
      <c r="C66" s="1402"/>
      <c r="D66" s="1402"/>
      <c r="E66" s="1402"/>
      <c r="F66" s="1402"/>
      <c r="H66" s="1402" t="s">
        <v>394</v>
      </c>
      <c r="I66" s="1402"/>
      <c r="J66" s="1402"/>
      <c r="K66" s="1402"/>
      <c r="L66" s="1402"/>
      <c r="M66" s="1402"/>
      <c r="O66" s="1402" t="s">
        <v>396</v>
      </c>
      <c r="P66" s="1402"/>
      <c r="Q66" s="1402"/>
      <c r="R66" s="1402"/>
      <c r="S66" s="1402"/>
      <c r="T66" s="1402"/>
    </row>
    <row r="67" spans="1:20" ht="15.75" customHeight="1">
      <c r="A67" s="1404" t="s">
        <v>201</v>
      </c>
      <c r="B67" s="1405"/>
      <c r="C67" s="1405"/>
      <c r="D67" s="1406"/>
      <c r="E67" s="633" t="s">
        <v>74</v>
      </c>
      <c r="F67" s="636" t="s">
        <v>176</v>
      </c>
      <c r="H67" s="1404" t="s">
        <v>201</v>
      </c>
      <c r="I67" s="1405"/>
      <c r="J67" s="1405"/>
      <c r="K67" s="1406"/>
      <c r="L67" s="633" t="s">
        <v>74</v>
      </c>
      <c r="M67" s="636" t="s">
        <v>176</v>
      </c>
      <c r="O67" s="1404" t="s">
        <v>201</v>
      </c>
      <c r="P67" s="1405"/>
      <c r="Q67" s="1405"/>
      <c r="R67" s="1406"/>
      <c r="S67" s="633" t="s">
        <v>74</v>
      </c>
      <c r="T67" s="636" t="s">
        <v>176</v>
      </c>
    </row>
    <row r="68" spans="1:20" ht="15.75" customHeight="1">
      <c r="A68" s="646" t="s">
        <v>202</v>
      </c>
      <c r="B68" s="1403" t="s">
        <v>75</v>
      </c>
      <c r="C68" s="1403"/>
      <c r="D68" s="1403"/>
      <c r="E68" s="634"/>
      <c r="F68" s="637"/>
      <c r="H68" s="646" t="s">
        <v>202</v>
      </c>
      <c r="I68" s="1403" t="s">
        <v>75</v>
      </c>
      <c r="J68" s="1403"/>
      <c r="K68" s="1403"/>
      <c r="L68" s="634"/>
      <c r="M68" s="637"/>
      <c r="O68" s="646" t="s">
        <v>202</v>
      </c>
      <c r="P68" s="1403" t="s">
        <v>75</v>
      </c>
      <c r="Q68" s="1403"/>
      <c r="R68" s="1403"/>
      <c r="S68" s="634"/>
      <c r="T68" s="637"/>
    </row>
    <row r="69" spans="1:20" ht="14">
      <c r="A69" s="179" t="s">
        <v>203</v>
      </c>
      <c r="B69" s="646">
        <v>2019</v>
      </c>
      <c r="C69" s="646">
        <v>2019</v>
      </c>
      <c r="D69" s="315">
        <v>2020</v>
      </c>
      <c r="E69" s="635"/>
      <c r="F69" s="638"/>
      <c r="H69" s="179" t="s">
        <v>203</v>
      </c>
      <c r="I69" s="646">
        <v>2019</v>
      </c>
      <c r="J69" s="646">
        <v>2019</v>
      </c>
      <c r="K69" s="315">
        <v>2020</v>
      </c>
      <c r="L69" s="635"/>
      <c r="M69" s="638"/>
      <c r="O69" s="179" t="s">
        <v>203</v>
      </c>
      <c r="P69" s="646">
        <v>2019</v>
      </c>
      <c r="Q69" s="646">
        <v>2019</v>
      </c>
      <c r="R69" s="315">
        <v>2020</v>
      </c>
      <c r="S69" s="635"/>
      <c r="T69" s="638"/>
    </row>
    <row r="70" spans="1:20">
      <c r="A70" s="212">
        <v>0</v>
      </c>
      <c r="B70" s="67" t="s">
        <v>62</v>
      </c>
      <c r="C70" s="67" t="s">
        <v>62</v>
      </c>
      <c r="D70" s="67">
        <v>9.9999999999999995E-7</v>
      </c>
      <c r="E70" s="27">
        <v>9.9999999999999995E-7</v>
      </c>
      <c r="F70" s="211">
        <v>0.123</v>
      </c>
      <c r="H70" s="212">
        <v>0</v>
      </c>
      <c r="I70" s="67" t="s">
        <v>62</v>
      </c>
      <c r="J70" s="67" t="s">
        <v>62</v>
      </c>
      <c r="K70" s="67">
        <v>9.9999999999999995E-7</v>
      </c>
      <c r="L70" s="27">
        <v>9.9999999999999995E-7</v>
      </c>
      <c r="M70" s="211">
        <v>0.123</v>
      </c>
      <c r="O70" s="212">
        <v>0</v>
      </c>
      <c r="P70" s="67" t="s">
        <v>62</v>
      </c>
      <c r="Q70" s="67" t="s">
        <v>62</v>
      </c>
      <c r="R70" s="67">
        <v>9.9999999999999995E-7</v>
      </c>
      <c r="S70" s="27">
        <v>9.9999999999999995E-7</v>
      </c>
      <c r="T70" s="211">
        <v>0.123</v>
      </c>
    </row>
    <row r="71" spans="1:20">
      <c r="A71" s="212">
        <v>50</v>
      </c>
      <c r="B71" s="67" t="s">
        <v>62</v>
      </c>
      <c r="C71" s="67" t="s">
        <v>62</v>
      </c>
      <c r="D71" s="67">
        <v>6.3E-2</v>
      </c>
      <c r="E71" s="27">
        <f t="shared" ref="E71:E80" si="12">0.5*(MAX(B71:D71)-MIN(B71:D71))</f>
        <v>0</v>
      </c>
      <c r="F71" s="211">
        <v>0.17699999999999999</v>
      </c>
      <c r="H71" s="212">
        <v>50</v>
      </c>
      <c r="I71" s="67" t="s">
        <v>62</v>
      </c>
      <c r="J71" s="67" t="s">
        <v>62</v>
      </c>
      <c r="K71" s="67">
        <v>6.3E-2</v>
      </c>
      <c r="L71" s="27">
        <f t="shared" ref="L71:L80" si="13">0.5*(MAX(I71:K71)-MIN(I71:K71))</f>
        <v>0</v>
      </c>
      <c r="M71" s="211">
        <v>0.17699999999999999</v>
      </c>
      <c r="O71" s="212">
        <v>50</v>
      </c>
      <c r="P71" s="67" t="s">
        <v>62</v>
      </c>
      <c r="Q71" s="67" t="s">
        <v>62</v>
      </c>
      <c r="R71" s="66">
        <v>6.3E-2</v>
      </c>
      <c r="S71" s="27">
        <f t="shared" ref="S71:S80" si="14">0.5*(MAX(P71:R71)-MIN(P71:R71))</f>
        <v>0</v>
      </c>
      <c r="T71" s="211">
        <v>0.17699999999999999</v>
      </c>
    </row>
    <row r="72" spans="1:20">
      <c r="A72" s="212">
        <v>60</v>
      </c>
      <c r="B72" s="67" t="s">
        <v>62</v>
      </c>
      <c r="C72" s="67" t="s">
        <v>62</v>
      </c>
      <c r="D72" s="67">
        <v>6.3E-2</v>
      </c>
      <c r="E72" s="27">
        <f t="shared" si="12"/>
        <v>0</v>
      </c>
      <c r="F72" s="211">
        <v>0.17699999999999999</v>
      </c>
      <c r="H72" s="212">
        <v>60</v>
      </c>
      <c r="I72" s="67" t="s">
        <v>62</v>
      </c>
      <c r="J72" s="67" t="s">
        <v>62</v>
      </c>
      <c r="K72" s="67">
        <v>6.3E-2</v>
      </c>
      <c r="L72" s="27">
        <f t="shared" si="13"/>
        <v>0</v>
      </c>
      <c r="M72" s="211">
        <v>0.17699999999999999</v>
      </c>
      <c r="O72" s="212">
        <v>60</v>
      </c>
      <c r="P72" s="67" t="s">
        <v>62</v>
      </c>
      <c r="Q72" s="67" t="s">
        <v>62</v>
      </c>
      <c r="R72" s="66">
        <v>6.3E-2</v>
      </c>
      <c r="S72" s="27">
        <f>0.5*(MAX(P72:R72)-MIN(P72:R72))</f>
        <v>0</v>
      </c>
      <c r="T72" s="211">
        <v>0.17699999999999999</v>
      </c>
    </row>
    <row r="73" spans="1:20">
      <c r="A73" s="232">
        <v>65</v>
      </c>
      <c r="B73" s="67" t="s">
        <v>62</v>
      </c>
      <c r="C73" s="67" t="s">
        <v>62</v>
      </c>
      <c r="D73" s="67">
        <v>6.3E-2</v>
      </c>
      <c r="E73" s="27">
        <f t="shared" si="12"/>
        <v>0</v>
      </c>
      <c r="F73" s="211">
        <v>0.17699999999999999</v>
      </c>
      <c r="H73" s="232">
        <v>65</v>
      </c>
      <c r="I73" s="67" t="s">
        <v>62</v>
      </c>
      <c r="J73" s="67" t="s">
        <v>62</v>
      </c>
      <c r="K73" s="67">
        <v>6.3E-2</v>
      </c>
      <c r="L73" s="27">
        <f t="shared" si="13"/>
        <v>0</v>
      </c>
      <c r="M73" s="211">
        <v>0.17699999999999999</v>
      </c>
      <c r="O73" s="232">
        <v>65</v>
      </c>
      <c r="P73" s="67" t="s">
        <v>62</v>
      </c>
      <c r="Q73" s="67" t="s">
        <v>62</v>
      </c>
      <c r="R73" s="66">
        <v>6.3E-2</v>
      </c>
      <c r="S73" s="27">
        <f t="shared" si="14"/>
        <v>0</v>
      </c>
      <c r="T73" s="211">
        <v>0.17699999999999999</v>
      </c>
    </row>
    <row r="74" spans="1:20">
      <c r="A74" s="212">
        <v>80</v>
      </c>
      <c r="B74" s="67" t="s">
        <v>62</v>
      </c>
      <c r="C74" s="67" t="s">
        <v>62</v>
      </c>
      <c r="D74" s="67">
        <v>6.3E-2</v>
      </c>
      <c r="E74" s="27">
        <f t="shared" si="12"/>
        <v>0</v>
      </c>
      <c r="F74" s="211">
        <v>0.17699999999999999</v>
      </c>
      <c r="H74" s="212">
        <v>80</v>
      </c>
      <c r="I74" s="67" t="s">
        <v>62</v>
      </c>
      <c r="J74" s="67" t="s">
        <v>62</v>
      </c>
      <c r="K74" s="67">
        <v>6.3E-2</v>
      </c>
      <c r="L74" s="27">
        <f t="shared" si="13"/>
        <v>0</v>
      </c>
      <c r="M74" s="211">
        <v>0.17699999999999999</v>
      </c>
      <c r="O74" s="212">
        <v>80</v>
      </c>
      <c r="P74" s="67" t="s">
        <v>62</v>
      </c>
      <c r="Q74" s="67" t="s">
        <v>62</v>
      </c>
      <c r="R74" s="66">
        <v>6.3E-2</v>
      </c>
      <c r="S74" s="27">
        <f t="shared" si="14"/>
        <v>0</v>
      </c>
      <c r="T74" s="211">
        <v>0.17699999999999999</v>
      </c>
    </row>
    <row r="75" spans="1:20">
      <c r="A75" s="212">
        <v>100</v>
      </c>
      <c r="B75" s="67" t="s">
        <v>62</v>
      </c>
      <c r="C75" s="67" t="s">
        <v>62</v>
      </c>
      <c r="D75" s="67">
        <v>3.0000000000000001E-3</v>
      </c>
      <c r="E75" s="27">
        <f t="shared" si="12"/>
        <v>0</v>
      </c>
      <c r="F75" s="211">
        <v>0.13800000000000001</v>
      </c>
      <c r="H75" s="212">
        <v>100</v>
      </c>
      <c r="I75" s="67" t="s">
        <v>62</v>
      </c>
      <c r="J75" s="67" t="s">
        <v>62</v>
      </c>
      <c r="K75" s="67">
        <v>3.0000000000000001E-3</v>
      </c>
      <c r="L75" s="27">
        <f t="shared" si="13"/>
        <v>0</v>
      </c>
      <c r="M75" s="211">
        <v>0.13800000000000001</v>
      </c>
      <c r="O75" s="212">
        <v>100</v>
      </c>
      <c r="P75" s="67" t="s">
        <v>62</v>
      </c>
      <c r="Q75" s="67" t="s">
        <v>62</v>
      </c>
      <c r="R75" s="66">
        <v>3.0000000000000001E-3</v>
      </c>
      <c r="S75" s="27">
        <f t="shared" si="14"/>
        <v>0</v>
      </c>
      <c r="T75" s="211">
        <v>0.13800000000000001</v>
      </c>
    </row>
    <row r="76" spans="1:20">
      <c r="A76" s="233">
        <v>120</v>
      </c>
      <c r="B76" s="67" t="s">
        <v>62</v>
      </c>
      <c r="C76" s="67" t="s">
        <v>62</v>
      </c>
      <c r="D76" s="67">
        <v>3.0000000000000001E-3</v>
      </c>
      <c r="E76" s="27">
        <f t="shared" si="12"/>
        <v>0</v>
      </c>
      <c r="F76" s="211">
        <v>0.13800000000000001</v>
      </c>
      <c r="H76" s="233">
        <v>120</v>
      </c>
      <c r="I76" s="67" t="s">
        <v>62</v>
      </c>
      <c r="J76" s="67" t="s">
        <v>62</v>
      </c>
      <c r="K76" s="67">
        <v>3.0000000000000001E-3</v>
      </c>
      <c r="L76" s="27">
        <f t="shared" si="13"/>
        <v>0</v>
      </c>
      <c r="M76" s="211">
        <v>0.13800000000000001</v>
      </c>
      <c r="O76" s="233">
        <v>120</v>
      </c>
      <c r="P76" s="67" t="s">
        <v>62</v>
      </c>
      <c r="Q76" s="67" t="s">
        <v>62</v>
      </c>
      <c r="R76" s="66">
        <v>3.0000000000000001E-3</v>
      </c>
      <c r="S76" s="27">
        <f t="shared" si="14"/>
        <v>0</v>
      </c>
      <c r="T76" s="211">
        <v>0.13800000000000001</v>
      </c>
    </row>
    <row r="77" spans="1:20" ht="14">
      <c r="A77" s="234">
        <v>150</v>
      </c>
      <c r="B77" s="67" t="s">
        <v>62</v>
      </c>
      <c r="C77" s="67" t="s">
        <v>62</v>
      </c>
      <c r="D77" s="67">
        <v>9.9999999999999995E-7</v>
      </c>
      <c r="E77" s="27">
        <f t="shared" si="12"/>
        <v>0</v>
      </c>
      <c r="F77" s="211">
        <v>0.13500000000000001</v>
      </c>
      <c r="H77" s="234">
        <v>150</v>
      </c>
      <c r="I77" s="67" t="s">
        <v>62</v>
      </c>
      <c r="J77" s="67" t="s">
        <v>62</v>
      </c>
      <c r="K77" s="67">
        <v>9.9999999999999995E-7</v>
      </c>
      <c r="L77" s="27">
        <f t="shared" si="13"/>
        <v>0</v>
      </c>
      <c r="M77" s="211">
        <v>0.13500000000000001</v>
      </c>
      <c r="O77" s="234">
        <v>150</v>
      </c>
      <c r="P77" s="67" t="s">
        <v>62</v>
      </c>
      <c r="Q77" s="67" t="s">
        <v>62</v>
      </c>
      <c r="R77" s="67">
        <v>9.9999999999999995E-7</v>
      </c>
      <c r="S77" s="27">
        <f t="shared" si="14"/>
        <v>0</v>
      </c>
      <c r="T77" s="211">
        <v>0.13500000000000001</v>
      </c>
    </row>
    <row r="78" spans="1:20">
      <c r="A78" s="212">
        <v>200</v>
      </c>
      <c r="B78" s="67" t="s">
        <v>62</v>
      </c>
      <c r="C78" s="67" t="s">
        <v>62</v>
      </c>
      <c r="D78" s="67">
        <v>-3.0000000000000001E-3</v>
      </c>
      <c r="E78" s="27">
        <f t="shared" si="12"/>
        <v>0</v>
      </c>
      <c r="F78" s="211">
        <v>0.13300000000000001</v>
      </c>
      <c r="H78" s="212">
        <v>200</v>
      </c>
      <c r="I78" s="67" t="s">
        <v>62</v>
      </c>
      <c r="J78" s="67" t="s">
        <v>62</v>
      </c>
      <c r="K78" s="67">
        <v>-3.0000000000000001E-3</v>
      </c>
      <c r="L78" s="27">
        <f t="shared" si="13"/>
        <v>0</v>
      </c>
      <c r="M78" s="211">
        <v>0.13300000000000001</v>
      </c>
      <c r="O78" s="212">
        <v>200</v>
      </c>
      <c r="P78" s="67" t="s">
        <v>62</v>
      </c>
      <c r="Q78" s="67" t="s">
        <v>62</v>
      </c>
      <c r="R78" s="66">
        <v>-3.0000000000000001E-3</v>
      </c>
      <c r="S78" s="27">
        <f t="shared" si="14"/>
        <v>0</v>
      </c>
      <c r="T78" s="211">
        <v>0.13300000000000001</v>
      </c>
    </row>
    <row r="79" spans="1:20">
      <c r="A79" s="212">
        <v>250</v>
      </c>
      <c r="B79" s="67" t="s">
        <v>62</v>
      </c>
      <c r="C79" s="67" t="s">
        <v>62</v>
      </c>
      <c r="D79" s="67">
        <v>3.3000000000000002E-2</v>
      </c>
      <c r="E79" s="27">
        <f t="shared" si="12"/>
        <v>0</v>
      </c>
      <c r="F79" s="211">
        <v>0.154</v>
      </c>
      <c r="H79" s="212">
        <v>250</v>
      </c>
      <c r="I79" s="67" t="s">
        <v>62</v>
      </c>
      <c r="J79" s="67" t="s">
        <v>62</v>
      </c>
      <c r="K79" s="67">
        <v>3.3000000000000002E-2</v>
      </c>
      <c r="L79" s="27">
        <f t="shared" si="13"/>
        <v>0</v>
      </c>
      <c r="M79" s="211">
        <v>0.154</v>
      </c>
      <c r="O79" s="212">
        <v>250</v>
      </c>
      <c r="P79" s="67" t="s">
        <v>62</v>
      </c>
      <c r="Q79" s="67" t="s">
        <v>62</v>
      </c>
      <c r="R79" s="66">
        <v>3.3000000000000002E-2</v>
      </c>
      <c r="S79" s="27">
        <f t="shared" si="14"/>
        <v>0</v>
      </c>
      <c r="T79" s="211">
        <v>0.154</v>
      </c>
    </row>
    <row r="80" spans="1:20">
      <c r="A80" s="212">
        <v>300</v>
      </c>
      <c r="B80" s="67" t="s">
        <v>62</v>
      </c>
      <c r="C80" s="67" t="s">
        <v>62</v>
      </c>
      <c r="D80" s="67">
        <v>9.9999999999999995E-7</v>
      </c>
      <c r="E80" s="27">
        <f t="shared" si="12"/>
        <v>0</v>
      </c>
      <c r="F80" s="211">
        <v>0.151</v>
      </c>
      <c r="H80" s="212">
        <v>300</v>
      </c>
      <c r="I80" s="67" t="s">
        <v>62</v>
      </c>
      <c r="J80" s="67" t="s">
        <v>62</v>
      </c>
      <c r="K80" s="67">
        <v>9.9999999999999995E-7</v>
      </c>
      <c r="L80" s="27">
        <f t="shared" si="13"/>
        <v>0</v>
      </c>
      <c r="M80" s="211">
        <v>0.151</v>
      </c>
      <c r="O80" s="212">
        <v>300</v>
      </c>
      <c r="P80" s="67" t="s">
        <v>62</v>
      </c>
      <c r="Q80" s="67" t="s">
        <v>62</v>
      </c>
      <c r="R80" s="67">
        <v>9.9999999999999995E-7</v>
      </c>
      <c r="S80" s="27">
        <f t="shared" si="14"/>
        <v>0</v>
      </c>
      <c r="T80" s="211">
        <v>0.151</v>
      </c>
    </row>
    <row r="84" spans="1:16" s="450" customFormat="1" ht="35.25" customHeight="1">
      <c r="A84" s="1398" t="str">
        <f>IF(ID!$B$94=$A$2,A2,IF(ID!$B$94=$H$2,H2,IF(ID!$B$94=$O$2,O2,IF(ID!$B$94=$A$18,A18,IF(ID!$B$94=$H$18,H18,IF(ID!$B$94=$O$18,O18,IF(ID!$B$94=$A$34,A34,IF(ID!$B$94=$H$34,H34,IF(ID!$B$94=$O$34,O34,IF(ID!$B$94=$A$50,A50,IF(ID!$B$94=$H$50,H50,IF(ID!$B$94=$O$50,O50,IF(ID!$B$94=$A$66,A66,IF(ID!$B$94=$H$66,H66,O66))))))))))))))</f>
        <v>Vital Sign Simulator, Merek : Fluke Biomedical, Model : Prosim 8, SN : 3217028</v>
      </c>
      <c r="B84" s="1399"/>
      <c r="C84" s="1399"/>
      <c r="D84" s="1399"/>
      <c r="E84" s="1399"/>
      <c r="F84" s="1400"/>
      <c r="H84" s="460" t="s">
        <v>134</v>
      </c>
      <c r="I84" s="460" t="s">
        <v>356</v>
      </c>
      <c r="J84" s="461" t="s">
        <v>354</v>
      </c>
      <c r="K84" s="462" t="s">
        <v>350</v>
      </c>
      <c r="L84" s="462" t="s">
        <v>351</v>
      </c>
      <c r="M84" s="461" t="s">
        <v>353</v>
      </c>
      <c r="N84" s="460" t="s">
        <v>259</v>
      </c>
      <c r="O84" s="460" t="s">
        <v>25</v>
      </c>
      <c r="P84" s="460" t="s">
        <v>355</v>
      </c>
    </row>
    <row r="85" spans="1:16" ht="15" customHeight="1">
      <c r="A85" s="1398" t="str">
        <f>IF(ID!$B$94=$A$2,A3,IF(ID!$B$94=$H$2,H3,IF(ID!$B$94=$O$2,O3,IF(ID!$B$94=$A$18,A19,IF(ID!$B$94=$H$18,H19,IF(ID!$B$94=$O$18,O19,IF(ID!$B$94=$A$34,A35,IF(ID!$B$94=$H$34,H35,IF(ID!$B$94=$O$34,O35,IF(ID!$B$94=$A$50,A51,IF(ID!$B$94=$H$50,H51,IF(ID!$B$94=$O$50,O51,IF(ID!$B$94=$A$66,A67,IF(ID!$B$94=$H$66,H67,O67))))))))))))))</f>
        <v xml:space="preserve"> KOREKSI NIBP SIMULATOR</v>
      </c>
      <c r="B85" s="1399"/>
      <c r="C85" s="1399"/>
      <c r="D85" s="1400"/>
      <c r="E85" s="1155" t="str">
        <f>IF(ID!$B$94=$A$2,E3,IF(ID!$B$94=$H$2,L3,IF(ID!$B$94=$O$2,S3,IF(ID!$B$94=$A$18,E19,IF(ID!$B$94=$H$18,L19,IF(ID!$B$94=$O$18,S19,IF(ID!$B$94=$A$34,E35,IF(ID!$B$94=$H$34,L35,IF(ID!$B$94=$O$34,S35,IF(ID!$B$94=$A$50,E51,IF(ID!$B$94=$H$50,L51,IF(ID!$B$94=$O$50,S51,IF(ID!$B$94=$A$66,E67,IF(ID!$B$94=$H$66,L67,S67))))))))))))))</f>
        <v>DRIFT</v>
      </c>
      <c r="F85" s="1155" t="str">
        <f>IF(ID!$B$94=$A$2,F3,IF(ID!$B$94=$H$2,M3,IF(ID!$B$94=$O$2,T3,IF(ID!$B$94=$A$18,F19,IF(ID!$B$94=$H$18,M19,IF(ID!$B$94=$O$18,T19,IF(ID!$B$94=$A$34,F35,IF(ID!$B$94=$H$34,M35,IF(ID!$B$94=$O$34,T35,IF(ID!$B$94=$A$50,F51,IF(ID!$B$94=$H$50,M51,IF(ID!$B$94=$O$50,T51,IF(ID!$B$94=$A$66,F67,IF(ID!$B$94=$H$66,M67,T67))))))))))))))</f>
        <v>U95    STD</v>
      </c>
      <c r="H85" s="463">
        <f>ID!D54</f>
        <v>120</v>
      </c>
      <c r="I85" s="464">
        <f>ID!H54</f>
        <v>120</v>
      </c>
      <c r="J85" s="465">
        <f>(FORECAST(I85,'DB NIBP'!$D$88:$D$99,'DB NIBP'!$A$88:$A$99))</f>
        <v>-0.14742032294198459</v>
      </c>
      <c r="K85" s="466">
        <f>(FORECAST(N85,'DB NIBP'!$E$88:$E$99,'DB NIBP'!$A$88:$A$99))</f>
        <v>0.11296582145551129</v>
      </c>
      <c r="L85" s="466">
        <f>(FORECAST(N85,'DB NIBP'!$F$88:$F$99,'DB NIBP'!$A$88:$A$99))</f>
        <v>1.4764668078110768</v>
      </c>
      <c r="M85" s="467">
        <f>ID!J54</f>
        <v>0</v>
      </c>
      <c r="N85" s="464">
        <f>I85+J85</f>
        <v>119.85257967705802</v>
      </c>
      <c r="O85" s="468">
        <f>H85-N85</f>
        <v>0.14742032294198282</v>
      </c>
      <c r="P85" s="469">
        <f>Budget!J87</f>
        <v>1.588052833573893</v>
      </c>
    </row>
    <row r="86" spans="1:16" ht="14">
      <c r="A86" s="1155" t="str">
        <f>IF(ID!$B$94=$A$2,A4,IF(ID!$B$94=$H$2,H4,IF(ID!$B$94=$O$2,O4,IF(ID!$B$94=$A$18,A20,IF(ID!$B$94=$H$18,H20,IF(ID!$B$94=$O$18,O20,IF(ID!$B$94=$A$34,A36,IF(ID!$B$94=$H$34,H36,IF(ID!$B$94=$O$34,O36,IF(ID!$B$94=$A$50,A52,IF(ID!$B$94=$H$50,H52,IF(ID!$B$94=$O$50,O52,IF(ID!$B$94=$A$66,A68,IF(ID!$B$94=$H$66,H68,O68))))))))))))))</f>
        <v>Tekanan Naik</v>
      </c>
      <c r="B86" s="1398" t="str">
        <f>IF(ID!$B$94=$A$2,B4,IF(ID!$B$94=$H$2,I4,IF(ID!$B$94=$O$2,P4,IF(ID!$B$94=$A$18,B20,IF(ID!$B$94=$H$18,I20,IF(ID!$B$94=$O$18,P20,IF(ID!$B$94=$A$34,B36,IF(ID!$B$94=$H$34,I36,IF(ID!$B$94=$O$34,P36,IF(ID!$B$94=$A$50,B52,IF(ID!$B$94=$H$50,I52,IF(ID!$B$94=$O$50,P52,IF(ID!$B$94=$A$66,B68,IF(ID!$B$94=$H$66,I68,P68))))))))))))))</f>
        <v>Tahun</v>
      </c>
      <c r="C86" s="1399"/>
      <c r="D86" s="1400"/>
      <c r="E86" s="1155"/>
      <c r="F86" s="1155"/>
      <c r="H86" s="463">
        <f>ID!D55</f>
        <v>80</v>
      </c>
      <c r="I86" s="464">
        <f>ID!H55</f>
        <v>79.666666666666671</v>
      </c>
      <c r="J86" s="465">
        <f>(FORECAST(I86,'DB NIBP'!$D$88:$D$99,'DB NIBP'!$A$88:$A$99))</f>
        <v>-0.10457647211243794</v>
      </c>
      <c r="K86" s="466">
        <f>(FORECAST(N86,'DB NIBP'!$E$88:$E$99,'DB NIBP'!$A$88:$A$99))</f>
        <v>6.6712199451703688E-2</v>
      </c>
      <c r="L86" s="466">
        <f>(FORECAST(N86,'DB NIBP'!$F$88:$F$99,'DB NIBP'!$A$88:$A$99))</f>
        <v>1.4015315214439557</v>
      </c>
      <c r="M86" s="467">
        <f>ID!J55</f>
        <v>0.57735026918962573</v>
      </c>
      <c r="N86" s="464">
        <f t="shared" ref="N86:N92" si="15">I86+J86</f>
        <v>79.56209019455423</v>
      </c>
      <c r="O86" s="468">
        <f>H86-N86</f>
        <v>0.43790980544576996</v>
      </c>
      <c r="P86" s="469">
        <f>Budget!J99</f>
        <v>1.6722650552392926</v>
      </c>
    </row>
    <row r="87" spans="1:16" ht="14">
      <c r="A87" s="1155" t="str">
        <f>IF(ID!$B$94=$A$2,A5,IF(ID!$B$94=$H$2,H5,IF(ID!$B$94=$O$2,O5,IF(ID!$B$94=$A$18,A21,IF(ID!$B$94=$H$18,H21,IF(ID!$B$94=$O$18,O21,IF(ID!$B$94=$A$34,A37,IF(ID!$B$94=$H$34,H37,IF(ID!$B$94=$O$34,O37,IF(ID!$B$94=$A$50,A53,IF(ID!$B$94=$H$50,H53,IF(ID!$B$94=$O$50,O53,IF(ID!$B$94=$A$66,A69,IF(ID!$B$94=$H$66,H69,O69))))))))))))))</f>
        <v>( mmHg )</v>
      </c>
      <c r="B87" s="1155">
        <f>IF(ID!$B$94=$A$2,B5,IF(ID!$B$94=$H$2,I5,IF(ID!$B$94=$O$2,P5,IF(ID!$B$94=$A$18,B21,IF(ID!$B$94=$H$18,I21,IF(ID!$B$94=$O$18,P21,IF(ID!$B$94=$A$34,B37,IF(ID!$B$94=$H$34,I37,IF(ID!$B$94=$O$34,P37,IF(ID!$B$94=$A$50,B53,IF(ID!$B$94=$H$50,I53,IF(ID!$B$94=$O$50,P53,IF(ID!$B$94=$A$66,B69,IF(ID!$B$94=$H$66,I69,P69))))))))))))))</f>
        <v>2015</v>
      </c>
      <c r="C87" s="1155">
        <f>IF(ID!$B$94=$A$2,C5,IF(ID!$B$94=$H$2,J5,IF(ID!$B$94=$O$2,Q5,IF(ID!$B$94=$A$18,C21,IF(ID!$B$94=$H$18,J21,IF(ID!$B$94=$O$18,Q21,IF(ID!$B$94=$A$34,C37,IF(ID!$B$94=$H$34,J37,IF(ID!$B$94=$O$34,Q37,IF(ID!$B$94=$A$50,C53,IF(ID!$B$94=$H$50,J53,IF(ID!$B$94=$O$50,Q53,IF(ID!$B$94=$A$66,C69,IF(ID!$B$94=$H$66,J69,Q69))))))))))))))</f>
        <v>2015</v>
      </c>
      <c r="D87" s="1155">
        <f>IF(ID!$B$94=$A$2,D5,IF(ID!$B$94=$H$2,K5,IF(ID!$B$94=$O$2,R5,IF(ID!$B$94=$A$18,D21,IF(ID!$B$94=$H$18,K21,IF(ID!$B$94=$O$18,R21,IF(ID!$B$94=$A$34,D37,IF(ID!$B$94=$H$34,K37,IF(ID!$B$94=$O$34,R37,IF(ID!$B$94=$A$50,D53,IF(ID!$B$94=$H$50,K53,IF(ID!$B$94=$O$50,R53,IF(ID!$B$94=$A$66,D69,IF(ID!$B$94=$H$66,K69,R69))))))))))))))</f>
        <v>2017</v>
      </c>
      <c r="E87" s="1155"/>
      <c r="F87" s="1155"/>
      <c r="H87" s="463">
        <f>ID!D56</f>
        <v>150</v>
      </c>
      <c r="I87" s="464">
        <f>ID!H56</f>
        <v>149.66666666666666</v>
      </c>
      <c r="J87" s="465">
        <f>(FORECAST(I87,'DB NIBP'!$D$88:$D$99,'DB NIBP'!$A$88:$A$99))</f>
        <v>-0.17893356859346926</v>
      </c>
      <c r="K87" s="466">
        <f>(FORECAST(N87,'DB NIBP'!$E$88:$E$99,'DB NIBP'!$A$88:$A$99))</f>
        <v>0.14698708061533672</v>
      </c>
      <c r="L87" s="466">
        <f>(FORECAST(N87,'DB NIBP'!$F$88:$F$99,'DB NIBP'!$A$88:$A$99))</f>
        <v>1.5315844977835873</v>
      </c>
      <c r="M87" s="467">
        <f>ID!J56</f>
        <v>0.57735026918962584</v>
      </c>
      <c r="N87" s="464">
        <f t="shared" si="15"/>
        <v>149.48773309807319</v>
      </c>
      <c r="O87" s="468">
        <f t="shared" ref="O87:O92" si="16">H87-N87</f>
        <v>0.51226690192680735</v>
      </c>
      <c r="P87" s="469">
        <f>Budget!J111</f>
        <v>1.7858399760720953</v>
      </c>
    </row>
    <row r="88" spans="1:16" ht="14">
      <c r="A88" s="1155">
        <f>IF(ID!$B$94=$A$2,A6,IF(ID!$B$94=$H$2,H6,IF(ID!$B$94=$O$2,O6,IF(ID!$B$94=$A$18,A22,IF(ID!$B$94=$H$18,H22,IF(ID!$B$94=$O$18,O22,IF(ID!$B$94=$A$34,A38,IF(ID!$B$94=$H$34,H38,IF(ID!$B$94=$O$34,O38,IF(ID!$B$94=$A$50,A54,IF(ID!$B$94=$H$50,H54,IF(ID!$B$94=$O$50,O54,IF(ID!$B$94=$A$66,A70,IF(ID!$B$94=$H$66,H70,O70))))))))))))))</f>
        <v>0</v>
      </c>
      <c r="B88" s="1155">
        <f>IF(ID!$B$94=$A$2,B6,IF(ID!$B$94=$H$2,I6,IF(ID!$B$94=$O$2,P6,IF(ID!$B$94=$A$18,B22,IF(ID!$B$94=$H$18,I22,IF(ID!$B$94=$O$18,P22,IF(ID!$B$94=$A$34,B38,IF(ID!$B$94=$H$34,I38,IF(ID!$B$94=$O$34,P38,IF(ID!$B$94=$A$50,B54,IF(ID!$B$94=$H$50,I54,IF(ID!$B$94=$O$50,P54,IF(ID!$B$94=$A$66,B70,IF(ID!$B$94=$H$66,I70,P70))))))))))))))</f>
        <v>9.9999999999999995E-7</v>
      </c>
      <c r="C88" s="1155">
        <f>IF(ID!$B$94=$A$2,C6,IF(ID!$B$94=$H$2,J6,IF(ID!$B$94=$O$2,Q6,IF(ID!$B$94=$A$18,C22,IF(ID!$B$94=$H$18,J22,IF(ID!$B$94=$O$18,Q22,IF(ID!$B$94=$A$34,C38,IF(ID!$B$94=$H$34,J38,IF(ID!$B$94=$O$34,Q38,IF(ID!$B$94=$A$50,C54,IF(ID!$B$94=$H$50,J54,IF(ID!$B$94=$O$50,Q54,IF(ID!$B$94=$A$66,C70,IF(ID!$B$94=$H$66,J70,Q70))))))))))))))</f>
        <v>9.9999999999999995E-7</v>
      </c>
      <c r="D88" s="1155">
        <f>IF(ID!$B$94=$A$2,D6,IF(ID!$B$94=$H$2,K6,IF(ID!$B$94=$O$2,R6,IF(ID!$B$94=$A$18,D22,IF(ID!$B$94=$H$18,K22,IF(ID!$B$94=$O$18,R22,IF(ID!$B$94=$A$34,D38,IF(ID!$B$94=$H$34,K38,IF(ID!$B$94=$O$34,R38,IF(ID!$B$94=$A$50,D54,IF(ID!$B$94=$H$50,K54,IF(ID!$B$94=$O$50,R54,IF(ID!$B$94=$A$66,D70,IF(ID!$B$94=$H$66,K70,R70))))))))))))))</f>
        <v>9.9999999999999995E-7</v>
      </c>
      <c r="E88" s="1155">
        <f>IF(ID!$B$94=$A$2,E6,IF(ID!$B$94=$H$2,L6,IF(ID!$B$94=$O$2,S6,IF(ID!$B$94=$A$18,E22,IF(ID!$B$94=$H$18,L22,IF(ID!$B$94=$O$18,S22,IF(ID!$B$94=$A$34,E38,IF(ID!$B$94=$H$34,L38,IF(ID!$B$94=$O$34,S38,IF(ID!$B$94=$A$50,E54,IF(ID!$B$94=$H$50,L54,IF(ID!$B$94=$O$50,S54,IF(ID!$B$94=$A$66,E70,IF(ID!$B$94=$H$66,L70,S70))))))))))))))</f>
        <v>0</v>
      </c>
      <c r="F88" s="1155">
        <f>IF(ID!$B$94=$A$2,F6,IF(ID!$B$94=$H$2,M6,IF(ID!$B$94=$O$2,T6,IF(ID!$B$94=$A$18,F22,IF(ID!$B$94=$H$18,M22,IF(ID!$B$94=$O$18,T22,IF(ID!$B$94=$A$34,F38,IF(ID!$B$94=$H$34,M38,IF(ID!$B$94=$O$34,T38,IF(ID!$B$94=$A$50,F54,IF(ID!$B$94=$H$50,M54,IF(ID!$B$94=$O$50,T54,IF(ID!$B$94=$A$66,F70,IF(ID!$B$94=$H$66,M70,T70))))))))))))))</f>
        <v>1.6</v>
      </c>
      <c r="H88" s="463">
        <f>ID!D57</f>
        <v>100</v>
      </c>
      <c r="I88" s="464">
        <f>ID!H57</f>
        <v>99.666666666666671</v>
      </c>
      <c r="J88" s="465">
        <f>(FORECAST(I88,'DB NIBP'!$D$88:$D$99,'DB NIBP'!$A$88:$A$99))</f>
        <v>-0.12582135682130402</v>
      </c>
      <c r="K88" s="466">
        <f>(FORECAST(N88,'DB NIBP'!$E$88:$E$99,'DB NIBP'!$A$88:$A$99))</f>
        <v>8.964787978417027E-2</v>
      </c>
      <c r="L88" s="466">
        <f>(FORECAST(N88,'DB NIBP'!$F$88:$F$99,'DB NIBP'!$A$88:$A$99))</f>
        <v>1.4386895146838505</v>
      </c>
      <c r="M88" s="467">
        <f>ID!J57</f>
        <v>0.57735026918962573</v>
      </c>
      <c r="N88" s="464">
        <f t="shared" si="15"/>
        <v>99.540845309845366</v>
      </c>
      <c r="O88" s="468">
        <f t="shared" si="16"/>
        <v>0.45915469015463373</v>
      </c>
      <c r="P88" s="469">
        <f>Budget!J123</f>
        <v>1.7039244978711654</v>
      </c>
    </row>
    <row r="89" spans="1:16" ht="14">
      <c r="A89" s="1155">
        <f>IF(ID!$B$94=$A$2,A7,IF(ID!$B$94=$H$2,H7,IF(ID!$B$94=$O$2,O7,IF(ID!$B$94=$A$18,A23,IF(ID!$B$94=$H$18,H23,IF(ID!$B$94=$O$18,O23,IF(ID!$B$94=$A$34,A39,IF(ID!$B$94=$H$34,H39,IF(ID!$B$94=$O$34,O39,IF(ID!$B$94=$A$50,A55,IF(ID!$B$94=$H$50,H55,IF(ID!$B$94=$O$50,O55,IF(ID!$B$94=$A$66,A71,IF(ID!$B$94=$H$66,H71,O71))))))))))))))</f>
        <v>50</v>
      </c>
      <c r="B89" s="1155">
        <f>IF(ID!$B$94=$A$2,B7,IF(ID!$B$94=$H$2,I7,IF(ID!$B$94=$O$2,P7,IF(ID!$B$94=$A$18,B23,IF(ID!$B$94=$H$18,I23,IF(ID!$B$94=$O$18,P23,IF(ID!$B$94=$A$34,B39,IF(ID!$B$94=$H$34,I39,IF(ID!$B$94=$O$34,P39,IF(ID!$B$94=$A$50,B55,IF(ID!$B$94=$H$50,I55,IF(ID!$B$94=$O$50,P55,IF(ID!$B$94=$A$66,B71,IF(ID!$B$94=$H$66,I71,P71))))))))))))))</f>
        <v>-3.0000000000000001E-3</v>
      </c>
      <c r="C89" s="1155">
        <f>IF(ID!$B$94=$A$2,C7,IF(ID!$B$94=$H$2,J7,IF(ID!$B$94=$O$2,Q7,IF(ID!$B$94=$A$18,C23,IF(ID!$B$94=$H$18,J23,IF(ID!$B$94=$O$18,Q23,IF(ID!$B$94=$A$34,C39,IF(ID!$B$94=$H$34,J39,IF(ID!$B$94=$O$34,Q39,IF(ID!$B$94=$A$50,C55,IF(ID!$B$94=$H$50,J55,IF(ID!$B$94=$O$50,Q55,IF(ID!$B$94=$A$66,C71,IF(ID!$B$94=$H$66,J71,Q71))))))))))))))</f>
        <v>-3.0000000000000001E-3</v>
      </c>
      <c r="D89" s="1155">
        <f>IF(ID!$B$94=$A$2,D7,IF(ID!$B$94=$H$2,K7,IF(ID!$B$94=$O$2,R7,IF(ID!$B$94=$A$18,D23,IF(ID!$B$94=$H$18,K23,IF(ID!$B$94=$O$18,R23,IF(ID!$B$94=$A$34,D39,IF(ID!$B$94=$H$34,K39,IF(ID!$B$94=$O$34,R39,IF(ID!$B$94=$A$50,D55,IF(ID!$B$94=$H$50,K55,IF(ID!$B$94=$O$50,R55,IF(ID!$B$94=$A$66,D71,IF(ID!$B$94=$H$66,K71,R71))))))))))))))</f>
        <v>9.9999999999999995E-7</v>
      </c>
      <c r="E89" s="1155">
        <f>IF(ID!$B$94=$A$2,E7,IF(ID!$B$94=$H$2,L7,IF(ID!$B$94=$O$2,S7,IF(ID!$B$94=$A$18,E23,IF(ID!$B$94=$H$18,L23,IF(ID!$B$94=$O$18,S23,IF(ID!$B$94=$A$34,E39,IF(ID!$B$94=$H$34,L39,IF(ID!$B$94=$O$34,S39,IF(ID!$B$94=$A$50,E55,IF(ID!$B$94=$H$50,L55,IF(ID!$B$94=$O$50,S55,IF(ID!$B$94=$A$66,E71,IF(ID!$B$94=$H$66,L71,S71))))))))))))))</f>
        <v>1.5005000000000001E-3</v>
      </c>
      <c r="F89" s="1155">
        <f>IF(ID!$B$94=$A$2,F7,IF(ID!$B$94=$H$2,M7,IF(ID!$B$94=$O$2,T7,IF(ID!$B$94=$A$18,F23,IF(ID!$B$94=$H$18,M23,IF(ID!$B$94=$O$18,T23,IF(ID!$B$94=$A$34,F39,IF(ID!$B$94=$H$34,M39,IF(ID!$B$94=$O$34,T39,IF(ID!$B$94=$A$50,F55,IF(ID!$B$94=$H$50,M55,IF(ID!$B$94=$O$50,T55,IF(ID!$B$94=$A$66,F71,IF(ID!$B$94=$H$66,M71,T71))))))))))))))</f>
        <v>1.6</v>
      </c>
      <c r="H89" s="463">
        <f>ID!D58</f>
        <v>200</v>
      </c>
      <c r="I89" s="464">
        <f>ID!H58</f>
        <v>199.66666666666666</v>
      </c>
      <c r="J89" s="465">
        <f>(FORECAST(I89,'DB NIBP'!$D$88:$D$99,'DB NIBP'!$A$88:$A$99))</f>
        <v>-0.23204578036563456</v>
      </c>
      <c r="K89" s="466">
        <f>(FORECAST(N89,'DB NIBP'!$E$88:$E$99,'DB NIBP'!$A$88:$A$99))</f>
        <v>0.20432628144650317</v>
      </c>
      <c r="L89" s="466">
        <f>(FORECAST(N89,'DB NIBP'!$F$88:$F$99,'DB NIBP'!$A$88:$A$99))</f>
        <v>1.6244794808833241</v>
      </c>
      <c r="M89" s="467">
        <f>ID!J58</f>
        <v>0.57735026918962584</v>
      </c>
      <c r="N89" s="464">
        <f t="shared" si="15"/>
        <v>199.43462088630102</v>
      </c>
      <c r="O89" s="468">
        <f t="shared" si="16"/>
        <v>0.56537911369898097</v>
      </c>
      <c r="P89" s="469">
        <f>Budget!J135</f>
        <v>1.8712674958247049</v>
      </c>
    </row>
    <row r="90" spans="1:16" ht="14">
      <c r="A90" s="1155">
        <f>IF(ID!$B$94=$A$2,A8,IF(ID!$B$94=$H$2,H8,IF(ID!$B$94=$O$2,O8,IF(ID!$B$94=$A$18,A24,IF(ID!$B$94=$H$18,H24,IF(ID!$B$94=$O$18,O24,IF(ID!$B$94=$A$34,A40,IF(ID!$B$94=$H$34,H40,IF(ID!$B$94=$O$34,O40,IF(ID!$B$94=$A$50,A56,IF(ID!$B$94=$H$50,H56,IF(ID!$B$94=$O$50,O56,IF(ID!$B$94=$A$66,A72,IF(ID!$B$94=$H$66,H72,O72))))))))))))))</f>
        <v>60</v>
      </c>
      <c r="B90" s="1155">
        <f>IF(ID!$B$94=$A$2,B8,IF(ID!$B$94=$H$2,I8,IF(ID!$B$94=$O$2,P8,IF(ID!$B$94=$A$18,B24,IF(ID!$B$94=$H$18,I24,IF(ID!$B$94=$O$18,P24,IF(ID!$B$94=$A$34,B40,IF(ID!$B$94=$H$34,I40,IF(ID!$B$94=$O$34,P40,IF(ID!$B$94=$A$50,B56,IF(ID!$B$94=$H$50,I56,IF(ID!$B$94=$O$50,P56,IF(ID!$B$94=$A$66,B72,IF(ID!$B$94=$H$66,I72,P72))))))))))))))</f>
        <v>-3.0000000000000001E-3</v>
      </c>
      <c r="C90" s="1155">
        <f>IF(ID!$B$94=$A$2,C8,IF(ID!$B$94=$H$2,J8,IF(ID!$B$94=$O$2,Q8,IF(ID!$B$94=$A$18,C24,IF(ID!$B$94=$H$18,J24,IF(ID!$B$94=$O$18,Q24,IF(ID!$B$94=$A$34,C40,IF(ID!$B$94=$H$34,J40,IF(ID!$B$94=$O$34,Q40,IF(ID!$B$94=$A$50,C56,IF(ID!$B$94=$H$50,J56,IF(ID!$B$94=$O$50,Q56,IF(ID!$B$94=$A$66,C72,IF(ID!$B$94=$H$66,J72,Q72))))))))))))))</f>
        <v>-3.0000000000000001E-3</v>
      </c>
      <c r="D90" s="1155">
        <f>IF(ID!$B$94=$A$2,D8,IF(ID!$B$94=$H$2,K8,IF(ID!$B$94=$O$2,R8,IF(ID!$B$94=$A$18,D24,IF(ID!$B$94=$H$18,K24,IF(ID!$B$94=$O$18,R24,IF(ID!$B$94=$A$34,D40,IF(ID!$B$94=$H$34,K40,IF(ID!$B$94=$O$34,R40,IF(ID!$B$94=$A$50,D56,IF(ID!$B$94=$H$50,K56,IF(ID!$B$94=$O$50,R56,IF(ID!$B$94=$A$66,D72,IF(ID!$B$94=$H$66,K72,R72))))))))))))))</f>
        <v>-0.1</v>
      </c>
      <c r="E90" s="1155">
        <f>IF(ID!$B$94=$A$2,E8,IF(ID!$B$94=$H$2,L8,IF(ID!$B$94=$O$2,S8,IF(ID!$B$94=$A$18,E24,IF(ID!$B$94=$H$18,L24,IF(ID!$B$94=$O$18,S24,IF(ID!$B$94=$A$34,E40,IF(ID!$B$94=$H$34,L40,IF(ID!$B$94=$O$34,S40,IF(ID!$B$94=$A$50,E56,IF(ID!$B$94=$H$50,L56,IF(ID!$B$94=$O$50,S56,IF(ID!$B$94=$A$66,E72,IF(ID!$B$94=$H$66,L72,S72))))))))))))))</f>
        <v>4.8500000000000001E-2</v>
      </c>
      <c r="F90" s="1155">
        <f>IF(ID!$B$94=$A$2,F8,IF(ID!$B$94=$H$2,M8,IF(ID!$B$94=$O$2,T8,IF(ID!$B$94=$A$18,F24,IF(ID!$B$94=$H$18,M24,IF(ID!$B$94=$O$18,T24,IF(ID!$B$94=$A$34,F40,IF(ID!$B$94=$H$34,M40,IF(ID!$B$94=$O$34,T40,IF(ID!$B$94=$A$50,F56,IF(ID!$B$94=$H$50,M56,IF(ID!$B$94=$O$50,T56,IF(ID!$B$94=$A$66,F72,IF(ID!$B$94=$H$66,M72,T72))))))))))))))</f>
        <v>1.6</v>
      </c>
      <c r="H90" s="463">
        <f>ID!D59</f>
        <v>150</v>
      </c>
      <c r="I90" s="464">
        <f>ID!H59</f>
        <v>149.66666666666666</v>
      </c>
      <c r="J90" s="465">
        <f>(FORECAST(I90,'DB NIBP'!$D$88:$D$99,'DB NIBP'!$A$88:$A$99))</f>
        <v>-0.17893356859346926</v>
      </c>
      <c r="K90" s="466">
        <f>(FORECAST(N90,'DB NIBP'!$E$88:$E$99,'DB NIBP'!$A$88:$A$99))</f>
        <v>0.14698708061533672</v>
      </c>
      <c r="L90" s="466">
        <f>(FORECAST(N90,'DB NIBP'!$F$88:$F$99,'DB NIBP'!$A$88:$A$99))</f>
        <v>1.5315844977835873</v>
      </c>
      <c r="M90" s="467">
        <f>ID!J59</f>
        <v>0.57735026918962584</v>
      </c>
      <c r="N90" s="464">
        <f t="shared" si="15"/>
        <v>149.48773309807319</v>
      </c>
      <c r="O90" s="468">
        <f t="shared" si="16"/>
        <v>0.51226690192680735</v>
      </c>
      <c r="P90" s="469">
        <f>Budget!J147</f>
        <v>1.7858399760720953</v>
      </c>
    </row>
    <row r="91" spans="1:16" ht="14">
      <c r="A91" s="1155">
        <f>IF(ID!$B$94=$A$2,A9,IF(ID!$B$94=$H$2,H9,IF(ID!$B$94=$O$2,O9,IF(ID!$B$94=$A$18,A25,IF(ID!$B$94=$H$18,H25,IF(ID!$B$94=$O$18,O25,IF(ID!$B$94=$A$34,A41,IF(ID!$B$94=$H$34,H41,IF(ID!$B$94=$O$34,O41,IF(ID!$B$94=$A$50,A57,IF(ID!$B$94=$H$50,H57,IF(ID!$B$94=$O$50,O57,IF(ID!$B$94=$A$66,A73,IF(ID!$B$94=$H$66,H73,O73))))))))))))))</f>
        <v>65</v>
      </c>
      <c r="B91" s="1155">
        <f>IF(ID!$B$94=$A$2,B9,IF(ID!$B$94=$H$2,I9,IF(ID!$B$94=$O$2,P9,IF(ID!$B$94=$A$18,B25,IF(ID!$B$94=$H$18,I25,IF(ID!$B$94=$O$18,P25,IF(ID!$B$94=$A$34,B41,IF(ID!$B$94=$H$34,I41,IF(ID!$B$94=$O$34,P41,IF(ID!$B$94=$A$50,B57,IF(ID!$B$94=$H$50,I57,IF(ID!$B$94=$O$50,P57,IF(ID!$B$94=$A$66,B73,IF(ID!$B$94=$H$66,I73,P73))))))))))))))</f>
        <v>-3.0000000000000001E-3</v>
      </c>
      <c r="C91" s="1155">
        <f>IF(ID!$B$94=$A$2,C9,IF(ID!$B$94=$H$2,J9,IF(ID!$B$94=$O$2,Q9,IF(ID!$B$94=$A$18,C25,IF(ID!$B$94=$H$18,J25,IF(ID!$B$94=$O$18,Q25,IF(ID!$B$94=$A$34,C41,IF(ID!$B$94=$H$34,J41,IF(ID!$B$94=$O$34,Q41,IF(ID!$B$94=$A$50,C57,IF(ID!$B$94=$H$50,J57,IF(ID!$B$94=$O$50,Q57,IF(ID!$B$94=$A$66,C73,IF(ID!$B$94=$H$66,J73,Q73))))))))))))))</f>
        <v>-3.0000000000000001E-3</v>
      </c>
      <c r="D91" s="1155">
        <f>IF(ID!$B$94=$A$2,D9,IF(ID!$B$94=$H$2,K9,IF(ID!$B$94=$O$2,R9,IF(ID!$B$94=$A$18,D25,IF(ID!$B$94=$H$18,K25,IF(ID!$B$94=$O$18,R25,IF(ID!$B$94=$A$34,D41,IF(ID!$B$94=$H$34,K41,IF(ID!$B$94=$O$34,R41,IF(ID!$B$94=$A$50,D57,IF(ID!$B$94=$H$50,K57,IF(ID!$B$94=$O$50,R57,IF(ID!$B$94=$A$66,D73,IF(ID!$B$94=$H$66,K73,R73))))))))))))))</f>
        <v>-0.1</v>
      </c>
      <c r="E91" s="1155">
        <f>IF(ID!$B$94=$A$2,E9,IF(ID!$B$94=$H$2,L9,IF(ID!$B$94=$O$2,S9,IF(ID!$B$94=$A$18,E25,IF(ID!$B$94=$H$18,L25,IF(ID!$B$94=$O$18,S25,IF(ID!$B$94=$A$34,E41,IF(ID!$B$94=$H$34,L41,IF(ID!$B$94=$O$34,S41,IF(ID!$B$94=$A$50,E57,IF(ID!$B$94=$H$50,L57,IF(ID!$B$94=$O$50,S57,IF(ID!$B$94=$A$66,E73,IF(ID!$B$94=$H$66,L73,S73))))))))))))))</f>
        <v>4.8500000000000001E-2</v>
      </c>
      <c r="F91" s="1155">
        <f>IF(ID!$B$94=$A$2,F9,IF(ID!$B$94=$H$2,M9,IF(ID!$B$94=$O$2,T9,IF(ID!$B$94=$A$18,F25,IF(ID!$B$94=$H$18,M25,IF(ID!$B$94=$O$18,T25,IF(ID!$B$94=$A$34,F41,IF(ID!$B$94=$H$34,M41,IF(ID!$B$94=$O$34,T41,IF(ID!$B$94=$A$50,F57,IF(ID!$B$94=$H$50,M57,IF(ID!$B$94=$O$50,T57,IF(ID!$B$94=$A$66,F73,IF(ID!$B$94=$H$66,M73,T73))))))))))))))</f>
        <v>1.6</v>
      </c>
      <c r="H91" s="463">
        <f>ID!D60</f>
        <v>80</v>
      </c>
      <c r="I91" s="464">
        <f>ID!H60</f>
        <v>80.666666666666671</v>
      </c>
      <c r="J91" s="465">
        <f>(FORECAST(I91,'DB NIBP'!$D$88:$D$99,'DB NIBP'!$A$88:$A$99))</f>
        <v>-0.10563871634788123</v>
      </c>
      <c r="K91" s="466">
        <f>(FORECAST(N91,'DB NIBP'!$E$88:$E$99,'DB NIBP'!$A$88:$A$99))</f>
        <v>6.7858983468327014E-2</v>
      </c>
      <c r="L91" s="466">
        <f>(FORECAST(N91,'DB NIBP'!$F$88:$F$99,'DB NIBP'!$A$88:$A$99))</f>
        <v>1.4033894211059506</v>
      </c>
      <c r="M91" s="467">
        <f>ID!J60</f>
        <v>1.5275252316519468</v>
      </c>
      <c r="N91" s="464">
        <f t="shared" si="15"/>
        <v>80.561027950318788</v>
      </c>
      <c r="O91" s="468">
        <f t="shared" si="16"/>
        <v>-0.56102795031878827</v>
      </c>
      <c r="P91" s="469">
        <f>Budget!V87</f>
        <v>2.8517626380506136</v>
      </c>
    </row>
    <row r="92" spans="1:16" ht="14">
      <c r="A92" s="1155">
        <f>IF(ID!$B$94=$A$2,A10,IF(ID!$B$94=$H$2,H10,IF(ID!$B$94=$O$2,O10,IF(ID!$B$94=$A$18,A26,IF(ID!$B$94=$H$18,H26,IF(ID!$B$94=$O$18,O26,IF(ID!$B$94=$A$34,A42,IF(ID!$B$94=$H$34,H42,IF(ID!$B$94=$O$34,O42,IF(ID!$B$94=$A$50,A58,IF(ID!$B$94=$H$50,H58,IF(ID!$B$94=$O$50,O58,IF(ID!$B$94=$A$66,A74,IF(ID!$B$94=$H$66,H74,O74))))))))))))))</f>
        <v>80</v>
      </c>
      <c r="B92" s="1155">
        <f>IF(ID!$B$94=$A$2,B10,IF(ID!$B$94=$H$2,I10,IF(ID!$B$94=$O$2,P10,IF(ID!$B$94=$A$18,B26,IF(ID!$B$94=$H$18,I26,IF(ID!$B$94=$O$18,P26,IF(ID!$B$94=$A$34,B42,IF(ID!$B$94=$H$34,I42,IF(ID!$B$94=$O$34,P42,IF(ID!$B$94=$A$50,B58,IF(ID!$B$94=$H$50,I58,IF(ID!$B$94=$O$50,P58,IF(ID!$B$94=$A$66,B74,IF(ID!$B$94=$H$66,I74,P74))))))))))))))</f>
        <v>-3.0000000000000001E-3</v>
      </c>
      <c r="C92" s="1155">
        <f>IF(ID!$B$94=$A$2,C10,IF(ID!$B$94=$H$2,J10,IF(ID!$B$94=$O$2,Q10,IF(ID!$B$94=$A$18,C26,IF(ID!$B$94=$H$18,J26,IF(ID!$B$94=$O$18,Q26,IF(ID!$B$94=$A$34,C42,IF(ID!$B$94=$H$34,J42,IF(ID!$B$94=$O$34,Q42,IF(ID!$B$94=$A$50,C58,IF(ID!$B$94=$H$50,J58,IF(ID!$B$94=$O$50,Q58,IF(ID!$B$94=$A$66,C74,IF(ID!$B$94=$H$66,J74,Q74))))))))))))))</f>
        <v>-3.0000000000000001E-3</v>
      </c>
      <c r="D92" s="1155">
        <f>IF(ID!$B$94=$A$2,D10,IF(ID!$B$94=$H$2,K10,IF(ID!$B$94=$O$2,R10,IF(ID!$B$94=$A$18,D26,IF(ID!$B$94=$H$18,K26,IF(ID!$B$94=$O$18,R26,IF(ID!$B$94=$A$34,D42,IF(ID!$B$94=$H$34,K42,IF(ID!$B$94=$O$34,R42,IF(ID!$B$94=$A$50,D58,IF(ID!$B$94=$H$50,K58,IF(ID!$B$94=$O$50,R58,IF(ID!$B$94=$A$66,D74,IF(ID!$B$94=$H$66,K74,R74))))))))))))))</f>
        <v>-0.1</v>
      </c>
      <c r="E92" s="1155">
        <f>IF(ID!$B$94=$A$2,E10,IF(ID!$B$94=$H$2,L10,IF(ID!$B$94=$O$2,S10,IF(ID!$B$94=$A$18,E26,IF(ID!$B$94=$H$18,L26,IF(ID!$B$94=$O$18,S26,IF(ID!$B$94=$A$34,E42,IF(ID!$B$94=$H$34,L42,IF(ID!$B$94=$O$34,S42,IF(ID!$B$94=$A$50,E58,IF(ID!$B$94=$H$50,L58,IF(ID!$B$94=$O$50,S58,IF(ID!$B$94=$A$66,E74,IF(ID!$B$94=$H$66,L74,S74))))))))))))))</f>
        <v>4.8500000000000001E-2</v>
      </c>
      <c r="F92" s="1155">
        <f>IF(ID!$B$94=$A$2,F10,IF(ID!$B$94=$H$2,M10,IF(ID!$B$94=$O$2,T10,IF(ID!$B$94=$A$18,F26,IF(ID!$B$94=$H$18,M26,IF(ID!$B$94=$O$18,T26,IF(ID!$B$94=$A$34,F42,IF(ID!$B$94=$H$34,M42,IF(ID!$B$94=$O$34,T42,IF(ID!$B$94=$A$50,F58,IF(ID!$B$94=$H$50,M58,IF(ID!$B$94=$O$50,T58,IF(ID!$B$94=$A$66,F74,IF(ID!$B$94=$H$66,M74,T74))))))))))))))</f>
        <v>1.6</v>
      </c>
      <c r="H92" s="463">
        <f>ID!D61</f>
        <v>50</v>
      </c>
      <c r="I92" s="464">
        <f>ID!H61</f>
        <v>52.666666666666664</v>
      </c>
      <c r="J92" s="465">
        <f>(FORECAST(I92,'DB NIBP'!$D$88:$D$99,'DB NIBP'!$A$88:$A$99))</f>
        <v>-7.5895877755468688E-2</v>
      </c>
      <c r="K92" s="466">
        <f>(FORECAST(N92,'DB NIBP'!$E$88:$E$99,'DB NIBP'!$A$88:$A$99))</f>
        <v>3.5749031002873792E-2</v>
      </c>
      <c r="L92" s="466">
        <f>(FORECAST(N92,'DB NIBP'!$F$88:$F$99,'DB NIBP'!$A$88:$A$99))</f>
        <v>1.3513682305700978</v>
      </c>
      <c r="M92" s="467">
        <f>ID!J61</f>
        <v>0.57735026918962584</v>
      </c>
      <c r="N92" s="464">
        <f t="shared" si="15"/>
        <v>52.590770788911193</v>
      </c>
      <c r="O92" s="468">
        <f t="shared" si="16"/>
        <v>-2.5907707889111933</v>
      </c>
      <c r="P92" s="469">
        <f>Budget!V99</f>
        <v>1.6306279711266962</v>
      </c>
    </row>
    <row r="93" spans="1:16" ht="14">
      <c r="A93" s="1155">
        <f>IF(ID!$B$94=$A$2,A11,IF(ID!$B$94=$H$2,H11,IF(ID!$B$94=$O$2,O11,IF(ID!$B$94=$A$18,A27,IF(ID!$B$94=$H$18,H27,IF(ID!$B$94=$O$18,O27,IF(ID!$B$94=$A$34,A43,IF(ID!$B$94=$H$34,H43,IF(ID!$B$94=$O$34,O43,IF(ID!$B$94=$A$50,A59,IF(ID!$B$94=$H$50,H59,IF(ID!$B$94=$O$50,O59,IF(ID!$B$94=$A$66,A75,IF(ID!$B$94=$H$66,H75,O75))))))))))))))</f>
        <v>100</v>
      </c>
      <c r="B93" s="1155">
        <f>IF(ID!$B$94=$A$2,B11,IF(ID!$B$94=$H$2,I11,IF(ID!$B$94=$O$2,P11,IF(ID!$B$94=$A$18,B27,IF(ID!$B$94=$H$18,I27,IF(ID!$B$94=$O$18,P27,IF(ID!$B$94=$A$34,B43,IF(ID!$B$94=$H$34,I43,IF(ID!$B$94=$O$34,P43,IF(ID!$B$94=$A$50,B59,IF(ID!$B$94=$H$50,I59,IF(ID!$B$94=$O$50,P59,IF(ID!$B$94=$A$66,B75,IF(ID!$B$94=$H$66,I75,P75))))))))))))))</f>
        <v>-7.0000000000000001E-3</v>
      </c>
      <c r="C93" s="1155">
        <f>IF(ID!$B$94=$A$2,C11,IF(ID!$B$94=$H$2,J11,IF(ID!$B$94=$O$2,Q11,IF(ID!$B$94=$A$18,C27,IF(ID!$B$94=$H$18,J27,IF(ID!$B$94=$O$18,Q27,IF(ID!$B$94=$A$34,C43,IF(ID!$B$94=$H$34,J43,IF(ID!$B$94=$O$34,Q43,IF(ID!$B$94=$A$50,C59,IF(ID!$B$94=$H$50,J59,IF(ID!$B$94=$O$50,Q59,IF(ID!$B$94=$A$66,C75,IF(ID!$B$94=$H$66,J75,Q75))))))))))))))</f>
        <v>-7.0000000000000001E-3</v>
      </c>
      <c r="D93" s="1155">
        <f>IF(ID!$B$94=$A$2,D11,IF(ID!$B$94=$H$2,K11,IF(ID!$B$94=$O$2,R11,IF(ID!$B$94=$A$18,D27,IF(ID!$B$94=$H$18,K27,IF(ID!$B$94=$O$18,R27,IF(ID!$B$94=$A$34,D43,IF(ID!$B$94=$H$34,K43,IF(ID!$B$94=$O$34,R43,IF(ID!$B$94=$A$50,D59,IF(ID!$B$94=$H$50,K59,IF(ID!$B$94=$O$50,R59,IF(ID!$B$94=$A$66,D75,IF(ID!$B$94=$H$66,K75,R75))))))))))))))</f>
        <v>-0.2</v>
      </c>
      <c r="E93" s="1155">
        <f>IF(ID!$B$94=$A$2,E11,IF(ID!$B$94=$H$2,L11,IF(ID!$B$94=$O$2,S11,IF(ID!$B$94=$A$18,E27,IF(ID!$B$94=$H$18,L27,IF(ID!$B$94=$O$18,S27,IF(ID!$B$94=$A$34,E43,IF(ID!$B$94=$H$34,L43,IF(ID!$B$94=$O$34,S43,IF(ID!$B$94=$A$50,E59,IF(ID!$B$94=$H$50,L59,IF(ID!$B$94=$O$50,S59,IF(ID!$B$94=$A$66,E75,IF(ID!$B$94=$H$66,L75,S75))))))))))))))</f>
        <v>9.6500000000000002E-2</v>
      </c>
      <c r="F93" s="1155">
        <f>IF(ID!$B$94=$A$2,F11,IF(ID!$B$94=$H$2,M11,IF(ID!$B$94=$O$2,T11,IF(ID!$B$94=$A$18,F27,IF(ID!$B$94=$H$18,M27,IF(ID!$B$94=$O$18,T27,IF(ID!$B$94=$A$34,F43,IF(ID!$B$94=$H$34,M43,IF(ID!$B$94=$O$34,T43,IF(ID!$B$94=$A$50,F59,IF(ID!$B$94=$H$50,M59,IF(ID!$B$94=$O$50,T59,IF(ID!$B$94=$A$66,F75,IF(ID!$B$94=$H$66,M75,T75))))))))))))))</f>
        <v>1.6</v>
      </c>
      <c r="H93" s="463"/>
      <c r="I93" s="464"/>
      <c r="J93" s="465"/>
      <c r="K93" s="466"/>
      <c r="L93" s="466"/>
      <c r="M93" s="467"/>
      <c r="N93" s="464"/>
      <c r="O93" s="468"/>
      <c r="P93" s="469"/>
    </row>
    <row r="94" spans="1:16" ht="14">
      <c r="A94" s="1155">
        <f>IF(ID!$B$94=$A$2,A12,IF(ID!$B$94=$H$2,H12,IF(ID!$B$94=$O$2,O12,IF(ID!$B$94=$A$18,A28,IF(ID!$B$94=$H$18,H28,IF(ID!$B$94=$O$18,O28,IF(ID!$B$94=$A$34,A44,IF(ID!$B$94=$H$34,H44,IF(ID!$B$94=$O$34,O44,IF(ID!$B$94=$A$50,A60,IF(ID!$B$94=$H$50,H60,IF(ID!$B$94=$O$50,O60,IF(ID!$B$94=$A$66,A76,IF(ID!$B$94=$H$66,H76,O76))))))))))))))</f>
        <v>120</v>
      </c>
      <c r="B94" s="1155">
        <f>IF(ID!$B$94=$A$2,B12,IF(ID!$B$94=$H$2,I12,IF(ID!$B$94=$O$2,P12,IF(ID!$B$94=$A$18,B28,IF(ID!$B$94=$H$18,I28,IF(ID!$B$94=$O$18,P28,IF(ID!$B$94=$A$34,B44,IF(ID!$B$94=$H$34,I44,IF(ID!$B$94=$O$34,P44,IF(ID!$B$94=$A$50,B60,IF(ID!$B$94=$H$50,I60,IF(ID!$B$94=$O$50,P60,IF(ID!$B$94=$A$66,B76,IF(ID!$B$94=$H$66,I76,P76))))))))))))))</f>
        <v>-7.0000000000000001E-3</v>
      </c>
      <c r="C94" s="1155">
        <f>IF(ID!$B$94=$A$2,C12,IF(ID!$B$94=$H$2,J12,IF(ID!$B$94=$O$2,Q12,IF(ID!$B$94=$A$18,C28,IF(ID!$B$94=$H$18,J28,IF(ID!$B$94=$O$18,Q28,IF(ID!$B$94=$A$34,C44,IF(ID!$B$94=$H$34,J44,IF(ID!$B$94=$O$34,Q44,IF(ID!$B$94=$A$50,C60,IF(ID!$B$94=$H$50,J60,IF(ID!$B$94=$O$50,Q60,IF(ID!$B$94=$A$66,C76,IF(ID!$B$94=$H$66,J76,Q76))))))))))))))</f>
        <v>-7.0000000000000001E-3</v>
      </c>
      <c r="D94" s="1155">
        <f>IF(ID!$B$94=$A$2,D12,IF(ID!$B$94=$H$2,K12,IF(ID!$B$94=$O$2,R12,IF(ID!$B$94=$A$18,D28,IF(ID!$B$94=$H$18,K28,IF(ID!$B$94=$O$18,R28,IF(ID!$B$94=$A$34,D44,IF(ID!$B$94=$H$34,K44,IF(ID!$B$94=$O$34,R44,IF(ID!$B$94=$A$50,D60,IF(ID!$B$94=$H$50,K60,IF(ID!$B$94=$O$50,R60,IF(ID!$B$94=$A$66,D76,IF(ID!$B$94=$H$66,K76,R76))))))))))))))</f>
        <v>-0.2</v>
      </c>
      <c r="E94" s="1155">
        <f>IF(ID!$B$94=$A$2,E12,IF(ID!$B$94=$H$2,L12,IF(ID!$B$94=$O$2,S12,IF(ID!$B$94=$A$18,E28,IF(ID!$B$94=$H$18,L28,IF(ID!$B$94=$O$18,S28,IF(ID!$B$94=$A$34,E44,IF(ID!$B$94=$H$34,L44,IF(ID!$B$94=$O$34,S44,IF(ID!$B$94=$A$50,E60,IF(ID!$B$94=$H$50,L60,IF(ID!$B$94=$O$50,S60,IF(ID!$B$94=$A$66,E76,IF(ID!$B$94=$H$66,L76,S76))))))))))))))</f>
        <v>9.6500000000000002E-2</v>
      </c>
      <c r="F94" s="1155">
        <f>IF(ID!$B$94=$A$2,F12,IF(ID!$B$94=$H$2,M12,IF(ID!$B$94=$O$2,T12,IF(ID!$B$94=$A$18,F28,IF(ID!$B$94=$H$18,M28,IF(ID!$B$94=$O$18,T28,IF(ID!$B$94=$A$34,F44,IF(ID!$B$94=$H$34,M44,IF(ID!$B$94=$O$34,T44,IF(ID!$B$94=$A$50,F60,IF(ID!$B$94=$H$50,M60,IF(ID!$B$94=$O$50,T60,IF(ID!$B$94=$A$66,F76,IF(ID!$B$94=$H$66,M76,T76))))))))))))))</f>
        <v>1.6</v>
      </c>
      <c r="H94" s="463"/>
      <c r="I94" s="464"/>
      <c r="J94" s="465"/>
      <c r="K94" s="466"/>
      <c r="L94" s="466"/>
      <c r="M94" s="467"/>
      <c r="N94" s="464"/>
      <c r="O94" s="468"/>
      <c r="P94" s="469"/>
    </row>
    <row r="95" spans="1:16" ht="14">
      <c r="A95" s="1155">
        <f>IF(ID!$B$94=$A$2,A13,IF(ID!$B$94=$H$2,H13,IF(ID!$B$94=$O$2,O13,IF(ID!$B$94=$A$18,A29,IF(ID!$B$94=$H$18,H29,IF(ID!$B$94=$O$18,O29,IF(ID!$B$94=$A$34,A45,IF(ID!$B$94=$H$34,H45,IF(ID!$B$94=$O$34,O45,IF(ID!$B$94=$A$50,A61,IF(ID!$B$94=$H$50,H61,IF(ID!$B$94=$O$50,O61,IF(ID!$B$94=$A$66,A77,IF(ID!$B$94=$H$66,H77,O77))))))))))))))</f>
        <v>150</v>
      </c>
      <c r="B95" s="1155">
        <f>IF(ID!$B$94=$A$2,B13,IF(ID!$B$94=$H$2,I13,IF(ID!$B$94=$O$2,P13,IF(ID!$B$94=$A$18,B29,IF(ID!$B$94=$H$18,I29,IF(ID!$B$94=$O$18,P29,IF(ID!$B$94=$A$34,B45,IF(ID!$B$94=$H$34,I45,IF(ID!$B$94=$O$34,P45,IF(ID!$B$94=$A$50,B61,IF(ID!$B$94=$H$50,I61,IF(ID!$B$94=$O$50,P61,IF(ID!$B$94=$A$66,B77,IF(ID!$B$94=$H$66,I77,P77))))))))))))))</f>
        <v>-7.0000000000000001E-3</v>
      </c>
      <c r="C95" s="1155">
        <f>IF(ID!$B$94=$A$2,C13,IF(ID!$B$94=$H$2,J13,IF(ID!$B$94=$O$2,Q13,IF(ID!$B$94=$A$18,C29,IF(ID!$B$94=$H$18,J29,IF(ID!$B$94=$O$18,Q29,IF(ID!$B$94=$A$34,C45,IF(ID!$B$94=$H$34,J45,IF(ID!$B$94=$O$34,Q45,IF(ID!$B$94=$A$50,C61,IF(ID!$B$94=$H$50,J61,IF(ID!$B$94=$O$50,Q61,IF(ID!$B$94=$A$66,C77,IF(ID!$B$94=$H$66,J77,Q77))))))))))))))</f>
        <v>-7.0000000000000001E-3</v>
      </c>
      <c r="D95" s="1155">
        <f>IF(ID!$B$94=$A$2,D13,IF(ID!$B$94=$H$2,K13,IF(ID!$B$94=$O$2,R13,IF(ID!$B$94=$A$18,D29,IF(ID!$B$94=$H$18,K29,IF(ID!$B$94=$O$18,R29,IF(ID!$B$94=$A$34,D45,IF(ID!$B$94=$H$34,K45,IF(ID!$B$94=$O$34,R45,IF(ID!$B$94=$A$50,D61,IF(ID!$B$94=$H$50,K61,IF(ID!$B$94=$O$50,R61,IF(ID!$B$94=$A$66,D77,IF(ID!$B$94=$H$66,K77,R77))))))))))))))</f>
        <v>-0.2</v>
      </c>
      <c r="E95" s="1155">
        <f>IF(ID!$B$94=$A$2,E13,IF(ID!$B$94=$H$2,L13,IF(ID!$B$94=$O$2,S13,IF(ID!$B$94=$A$18,E29,IF(ID!$B$94=$H$18,L29,IF(ID!$B$94=$O$18,S29,IF(ID!$B$94=$A$34,E45,IF(ID!$B$94=$H$34,L45,IF(ID!$B$94=$O$34,S45,IF(ID!$B$94=$A$50,E61,IF(ID!$B$94=$H$50,L61,IF(ID!$B$94=$O$50,S61,IF(ID!$B$94=$A$66,E77,IF(ID!$B$94=$H$66,L77,S77))))))))))))))</f>
        <v>9.6500000000000002E-2</v>
      </c>
      <c r="F95" s="1155">
        <f>IF(ID!$B$94=$A$2,F13,IF(ID!$B$94=$H$2,M13,IF(ID!$B$94=$O$2,T13,IF(ID!$B$94=$A$18,F29,IF(ID!$B$94=$H$18,M29,IF(ID!$B$94=$O$18,T29,IF(ID!$B$94=$A$34,F45,IF(ID!$B$94=$H$34,M45,IF(ID!$B$94=$O$34,T45,IF(ID!$B$94=$A$50,F61,IF(ID!$B$94=$H$50,M61,IF(ID!$B$94=$O$50,T61,IF(ID!$B$94=$A$66,F77,IF(ID!$B$94=$H$66,M77,T77))))))))))))))</f>
        <v>1.6</v>
      </c>
      <c r="H95" s="463"/>
      <c r="I95" s="464"/>
      <c r="J95" s="465"/>
      <c r="K95" s="466"/>
      <c r="L95" s="466"/>
      <c r="M95" s="467"/>
      <c r="N95" s="464"/>
      <c r="O95" s="468"/>
      <c r="P95" s="469"/>
    </row>
    <row r="96" spans="1:16" ht="14">
      <c r="A96" s="1155">
        <f>IF(ID!$B$94=$A$2,A14,IF(ID!$B$94=$H$2,H14,IF(ID!$B$94=$O$2,O14,IF(ID!$B$94=$A$18,A30,IF(ID!$B$94=$H$18,H30,IF(ID!$B$94=$O$18,O30,IF(ID!$B$94=$A$34,A46,IF(ID!$B$94=$H$34,H46,IF(ID!$B$94=$O$34,O46,IF(ID!$B$94=$A$50,A62,IF(ID!$B$94=$H$50,H62,IF(ID!$B$94=$O$50,O62,IF(ID!$B$94=$A$66,A78,IF(ID!$B$94=$H$66,H78,O78))))))))))))))</f>
        <v>200</v>
      </c>
      <c r="B96" s="1155">
        <f>IF(ID!$B$94=$A$2,B14,IF(ID!$B$94=$H$2,I14,IF(ID!$B$94=$O$2,P14,IF(ID!$B$94=$A$18,B30,IF(ID!$B$94=$H$18,I30,IF(ID!$B$94=$O$18,P30,IF(ID!$B$94=$A$34,B46,IF(ID!$B$94=$H$34,I46,IF(ID!$B$94=$O$34,P46,IF(ID!$B$94=$A$50,B62,IF(ID!$B$94=$H$50,I62,IF(ID!$B$94=$O$50,P62,IF(ID!$B$94=$A$66,B78,IF(ID!$B$94=$H$66,I78,P78))))))))))))))</f>
        <v>-0.01</v>
      </c>
      <c r="C96" s="1155">
        <f>IF(ID!$B$94=$A$2,C14,IF(ID!$B$94=$H$2,J14,IF(ID!$B$94=$O$2,Q14,IF(ID!$B$94=$A$18,C30,IF(ID!$B$94=$H$18,J30,IF(ID!$B$94=$O$18,Q30,IF(ID!$B$94=$A$34,C46,IF(ID!$B$94=$H$34,J46,IF(ID!$B$94=$O$34,Q46,IF(ID!$B$94=$A$50,C62,IF(ID!$B$94=$H$50,J62,IF(ID!$B$94=$O$50,Q62,IF(ID!$B$94=$A$66,C78,IF(ID!$B$94=$H$66,J78,Q78))))))))))))))</f>
        <v>-0.01</v>
      </c>
      <c r="D96" s="1155">
        <f>IF(ID!$B$94=$A$2,D14,IF(ID!$B$94=$H$2,K14,IF(ID!$B$94=$O$2,R14,IF(ID!$B$94=$A$18,D30,IF(ID!$B$94=$H$18,K30,IF(ID!$B$94=$O$18,R30,IF(ID!$B$94=$A$34,D46,IF(ID!$B$94=$H$34,K46,IF(ID!$B$94=$O$34,R46,IF(ID!$B$94=$A$50,D62,IF(ID!$B$94=$H$50,K62,IF(ID!$B$94=$O$50,R62,IF(ID!$B$94=$A$66,D78,IF(ID!$B$94=$H$66,K78,R78))))))))))))))</f>
        <v>-0.2</v>
      </c>
      <c r="E96" s="1155">
        <f>IF(ID!$B$94=$A$2,E14,IF(ID!$B$94=$H$2,L14,IF(ID!$B$94=$O$2,S14,IF(ID!$B$94=$A$18,E30,IF(ID!$B$94=$H$18,L30,IF(ID!$B$94=$O$18,S30,IF(ID!$B$94=$A$34,E46,IF(ID!$B$94=$H$34,L46,IF(ID!$B$94=$O$34,S46,IF(ID!$B$94=$A$50,E62,IF(ID!$B$94=$H$50,L62,IF(ID!$B$94=$O$50,S62,IF(ID!$B$94=$A$66,E78,IF(ID!$B$94=$H$66,L78,S78))))))))))))))</f>
        <v>9.5000000000000001E-2</v>
      </c>
      <c r="F96" s="1155">
        <f>IF(ID!$B$94=$A$2,F14,IF(ID!$B$94=$H$2,M14,IF(ID!$B$94=$O$2,T14,IF(ID!$B$94=$A$18,F30,IF(ID!$B$94=$H$18,M30,IF(ID!$B$94=$O$18,T30,IF(ID!$B$94=$A$34,F46,IF(ID!$B$94=$H$34,M46,IF(ID!$B$94=$O$34,T46,IF(ID!$B$94=$A$50,F62,IF(ID!$B$94=$H$50,M62,IF(ID!$B$94=$O$50,T62,IF(ID!$B$94=$A$66,F78,IF(ID!$B$94=$H$66,M78,T78))))))))))))))</f>
        <v>1.6</v>
      </c>
      <c r="H96" s="463"/>
      <c r="I96" s="464"/>
      <c r="J96" s="465"/>
      <c r="K96" s="466"/>
      <c r="L96" s="466"/>
      <c r="M96" s="467"/>
      <c r="N96" s="464"/>
      <c r="O96" s="468"/>
      <c r="P96" s="469"/>
    </row>
    <row r="97" spans="1:18" ht="14">
      <c r="A97" s="1155">
        <f>IF(ID!$B$94=$A$2,A15,IF(ID!$B$94=$H$2,H15,IF(ID!$B$94=$O$2,O15,IF(ID!$B$94=$A$18,A31,IF(ID!$B$94=$H$18,H31,IF(ID!$B$94=$O$18,O31,IF(ID!$B$94=$A$34,A47,IF(ID!$B$94=$H$34,H47,IF(ID!$B$94=$O$34,O47,IF(ID!$B$94=$A$50,A63,IF(ID!$B$94=$H$50,H63,IF(ID!$B$94=$O$50,O63,IF(ID!$B$94=$A$66,A79,IF(ID!$B$94=$H$66,H79,O79))))))))))))))</f>
        <v>250</v>
      </c>
      <c r="B97" s="1155">
        <f>IF(ID!$B$94=$A$2,B15,IF(ID!$B$94=$H$2,I15,IF(ID!$B$94=$O$2,P15,IF(ID!$B$94=$A$18,B31,IF(ID!$B$94=$H$18,I31,IF(ID!$B$94=$O$18,P31,IF(ID!$B$94=$A$34,B47,IF(ID!$B$94=$H$34,I47,IF(ID!$B$94=$O$34,P47,IF(ID!$B$94=$A$50,B63,IF(ID!$B$94=$H$50,I63,IF(ID!$B$94=$O$50,P63,IF(ID!$B$94=$A$66,B79,IF(ID!$B$94=$H$66,I79,P79))))))))))))))</f>
        <v>0.9</v>
      </c>
      <c r="C97" s="1155">
        <f>IF(ID!$B$94=$A$2,C15,IF(ID!$B$94=$H$2,J15,IF(ID!$B$94=$O$2,Q15,IF(ID!$B$94=$A$18,C31,IF(ID!$B$94=$H$18,J31,IF(ID!$B$94=$O$18,Q31,IF(ID!$B$94=$A$34,C47,IF(ID!$B$94=$H$34,J47,IF(ID!$B$94=$O$34,Q47,IF(ID!$B$94=$A$50,C63,IF(ID!$B$94=$H$50,J63,IF(ID!$B$94=$O$50,Q63,IF(ID!$B$94=$A$66,C79,IF(ID!$B$94=$H$66,J79,Q79))))))))))))))</f>
        <v>0.9</v>
      </c>
      <c r="D97" s="1155">
        <f>IF(ID!$B$94=$A$2,D15,IF(ID!$B$94=$H$2,K15,IF(ID!$B$94=$O$2,R15,IF(ID!$B$94=$A$18,D31,IF(ID!$B$94=$H$18,K31,IF(ID!$B$94=$O$18,R31,IF(ID!$B$94=$A$34,D47,IF(ID!$B$94=$H$34,K47,IF(ID!$B$94=$O$34,R47,IF(ID!$B$94=$A$50,D63,IF(ID!$B$94=$H$50,K63,IF(ID!$B$94=$O$50,R63,IF(ID!$B$94=$A$66,D79,IF(ID!$B$94=$H$66,K79,R79))))))))))))))</f>
        <v>-0.3</v>
      </c>
      <c r="E97" s="1155">
        <f>IF(ID!$B$94=$A$2,E15,IF(ID!$B$94=$H$2,L15,IF(ID!$B$94=$O$2,S15,IF(ID!$B$94=$A$18,E31,IF(ID!$B$94=$H$18,L31,IF(ID!$B$94=$O$18,S31,IF(ID!$B$94=$A$34,E47,IF(ID!$B$94=$H$34,L47,IF(ID!$B$94=$O$34,S47,IF(ID!$B$94=$A$50,E63,IF(ID!$B$94=$H$50,L63,IF(ID!$B$94=$O$50,S63,IF(ID!$B$94=$A$66,E79,IF(ID!$B$94=$H$66,L79,S79))))))))))))))</f>
        <v>0.6</v>
      </c>
      <c r="F97" s="1155">
        <f>IF(ID!$B$94=$A$2,F15,IF(ID!$B$94=$H$2,M15,IF(ID!$B$94=$O$2,T15,IF(ID!$B$94=$A$18,F31,IF(ID!$B$94=$H$18,M31,IF(ID!$B$94=$O$18,T31,IF(ID!$B$94=$A$34,F47,IF(ID!$B$94=$H$34,M47,IF(ID!$B$94=$O$34,T47,IF(ID!$B$94=$A$50,F63,IF(ID!$B$94=$H$50,M63,IF(ID!$B$94=$O$50,T63,IF(ID!$B$94=$A$66,F79,IF(ID!$B$94=$H$66,M79,T79))))))))))))))</f>
        <v>1.6</v>
      </c>
      <c r="H97" s="463"/>
      <c r="I97" s="464"/>
      <c r="J97" s="465"/>
      <c r="K97" s="466"/>
      <c r="L97" s="466"/>
      <c r="M97" s="467"/>
      <c r="N97" s="464"/>
      <c r="O97" s="468"/>
      <c r="P97" s="469"/>
    </row>
    <row r="98" spans="1:18" ht="14">
      <c r="A98" s="1155">
        <f>IF(ID!$B$94=$A$2,A16,IF(ID!$B$94=$H$2,H16,IF(ID!$B$94=$O$2,O16,IF(ID!$B$94=$A$18,A32,IF(ID!$B$94=$H$18,H32,IF(ID!$B$94=$O$18,O32,IF(ID!$B$94=$A$34,A48,IF(ID!$B$94=$H$34,H48,IF(ID!$B$94=$O$34,O48,IF(ID!$B$94=$A$50,A64,IF(ID!$B$94=$H$50,H64,IF(ID!$B$94=$O$50,O64,IF(ID!$B$94=$A$66,A80,IF(ID!$B$94=$H$66,H80,O80))))))))))))))</f>
        <v>300</v>
      </c>
      <c r="B98" s="1155">
        <f>IF(ID!$B$94=$A$2,B16,IF(ID!$B$94=$H$2,I16,IF(ID!$B$94=$O$2,P16,IF(ID!$B$94=$A$18,B32,IF(ID!$B$94=$H$18,I32,IF(ID!$B$94=$O$18,P32,IF(ID!$B$94=$A$34,B48,IF(ID!$B$94=$H$34,I48,IF(ID!$B$94=$O$34,P48,IF(ID!$B$94=$A$50,B64,IF(ID!$B$94=$H$50,I64,IF(ID!$B$94=$O$50,P64,IF(ID!$B$94=$A$66,B80,IF(ID!$B$94=$H$66,I80,P80))))))))))))))</f>
        <v>3.0000000000000001E-3</v>
      </c>
      <c r="C98" s="1155">
        <f>IF(ID!$B$94=$A$2,C16,IF(ID!$B$94=$H$2,J16,IF(ID!$B$94=$O$2,Q16,IF(ID!$B$94=$A$18,C32,IF(ID!$B$94=$H$18,J32,IF(ID!$B$94=$O$18,Q32,IF(ID!$B$94=$A$34,C48,IF(ID!$B$94=$H$34,J48,IF(ID!$B$94=$O$34,Q48,IF(ID!$B$94=$A$50,C64,IF(ID!$B$94=$H$50,J64,IF(ID!$B$94=$O$50,Q64,IF(ID!$B$94=$A$66,C80,IF(ID!$B$94=$H$66,J80,Q80))))))))))))))</f>
        <v>3.0000000000000001E-3</v>
      </c>
      <c r="D98" s="1155">
        <f>IF(ID!$B$94=$A$2,D16,IF(ID!$B$94=$H$2,K16,IF(ID!$B$94=$O$2,R16,IF(ID!$B$94=$A$18,D32,IF(ID!$B$94=$H$18,K32,IF(ID!$B$94=$O$18,R32,IF(ID!$B$94=$A$34,D48,IF(ID!$B$94=$H$34,K48,IF(ID!$B$94=$O$34,R48,IF(ID!$B$94=$A$50,D64,IF(ID!$B$94=$H$50,K64,IF(ID!$B$94=$O$50,R64,IF(ID!$B$94=$A$66,D80,IF(ID!$B$94=$H$66,K80,R80))))))))))))))</f>
        <v>-0.3</v>
      </c>
      <c r="E98" s="1155">
        <f>IF(ID!$B$94=$A$2,E16,IF(ID!$B$94=$H$2,L16,IF(ID!$B$94=$O$2,S16,IF(ID!$B$94=$A$18,E32,IF(ID!$B$94=$H$18,L32,IF(ID!$B$94=$O$18,S32,IF(ID!$B$94=$A$34,E48,IF(ID!$B$94=$H$34,L48,IF(ID!$B$94=$O$34,S48,IF(ID!$B$94=$A$50,E64,IF(ID!$B$94=$H$50,L64,IF(ID!$B$94=$O$50,S64,IF(ID!$B$94=$A$66,E80,IF(ID!$B$94=$H$66,L80,S80))))))))))))))</f>
        <v>0.1515</v>
      </c>
      <c r="F98" s="1155">
        <f>IF(ID!$B$94=$A$2,F16,IF(ID!$B$94=$H$2,M16,IF(ID!$B$94=$O$2,T16,IF(ID!$B$94=$A$18,F32,IF(ID!$B$94=$H$18,M32,IF(ID!$B$94=$O$18,T32,IF(ID!$B$94=$A$34,F48,IF(ID!$B$94=$H$34,M48,IF(ID!$B$94=$O$34,T48,IF(ID!$B$94=$A$50,F64,IF(ID!$B$94=$H$50,M64,IF(ID!$B$94=$O$50,T64,IF(ID!$B$94=$A$66,F80,IF(ID!$B$94=$H$66,M80,T80))))))))))))))</f>
        <v>1.6</v>
      </c>
      <c r="H98" s="463"/>
      <c r="I98" s="464"/>
      <c r="J98" s="465"/>
      <c r="K98" s="466"/>
      <c r="L98" s="466"/>
      <c r="M98" s="467"/>
      <c r="N98" s="464"/>
      <c r="O98" s="468"/>
      <c r="P98" s="469"/>
    </row>
    <row r="99" spans="1:18" ht="14">
      <c r="A99" s="1156">
        <f>IF(ID!$B$94=$A$2,A17,IF(ID!$B$94=$H$2,H17,IF(ID!$B$94=$O$2,O17,IF(ID!$B$94=$A$18,A33,IF(ID!$B$94=$H$18,H33,IF(ID!$B$94=$O$18,O33,IF(ID!$B$94=$A$34,A49,IF(ID!$B$94=$H$34,H49,IF(ID!$B$94=$O$34,O49,IF(ID!$B$94=$A$50,A65,IF(ID!$B$94=$H$50,H65,IF(ID!$B$94=$O$50,O65,IF(ID!$B$94=$A$66,A81,IF(ID!$B$94=$H$66,H81,O81))))))))))))))</f>
        <v>0</v>
      </c>
      <c r="B99" s="1156">
        <f>IF(ID!$B$94=$A$2,B17,IF(ID!$B$94=$H$2,I17,IF(ID!$B$94=$O$2,P17,IF(ID!$B$94=$A$18,B33,IF(ID!$B$94=$H$18,I33,IF(ID!$B$94=$O$18,P33,IF(ID!$B$94=$A$34,B49,IF(ID!$B$94=$H$34,I49,IF(ID!$B$94=$O$34,P49,IF(ID!$B$94=$A$50,B65,IF(ID!$B$94=$H$50,I65,IF(ID!$B$94=$O$50,P65,IF(ID!$B$94=$A$66,B81,IF(ID!$B$94=$H$66,I81,P81))))))))))))))</f>
        <v>0</v>
      </c>
      <c r="C99" s="1156">
        <f>IF(ID!$B$94=$A$2,C17,IF(ID!$B$94=$H$2,J17,IF(ID!$B$94=$O$2,Q17,IF(ID!$B$94=$A$18,C33,IF(ID!$B$94=$H$18,J33,IF(ID!$B$94=$O$18,Q33,IF(ID!$B$94=$A$34,C49,IF(ID!$B$94=$H$34,J49,IF(ID!$B$94=$O$34,Q49,IF(ID!$B$94=$A$50,C65,IF(ID!$B$94=$H$50,J65,IF(ID!$B$94=$O$50,Q65,IF(ID!$B$94=$A$66,C81,IF(ID!$B$94=$H$66,J81,Q81))))))))))))))</f>
        <v>0</v>
      </c>
      <c r="D99" s="1156">
        <f>IF(ID!$B$94=$A$2,D17,IF(ID!$B$94=$H$2,K17,IF(ID!$B$94=$O$2,R17,IF(ID!$B$94=$A$18,D33,IF(ID!$B$94=$H$18,K33,IF(ID!$B$94=$O$18,R33,IF(ID!$B$94=$A$34,D49,IF(ID!$B$94=$H$34,K49,IF(ID!$B$94=$O$34,R49,IF(ID!$B$94=$A$50,D65,IF(ID!$B$94=$H$50,K65,IF(ID!$B$94=$O$50,R65,IF(ID!$B$94=$A$66,D81,IF(ID!$B$94=$H$66,K81,R81))))))))))))))</f>
        <v>0</v>
      </c>
      <c r="E99" s="1156">
        <f>IF(ID!$B$94=$A$2,E17,IF(ID!$B$94=$H$2,L17,IF(ID!$B$94=$O$2,S17,IF(ID!$B$94=$A$18,E33,IF(ID!$B$94=$H$18,L33,IF(ID!$B$94=$O$18,S33,IF(ID!$B$94=$A$34,E49,IF(ID!$B$94=$H$34,L49,IF(ID!$B$94=$O$34,S49,IF(ID!$B$94=$A$50,E65,IF(ID!$B$94=$H$50,L65,IF(ID!$B$94=$O$50,S65,IF(ID!$B$94=$A$66,E81,IF(ID!$B$94=$H$66,L81,S81))))))))))))))</f>
        <v>0</v>
      </c>
      <c r="F99" s="1156">
        <f>IF(ID!$B$94=$A$2,F17,IF(ID!$B$94=$H$2,M17,IF(ID!$B$94=$O$2,T17,IF(ID!$B$94=$A$18,F33,IF(ID!$B$94=$H$18,M33,IF(ID!$B$94=$O$18,T33,IF(ID!$B$94=$A$34,F49,IF(ID!$B$94=$H$34,M49,IF(ID!$B$94=$O$34,T49,IF(ID!$B$94=$A$50,F65,IF(ID!$B$94=$H$50,M65,IF(ID!$B$94=$O$50,T65,IF(ID!$B$94=$A$66,F81,IF(ID!$B$94=$H$66,M81,T81))))))))))))))</f>
        <v>0</v>
      </c>
    </row>
    <row r="105" spans="1:18" ht="12.75" customHeight="1"/>
    <row r="106" spans="1:18" s="452" customFormat="1" ht="21.75" customHeight="1">
      <c r="A106" s="1184" t="str">
        <f>ID!B94</f>
        <v>Vital Sign Simulator, Merek : Fluke Biomedical, Model : Prosim 8, SN : 3217028</v>
      </c>
      <c r="B106" s="642"/>
      <c r="C106" s="642"/>
      <c r="D106" s="642"/>
      <c r="E106" s="642"/>
      <c r="F106" s="642"/>
      <c r="G106" s="632" t="s">
        <v>75</v>
      </c>
      <c r="H106" s="632"/>
      <c r="I106" s="1185" t="s">
        <v>313</v>
      </c>
      <c r="J106" s="451"/>
      <c r="K106" s="1407" t="s">
        <v>352</v>
      </c>
      <c r="L106" s="1408"/>
      <c r="M106" s="1408"/>
      <c r="N106" s="1408"/>
      <c r="O106" s="1408"/>
      <c r="P106" s="1409"/>
    </row>
    <row r="107" spans="1:18">
      <c r="A107" s="453" t="str">
        <f>A2</f>
        <v>Handheld NIBP Simulator, Merek : ACCUPULSE PLUS, Model : AH-2, SN : HH12080311</v>
      </c>
      <c r="B107" s="454"/>
      <c r="C107" s="455"/>
      <c r="D107" s="454"/>
      <c r="E107" s="454"/>
      <c r="F107" s="455"/>
      <c r="G107" s="456">
        <f>B5</f>
        <v>2015</v>
      </c>
      <c r="H107" s="456">
        <f>D5</f>
        <v>2016</v>
      </c>
      <c r="I107" s="456">
        <v>1</v>
      </c>
      <c r="J107" s="456">
        <v>1</v>
      </c>
      <c r="K107" s="453" t="s">
        <v>564</v>
      </c>
      <c r="L107" s="454"/>
      <c r="M107" s="454"/>
      <c r="N107" s="454"/>
      <c r="O107" s="454"/>
      <c r="P107" s="455"/>
      <c r="R107" s="58" t="s">
        <v>81</v>
      </c>
    </row>
    <row r="108" spans="1:18" ht="12.75" customHeight="1">
      <c r="A108" s="332" t="s">
        <v>320</v>
      </c>
      <c r="B108" s="454"/>
      <c r="C108" s="455"/>
      <c r="D108" s="454"/>
      <c r="E108" s="454"/>
      <c r="F108" s="455"/>
      <c r="G108" s="456">
        <f>I5</f>
        <v>2015</v>
      </c>
      <c r="H108" s="456">
        <f>K5</f>
        <v>2018</v>
      </c>
      <c r="I108" s="456">
        <v>1</v>
      </c>
      <c r="J108" s="456">
        <v>2</v>
      </c>
      <c r="K108" s="453" t="s">
        <v>348</v>
      </c>
      <c r="L108" s="454"/>
      <c r="M108" s="454"/>
      <c r="N108" s="454"/>
      <c r="O108" s="454"/>
      <c r="P108" s="455"/>
    </row>
    <row r="109" spans="1:18">
      <c r="A109" s="453" t="str">
        <f>O2</f>
        <v>Vital Sign Simulator, Merek : Fluke Biomedical, Model : Prosim 8, SN : 5144556</v>
      </c>
      <c r="B109" s="454"/>
      <c r="C109" s="454"/>
      <c r="D109" s="454"/>
      <c r="E109" s="454"/>
      <c r="F109" s="455"/>
      <c r="G109" s="456">
        <f>P5</f>
        <v>2019</v>
      </c>
      <c r="H109" s="456">
        <f>R5</f>
        <v>2020</v>
      </c>
      <c r="I109" s="456">
        <v>1</v>
      </c>
      <c r="J109" s="456">
        <v>3</v>
      </c>
      <c r="K109" s="453" t="s">
        <v>348</v>
      </c>
      <c r="L109" s="454"/>
      <c r="M109" s="454"/>
      <c r="N109" s="454"/>
      <c r="O109" s="454"/>
      <c r="P109" s="455"/>
    </row>
    <row r="110" spans="1:18">
      <c r="A110" s="453" t="str">
        <f>A18</f>
        <v>Handheld NIBP Simulator, Merek : ACCUPULSE PLUS, Model : AH-2, SN : HH12080309</v>
      </c>
      <c r="B110" s="454"/>
      <c r="C110" s="454"/>
      <c r="D110" s="454"/>
      <c r="E110" s="454"/>
      <c r="F110" s="455"/>
      <c r="G110" s="456">
        <f>B21</f>
        <v>2016</v>
      </c>
      <c r="H110" s="456">
        <f>D21</f>
        <v>2017</v>
      </c>
      <c r="I110" s="456">
        <v>1</v>
      </c>
      <c r="J110" s="456">
        <v>4</v>
      </c>
      <c r="K110" s="453" t="s">
        <v>564</v>
      </c>
      <c r="L110" s="454"/>
      <c r="M110" s="454"/>
      <c r="N110" s="454"/>
      <c r="O110" s="454"/>
      <c r="P110" s="455"/>
    </row>
    <row r="111" spans="1:18">
      <c r="A111" s="332" t="s">
        <v>321</v>
      </c>
      <c r="B111" s="454"/>
      <c r="C111" s="454"/>
      <c r="D111" s="454"/>
      <c r="E111" s="454"/>
      <c r="F111" s="455"/>
      <c r="G111" s="456">
        <f>I21</f>
        <v>2017</v>
      </c>
      <c r="H111" s="456">
        <f>K21</f>
        <v>2018</v>
      </c>
      <c r="I111" s="456">
        <v>1</v>
      </c>
      <c r="J111" s="456">
        <v>5</v>
      </c>
      <c r="K111" s="453" t="s">
        <v>564</v>
      </c>
      <c r="L111" s="454"/>
      <c r="M111" s="454"/>
      <c r="N111" s="454"/>
      <c r="O111" s="454"/>
      <c r="P111" s="455"/>
    </row>
    <row r="112" spans="1:18">
      <c r="A112" s="453" t="str">
        <f>O18</f>
        <v>Vital Sign Simulator, Merek : Fluke Biomedical, Model : Prosim 4, SN : 4422046</v>
      </c>
      <c r="B112" s="454"/>
      <c r="C112" s="454"/>
      <c r="D112" s="454"/>
      <c r="E112" s="454"/>
      <c r="F112" s="455"/>
      <c r="G112" s="456">
        <f>P21</f>
        <v>2019</v>
      </c>
      <c r="H112" s="456">
        <f>R21</f>
        <v>2020</v>
      </c>
      <c r="I112" s="456">
        <v>1</v>
      </c>
      <c r="J112" s="456">
        <v>6</v>
      </c>
      <c r="K112" s="453" t="s">
        <v>564</v>
      </c>
      <c r="L112" s="454"/>
      <c r="M112" s="454"/>
      <c r="N112" s="454"/>
      <c r="O112" s="454"/>
      <c r="P112" s="455"/>
    </row>
    <row r="113" spans="1:16">
      <c r="A113" s="332" t="s">
        <v>319</v>
      </c>
      <c r="B113" s="454"/>
      <c r="C113" s="454"/>
      <c r="D113" s="454"/>
      <c r="E113" s="454"/>
      <c r="F113" s="455"/>
      <c r="G113" s="456">
        <f>B37</f>
        <v>2015</v>
      </c>
      <c r="H113" s="456">
        <f>D37</f>
        <v>2017</v>
      </c>
      <c r="I113" s="456">
        <v>1</v>
      </c>
      <c r="J113" s="456">
        <v>7</v>
      </c>
      <c r="K113" s="453" t="s">
        <v>564</v>
      </c>
      <c r="L113" s="454"/>
      <c r="M113" s="454"/>
      <c r="N113" s="454"/>
      <c r="O113" s="454"/>
      <c r="P113" s="455"/>
    </row>
    <row r="114" spans="1:16">
      <c r="A114" s="453" t="str">
        <f>H34</f>
        <v>Prosim 8 (KOSONG2)</v>
      </c>
      <c r="B114" s="454"/>
      <c r="C114" s="454"/>
      <c r="D114" s="454"/>
      <c r="E114" s="454"/>
      <c r="F114" s="455"/>
      <c r="G114" s="456">
        <f>I37</f>
        <v>2019</v>
      </c>
      <c r="H114" s="456">
        <f>K37</f>
        <v>2020</v>
      </c>
      <c r="I114" s="456">
        <v>1</v>
      </c>
      <c r="J114" s="456">
        <v>8</v>
      </c>
      <c r="K114" s="453" t="s">
        <v>348</v>
      </c>
      <c r="L114" s="454"/>
      <c r="M114" s="454"/>
      <c r="N114" s="454"/>
      <c r="O114" s="454"/>
      <c r="P114" s="455"/>
    </row>
    <row r="115" spans="1:16">
      <c r="A115" s="453" t="str">
        <f>O34</f>
        <v>Vital Sign Simulator, Merek : Fluke Biomedical, Model : Prosim 4, SN : 4416070</v>
      </c>
      <c r="B115" s="454"/>
      <c r="C115" s="454"/>
      <c r="D115" s="454"/>
      <c r="E115" s="454"/>
      <c r="F115" s="455"/>
      <c r="G115" s="456">
        <f>P37</f>
        <v>2019</v>
      </c>
      <c r="H115" s="456">
        <f>R37</f>
        <v>2020</v>
      </c>
      <c r="I115" s="456">
        <v>1</v>
      </c>
      <c r="J115" s="456">
        <v>9</v>
      </c>
      <c r="K115" s="453" t="s">
        <v>564</v>
      </c>
      <c r="L115" s="454"/>
      <c r="M115" s="454"/>
      <c r="N115" s="454"/>
      <c r="O115" s="454"/>
      <c r="P115" s="455"/>
    </row>
    <row r="116" spans="1:16">
      <c r="A116" s="453" t="str">
        <f>A50</f>
        <v>NIBP Simulator, Merek : RIGEL, Model : BP - SIM, SN : 12L-0534</v>
      </c>
      <c r="B116" s="454"/>
      <c r="C116" s="454"/>
      <c r="D116" s="454"/>
      <c r="E116" s="454"/>
      <c r="F116" s="455"/>
      <c r="G116" s="456">
        <f>B53</f>
        <v>2019</v>
      </c>
      <c r="H116" s="456">
        <f>D53</f>
        <v>2020</v>
      </c>
      <c r="I116" s="456">
        <v>1</v>
      </c>
      <c r="J116" s="456">
        <v>10</v>
      </c>
      <c r="K116" s="453" t="s">
        <v>348</v>
      </c>
      <c r="L116" s="454"/>
      <c r="M116" s="454"/>
      <c r="N116" s="454"/>
      <c r="O116" s="454"/>
      <c r="P116" s="455"/>
    </row>
    <row r="117" spans="1:16">
      <c r="A117" s="332" t="s">
        <v>322</v>
      </c>
      <c r="B117" s="454"/>
      <c r="C117" s="454"/>
      <c r="D117" s="454"/>
      <c r="E117" s="454"/>
      <c r="F117" s="455"/>
      <c r="G117" s="456">
        <f>I53</f>
        <v>2019</v>
      </c>
      <c r="H117" s="456">
        <f>K53</f>
        <v>2020</v>
      </c>
      <c r="I117" s="456">
        <v>1</v>
      </c>
      <c r="J117" s="456">
        <v>11</v>
      </c>
      <c r="K117" s="453" t="s">
        <v>348</v>
      </c>
      <c r="L117" s="454"/>
      <c r="M117" s="454"/>
      <c r="N117" s="454"/>
      <c r="O117" s="454"/>
      <c r="P117" s="455"/>
    </row>
    <row r="118" spans="1:16">
      <c r="A118" s="332" t="s">
        <v>323</v>
      </c>
      <c r="B118" s="454"/>
      <c r="C118" s="454"/>
      <c r="D118" s="454"/>
      <c r="E118" s="454"/>
      <c r="F118" s="455"/>
      <c r="G118" s="456">
        <f>P53</f>
        <v>2019</v>
      </c>
      <c r="H118" s="456">
        <f>R53</f>
        <v>2020</v>
      </c>
      <c r="I118" s="456">
        <v>1</v>
      </c>
      <c r="J118" s="456">
        <v>12</v>
      </c>
      <c r="K118" s="453" t="s">
        <v>348</v>
      </c>
      <c r="L118" s="454"/>
      <c r="M118" s="454"/>
      <c r="N118" s="454"/>
      <c r="O118" s="454"/>
      <c r="P118" s="455"/>
    </row>
    <row r="119" spans="1:16">
      <c r="A119" s="453" t="str">
        <f>A66</f>
        <v>NIBP Simulator, Merek : RIGEL, Model : BP - SIM, SN : 12L-0536</v>
      </c>
      <c r="B119" s="454"/>
      <c r="C119" s="454"/>
      <c r="D119" s="454"/>
      <c r="E119" s="454"/>
      <c r="F119" s="455"/>
      <c r="G119" s="456">
        <f>B69</f>
        <v>2019</v>
      </c>
      <c r="H119" s="456">
        <f>D69</f>
        <v>2020</v>
      </c>
      <c r="I119" s="456">
        <v>1</v>
      </c>
      <c r="J119" s="456">
        <v>13</v>
      </c>
      <c r="K119" s="453" t="s">
        <v>564</v>
      </c>
      <c r="L119" s="454"/>
      <c r="M119" s="454"/>
      <c r="N119" s="454"/>
      <c r="O119" s="454"/>
      <c r="P119" s="455"/>
    </row>
    <row r="120" spans="1:16">
      <c r="A120" s="453" t="str">
        <f>H66</f>
        <v>NIBP Simulator, Merek : RIGEL, Model : BP - SIM, SN : 44L-1084</v>
      </c>
      <c r="B120" s="454"/>
      <c r="C120" s="454"/>
      <c r="D120" s="454"/>
      <c r="E120" s="454"/>
      <c r="F120" s="455"/>
      <c r="G120" s="456">
        <f>I69</f>
        <v>2019</v>
      </c>
      <c r="H120" s="456">
        <f>K69</f>
        <v>2020</v>
      </c>
      <c r="I120" s="456">
        <v>1</v>
      </c>
      <c r="J120" s="456">
        <v>14</v>
      </c>
      <c r="K120" s="453" t="s">
        <v>348</v>
      </c>
      <c r="L120" s="454"/>
      <c r="M120" s="454"/>
      <c r="N120" s="454"/>
      <c r="O120" s="454"/>
      <c r="P120" s="455"/>
    </row>
    <row r="121" spans="1:16">
      <c r="A121" s="453" t="str">
        <f>O66</f>
        <v>NIBP Simulator, Merek : RIGEL, Model : BP - SIM, SN : 06L-0610</v>
      </c>
      <c r="B121" s="454"/>
      <c r="C121" s="454"/>
      <c r="D121" s="454"/>
      <c r="E121" s="454"/>
      <c r="F121" s="455"/>
      <c r="G121" s="456">
        <f>P69</f>
        <v>2019</v>
      </c>
      <c r="H121" s="456">
        <f>R69</f>
        <v>2020</v>
      </c>
      <c r="I121" s="456">
        <v>1</v>
      </c>
      <c r="J121" s="456">
        <v>15</v>
      </c>
      <c r="K121" s="453" t="s">
        <v>564</v>
      </c>
      <c r="L121" s="454"/>
      <c r="M121" s="454"/>
      <c r="N121" s="454"/>
      <c r="O121" s="454"/>
      <c r="P121" s="455"/>
    </row>
    <row r="122" spans="1:16">
      <c r="A122" s="639">
        <f>VLOOKUP(A106,A107:J121,10,FALSE)</f>
        <v>7</v>
      </c>
      <c r="B122" s="640"/>
      <c r="C122" s="640"/>
      <c r="D122" s="640"/>
      <c r="E122" s="640"/>
      <c r="F122" s="640"/>
      <c r="G122" s="640"/>
      <c r="H122" s="641"/>
      <c r="I122" s="456">
        <f>VLOOKUP(A106,A107:J121,9,FALSE)</f>
        <v>1</v>
      </c>
      <c r="J122" s="454"/>
      <c r="K122" s="453" t="str">
        <f>IF(OR(A122=J108,A122=J109,A122=J114,A122=J116,A122=J117,A122=J118,A122=J120),K108,K107)</f>
        <v>tertelusur ke Satuan Internasional ( SI ) melalui PT. Kaliman</v>
      </c>
      <c r="L122" s="454"/>
      <c r="M122" s="455"/>
      <c r="N122" s="454"/>
      <c r="O122" s="454"/>
      <c r="P122" s="455"/>
    </row>
    <row r="123" spans="1:16">
      <c r="A123" s="642" t="str">
        <f>K106&amp;R107&amp;K122</f>
        <v>Hasil kalibrasi NIBP tertelusur ke Satuan Internasional ( SI ) melalui PT. Kaliman</v>
      </c>
      <c r="B123" s="643"/>
      <c r="C123" s="643"/>
      <c r="D123" s="643"/>
      <c r="E123" s="643"/>
      <c r="F123" s="643"/>
      <c r="G123" s="643"/>
      <c r="H123" s="643"/>
      <c r="I123" s="643"/>
      <c r="J123" s="643"/>
      <c r="K123" s="643"/>
      <c r="L123" s="643"/>
      <c r="M123" s="643"/>
      <c r="N123" s="643"/>
      <c r="O123" s="643"/>
      <c r="P123" s="644"/>
    </row>
  </sheetData>
  <mergeCells count="49">
    <mergeCell ref="A66:F66"/>
    <mergeCell ref="H66:M66"/>
    <mergeCell ref="O66:T66"/>
    <mergeCell ref="A50:F50"/>
    <mergeCell ref="P68:R68"/>
    <mergeCell ref="H50:M50"/>
    <mergeCell ref="H51:K51"/>
    <mergeCell ref="I52:K52"/>
    <mergeCell ref="H67:K67"/>
    <mergeCell ref="P52:R52"/>
    <mergeCell ref="O67:R67"/>
    <mergeCell ref="O51:R51"/>
    <mergeCell ref="O19:R19"/>
    <mergeCell ref="P20:R20"/>
    <mergeCell ref="O35:R35"/>
    <mergeCell ref="P36:R36"/>
    <mergeCell ref="O50:T50"/>
    <mergeCell ref="K106:P106"/>
    <mergeCell ref="A3:D3"/>
    <mergeCell ref="B4:D4"/>
    <mergeCell ref="B36:D36"/>
    <mergeCell ref="A35:D35"/>
    <mergeCell ref="B20:D20"/>
    <mergeCell ref="A19:D19"/>
    <mergeCell ref="H3:K3"/>
    <mergeCell ref="I4:K4"/>
    <mergeCell ref="H19:K19"/>
    <mergeCell ref="I20:K20"/>
    <mergeCell ref="H18:M18"/>
    <mergeCell ref="O3:R3"/>
    <mergeCell ref="P4:R4"/>
    <mergeCell ref="A18:F18"/>
    <mergeCell ref="I36:K36"/>
    <mergeCell ref="O2:T2"/>
    <mergeCell ref="O18:T18"/>
    <mergeCell ref="O34:T34"/>
    <mergeCell ref="H34:M34"/>
    <mergeCell ref="B86:D86"/>
    <mergeCell ref="H2:M2"/>
    <mergeCell ref="A34:F34"/>
    <mergeCell ref="A84:F84"/>
    <mergeCell ref="A85:D85"/>
    <mergeCell ref="A2:F2"/>
    <mergeCell ref="B68:D68"/>
    <mergeCell ref="A67:D67"/>
    <mergeCell ref="A51:D51"/>
    <mergeCell ref="B52:D52"/>
    <mergeCell ref="I68:K68"/>
    <mergeCell ref="H35:K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AH393"/>
  <sheetViews>
    <sheetView topLeftCell="A277" zoomScale="112" zoomScaleNormal="112" workbookViewId="0">
      <selection activeCell="C282" sqref="C282"/>
    </sheetView>
  </sheetViews>
  <sheetFormatPr defaultColWidth="9.08984375" defaultRowHeight="12.5"/>
  <cols>
    <col min="1" max="1" width="17.6328125" style="316" customWidth="1"/>
    <col min="2" max="4" width="9" style="316" customWidth="1"/>
    <col min="5" max="5" width="9.08984375" style="316"/>
    <col min="6" max="6" width="13.36328125" style="316" customWidth="1"/>
    <col min="7" max="7" width="5.08984375" style="316" customWidth="1"/>
    <col min="8" max="8" width="2.54296875" style="316" customWidth="1"/>
    <col min="9" max="9" width="18.6328125" style="316" customWidth="1"/>
    <col min="10" max="14" width="9.08984375" style="316"/>
    <col min="15" max="15" width="3.08984375" style="316" customWidth="1"/>
    <col min="16" max="16" width="2.90625" style="316" customWidth="1"/>
    <col min="17" max="17" width="18.54296875" style="316" customWidth="1"/>
    <col min="18" max="27" width="9.08984375" style="316"/>
    <col min="28" max="28" width="13.08984375" style="316" bestFit="1" customWidth="1"/>
    <col min="29" max="16384" width="9.08984375" style="316"/>
  </cols>
  <sheetData>
    <row r="1" spans="1:34" ht="12.75" customHeight="1">
      <c r="A1" s="1413" t="s">
        <v>173</v>
      </c>
      <c r="B1" s="1413"/>
      <c r="C1" s="1413"/>
      <c r="D1" s="1413"/>
      <c r="E1" s="1413"/>
      <c r="F1" s="1413"/>
      <c r="G1" s="1413"/>
      <c r="H1" s="1413"/>
      <c r="I1" s="1413"/>
      <c r="J1" s="1413"/>
      <c r="K1" s="1413"/>
      <c r="L1" s="1413"/>
      <c r="M1" s="1413"/>
      <c r="N1" s="1413"/>
      <c r="O1" s="1413"/>
      <c r="P1" s="1413"/>
      <c r="Q1" s="1413"/>
      <c r="R1" s="1413"/>
      <c r="S1" s="1413"/>
      <c r="T1" s="1413"/>
      <c r="U1" s="1413"/>
      <c r="V1" s="1413"/>
    </row>
    <row r="2" spans="1:34" ht="12.75" customHeight="1">
      <c r="A2" s="1413"/>
      <c r="B2" s="1413"/>
      <c r="C2" s="1413"/>
      <c r="D2" s="1413"/>
      <c r="E2" s="1413"/>
      <c r="F2" s="1413"/>
      <c r="G2" s="1413"/>
      <c r="H2" s="1413"/>
      <c r="I2" s="1413"/>
      <c r="J2" s="1413"/>
      <c r="K2" s="1413"/>
      <c r="L2" s="1413"/>
      <c r="M2" s="1413"/>
      <c r="N2" s="1413"/>
      <c r="O2" s="1413"/>
      <c r="P2" s="1413"/>
      <c r="Q2" s="1413"/>
      <c r="R2" s="1413"/>
      <c r="S2" s="1413"/>
      <c r="T2" s="1413"/>
      <c r="U2" s="1413"/>
      <c r="V2" s="1413"/>
    </row>
    <row r="3" spans="1:34" ht="12.75" customHeight="1">
      <c r="A3" s="653"/>
      <c r="B3" s="653"/>
      <c r="D3" s="653"/>
      <c r="E3" s="653"/>
      <c r="F3" s="653"/>
    </row>
    <row r="4" spans="1:34" ht="15.75" customHeight="1">
      <c r="A4" s="653"/>
      <c r="B4" s="653"/>
      <c r="D4" s="653"/>
      <c r="E4" s="653"/>
      <c r="F4" s="653"/>
    </row>
    <row r="5" spans="1:34" ht="35">
      <c r="A5" s="1416" t="s">
        <v>174</v>
      </c>
      <c r="B5" s="1416"/>
      <c r="C5" s="1416"/>
      <c r="D5" s="1416"/>
      <c r="E5" s="1416"/>
      <c r="F5" s="1416"/>
      <c r="I5" s="1418" t="s">
        <v>181</v>
      </c>
      <c r="J5" s="1418"/>
      <c r="K5" s="1418"/>
      <c r="L5" s="1418"/>
      <c r="M5" s="1418"/>
      <c r="N5" s="1418"/>
      <c r="Q5" s="1418" t="s">
        <v>285</v>
      </c>
      <c r="R5" s="1418"/>
      <c r="S5" s="1418"/>
      <c r="T5" s="1418"/>
      <c r="U5" s="1418"/>
      <c r="V5" s="1418"/>
      <c r="W5" s="317"/>
    </row>
    <row r="6" spans="1:34" ht="22.5" customHeight="1">
      <c r="A6" s="1414" t="s">
        <v>175</v>
      </c>
      <c r="B6" s="1414"/>
      <c r="C6" s="1414"/>
      <c r="D6" s="1414"/>
      <c r="E6" s="1415" t="s">
        <v>74</v>
      </c>
      <c r="F6" s="1417" t="s">
        <v>176</v>
      </c>
      <c r="H6" s="318" t="s">
        <v>286</v>
      </c>
      <c r="I6" s="1414" t="s">
        <v>175</v>
      </c>
      <c r="J6" s="1414"/>
      <c r="K6" s="1414"/>
      <c r="L6" s="1414"/>
      <c r="M6" s="1415" t="s">
        <v>74</v>
      </c>
      <c r="N6" s="1417" t="s">
        <v>176</v>
      </c>
      <c r="P6" s="318" t="s">
        <v>286</v>
      </c>
      <c r="Q6" s="1414" t="s">
        <v>175</v>
      </c>
      <c r="R6" s="1414"/>
      <c r="S6" s="1414"/>
      <c r="T6" s="1414"/>
      <c r="U6" s="1415" t="s">
        <v>74</v>
      </c>
      <c r="V6" s="1417" t="s">
        <v>176</v>
      </c>
      <c r="X6" s="318" t="s">
        <v>286</v>
      </c>
    </row>
    <row r="7" spans="1:34" ht="13">
      <c r="A7" s="649" t="s">
        <v>177</v>
      </c>
      <c r="B7" s="1415" t="s">
        <v>75</v>
      </c>
      <c r="C7" s="1415"/>
      <c r="D7" s="1415"/>
      <c r="E7" s="1415"/>
      <c r="F7" s="1417"/>
      <c r="I7" s="649" t="s">
        <v>177</v>
      </c>
      <c r="J7" s="1415" t="s">
        <v>75</v>
      </c>
      <c r="K7" s="1415"/>
      <c r="L7" s="1415"/>
      <c r="M7" s="1415"/>
      <c r="N7" s="1417"/>
      <c r="Q7" s="649" t="s">
        <v>177</v>
      </c>
      <c r="R7" s="1415" t="s">
        <v>75</v>
      </c>
      <c r="S7" s="1415"/>
      <c r="T7" s="1415"/>
      <c r="U7" s="1415"/>
      <c r="V7" s="1417"/>
    </row>
    <row r="8" spans="1:34" ht="14">
      <c r="A8" s="647" t="s">
        <v>111</v>
      </c>
      <c r="B8" s="660">
        <v>2016</v>
      </c>
      <c r="C8" s="660">
        <v>2016</v>
      </c>
      <c r="D8" s="660">
        <v>2018</v>
      </c>
      <c r="E8" s="1415"/>
      <c r="F8" s="1417"/>
      <c r="I8" s="647" t="s">
        <v>111</v>
      </c>
      <c r="J8" s="649">
        <v>2017</v>
      </c>
      <c r="K8" s="649">
        <v>2017</v>
      </c>
      <c r="L8" s="649">
        <v>2018</v>
      </c>
      <c r="M8" s="1415"/>
      <c r="N8" s="1417"/>
      <c r="Q8" s="647" t="s">
        <v>111</v>
      </c>
      <c r="R8" s="649">
        <v>2015</v>
      </c>
      <c r="S8" s="649">
        <v>2015</v>
      </c>
      <c r="T8" s="649">
        <v>2016</v>
      </c>
      <c r="U8" s="1415"/>
      <c r="V8" s="1417"/>
      <c r="Z8" s="316">
        <v>3</v>
      </c>
    </row>
    <row r="9" spans="1:34">
      <c r="A9" s="343">
        <v>0.5</v>
      </c>
      <c r="B9" s="319">
        <v>9.9999999999999995E-7</v>
      </c>
      <c r="C9" s="319">
        <v>9.9999999999999995E-7</v>
      </c>
      <c r="D9" s="319">
        <v>9.9999999999999995E-7</v>
      </c>
      <c r="E9" s="342">
        <f>0.5*(MAX(B9:D9)-MIN(B9:D9))</f>
        <v>0</v>
      </c>
      <c r="F9" s="331">
        <v>1.1999999999999999E-3</v>
      </c>
      <c r="I9" s="343">
        <v>0.5</v>
      </c>
      <c r="J9" s="351">
        <v>9.9999999999999995E-7</v>
      </c>
      <c r="K9" s="351">
        <v>9.9999999999999995E-7</v>
      </c>
      <c r="L9" s="351">
        <v>9.9999999999999995E-7</v>
      </c>
      <c r="M9" s="342">
        <f>0.5*(MAX(J9:L9)-MIN(J9:L9))</f>
        <v>0</v>
      </c>
      <c r="N9" s="331">
        <v>1.1999999999999999E-3</v>
      </c>
      <c r="Q9" s="343">
        <v>0.5</v>
      </c>
      <c r="R9" s="344">
        <v>-1.6999999999999999E-3</v>
      </c>
      <c r="S9" s="344">
        <v>-1.6999999999999999E-3</v>
      </c>
      <c r="T9" s="344">
        <v>0</v>
      </c>
      <c r="U9" s="342">
        <f>0.5*(MAX(R9:T9)-MIN(R9:T9))</f>
        <v>8.4999999999999995E-4</v>
      </c>
      <c r="V9" s="331">
        <v>5.4999999999999997E-3</v>
      </c>
      <c r="Z9" s="316">
        <f>180.1/60</f>
        <v>3.0016666666666665</v>
      </c>
    </row>
    <row r="10" spans="1:34">
      <c r="A10" s="343">
        <v>1</v>
      </c>
      <c r="B10" s="319">
        <v>9.9999999999999995E-7</v>
      </c>
      <c r="C10" s="319">
        <v>9.9999999999999995E-7</v>
      </c>
      <c r="D10" s="319">
        <v>9.9999999999999995E-7</v>
      </c>
      <c r="E10" s="342">
        <f>0.5*(MAX(B10:D10)-MIN(B10:D10))</f>
        <v>0</v>
      </c>
      <c r="F10" s="331" t="s">
        <v>178</v>
      </c>
      <c r="I10" s="343">
        <v>1</v>
      </c>
      <c r="J10" s="351">
        <v>9.9999999999999995E-7</v>
      </c>
      <c r="K10" s="351">
        <v>9.9999999999999995E-7</v>
      </c>
      <c r="L10" s="351">
        <v>9.9999999999999995E-7</v>
      </c>
      <c r="M10" s="342">
        <f>0.5*(MAX(J10:L10)-MIN(J10:L10))</f>
        <v>0</v>
      </c>
      <c r="N10" s="331" t="s">
        <v>178</v>
      </c>
      <c r="Q10" s="343">
        <v>1</v>
      </c>
      <c r="R10" s="344">
        <v>-5.0000000000000001E-4</v>
      </c>
      <c r="S10" s="344">
        <v>-5.0000000000000001E-4</v>
      </c>
      <c r="T10" s="344">
        <v>0</v>
      </c>
      <c r="U10" s="342">
        <f>0.5*(MAX(R10:T10)-MIN(R10:T10))</f>
        <v>2.5000000000000001E-4</v>
      </c>
      <c r="V10" s="331" t="s">
        <v>178</v>
      </c>
      <c r="Z10" s="316">
        <f>Z9-Z8</f>
        <v>1.6666666666664831E-3</v>
      </c>
    </row>
    <row r="11" spans="1:34">
      <c r="A11" s="343">
        <v>2</v>
      </c>
      <c r="B11" s="319">
        <v>-1E-3</v>
      </c>
      <c r="C11" s="319">
        <v>-1E-3</v>
      </c>
      <c r="D11" s="319">
        <v>9.9999999999999995E-7</v>
      </c>
      <c r="E11" s="342">
        <f>0.5*(MAX(B11:D11)-MIN(B11:D11))</f>
        <v>5.0049999999999997E-4</v>
      </c>
      <c r="F11" s="331" t="s">
        <v>179</v>
      </c>
      <c r="I11" s="343">
        <v>2</v>
      </c>
      <c r="J11" s="351">
        <v>9.9999999999999995E-7</v>
      </c>
      <c r="K11" s="351">
        <v>9.9999999999999995E-7</v>
      </c>
      <c r="L11" s="351">
        <v>9.9999999999999995E-7</v>
      </c>
      <c r="M11" s="342">
        <f>0.5*(MAX(J11:L11)-MIN(J11:L11))</f>
        <v>0</v>
      </c>
      <c r="N11" s="331" t="s">
        <v>179</v>
      </c>
      <c r="Q11" s="343">
        <v>2</v>
      </c>
      <c r="R11" s="344">
        <v>-1.67E-3</v>
      </c>
      <c r="S11" s="344">
        <v>-1.67E-3</v>
      </c>
      <c r="T11" s="344">
        <v>-1E-3</v>
      </c>
      <c r="U11" s="342">
        <f>0.5*(MAX(R11:T11)-MIN(R11:T11))</f>
        <v>3.3500000000000001E-4</v>
      </c>
      <c r="V11" s="331" t="s">
        <v>179</v>
      </c>
      <c r="AG11" s="316">
        <v>0.5</v>
      </c>
      <c r="AH11" s="316">
        <f>((-0.0002*0.5)+(0.001))</f>
        <v>8.9999999999999998E-4</v>
      </c>
    </row>
    <row r="12" spans="1:34">
      <c r="A12" s="343">
        <v>3</v>
      </c>
      <c r="B12" s="319">
        <v>-1E-3</v>
      </c>
      <c r="C12" s="319">
        <v>-1E-3</v>
      </c>
      <c r="D12" s="319">
        <v>9.9999999999999995E-7</v>
      </c>
      <c r="E12" s="342">
        <f>0.5*(MAX(B12:D12)-MIN(B12:D12))</f>
        <v>5.0049999999999997E-4</v>
      </c>
      <c r="F12" s="331" t="s">
        <v>62</v>
      </c>
      <c r="I12" s="343">
        <v>3</v>
      </c>
      <c r="J12" s="351">
        <v>9.9999999999999995E-7</v>
      </c>
      <c r="K12" s="351">
        <v>9.9999999999999995E-7</v>
      </c>
      <c r="L12" s="351">
        <v>9.9999999999999995E-7</v>
      </c>
      <c r="M12" s="342">
        <f>0.5*(MAX(J12:L12)-MIN(J12:L12))</f>
        <v>0</v>
      </c>
      <c r="N12" s="331" t="s">
        <v>62</v>
      </c>
      <c r="Q12" s="343">
        <v>3</v>
      </c>
      <c r="R12" s="344">
        <v>1.6670000000000001E-3</v>
      </c>
      <c r="S12" s="344">
        <v>1.6670000000000001E-3</v>
      </c>
      <c r="T12" s="344">
        <v>0</v>
      </c>
      <c r="U12" s="342">
        <f>0.5*(MAX(R12:T12)-MIN(R12:T12))</f>
        <v>8.3350000000000004E-4</v>
      </c>
      <c r="V12" s="331" t="s">
        <v>62</v>
      </c>
      <c r="AG12" s="316">
        <v>1</v>
      </c>
      <c r="AH12" s="316">
        <f>((-0.0002*1)+(0.001))</f>
        <v>8.0000000000000004E-4</v>
      </c>
    </row>
    <row r="13" spans="1:34" ht="26.5" thickBot="1">
      <c r="A13" s="330" t="s">
        <v>287</v>
      </c>
      <c r="B13" s="649" t="s">
        <v>75</v>
      </c>
      <c r="C13" s="649" t="s">
        <v>75</v>
      </c>
      <c r="D13" s="649"/>
      <c r="E13" s="341" t="s">
        <v>74</v>
      </c>
      <c r="F13" s="345" t="s">
        <v>176</v>
      </c>
      <c r="I13" s="330" t="s">
        <v>287</v>
      </c>
      <c r="J13" s="649" t="s">
        <v>75</v>
      </c>
      <c r="K13" s="649" t="s">
        <v>75</v>
      </c>
      <c r="L13" s="649"/>
      <c r="M13" s="341" t="s">
        <v>74</v>
      </c>
      <c r="N13" s="345" t="s">
        <v>176</v>
      </c>
      <c r="Q13" s="330" t="s">
        <v>287</v>
      </c>
      <c r="R13" s="341" t="s">
        <v>75</v>
      </c>
      <c r="S13" s="341" t="s">
        <v>75</v>
      </c>
      <c r="T13" s="341"/>
      <c r="U13" s="341" t="s">
        <v>74</v>
      </c>
      <c r="V13" s="345" t="s">
        <v>176</v>
      </c>
      <c r="AG13" s="320">
        <v>2</v>
      </c>
      <c r="AH13" s="316">
        <f>((-0.0002*2)+(0.001))</f>
        <v>6.0000000000000006E-4</v>
      </c>
    </row>
    <row r="14" spans="1:34" ht="13.5" thickBot="1">
      <c r="A14" s="346" t="s">
        <v>288</v>
      </c>
      <c r="B14" s="649">
        <f>B8</f>
        <v>2016</v>
      </c>
      <c r="C14" s="649">
        <f>C8</f>
        <v>2016</v>
      </c>
      <c r="D14" s="649">
        <f>D8</f>
        <v>2018</v>
      </c>
      <c r="E14" s="342"/>
      <c r="F14" s="345"/>
      <c r="I14" s="346" t="s">
        <v>288</v>
      </c>
      <c r="J14" s="649">
        <f>J8</f>
        <v>2017</v>
      </c>
      <c r="K14" s="649">
        <f>K8</f>
        <v>2017</v>
      </c>
      <c r="L14" s="649">
        <f>L8</f>
        <v>2018</v>
      </c>
      <c r="M14" s="342"/>
      <c r="N14" s="345"/>
      <c r="Q14" s="346" t="s">
        <v>288</v>
      </c>
      <c r="R14" s="649">
        <f>R8</f>
        <v>2015</v>
      </c>
      <c r="S14" s="649">
        <f>S8</f>
        <v>2015</v>
      </c>
      <c r="T14" s="649">
        <f>T8</f>
        <v>2016</v>
      </c>
      <c r="U14" s="342"/>
      <c r="V14" s="345"/>
      <c r="AG14" s="321">
        <v>2.5</v>
      </c>
      <c r="AH14" s="322">
        <v>0</v>
      </c>
    </row>
    <row r="15" spans="1:34" ht="13" thickBot="1">
      <c r="A15" s="343">
        <v>5</v>
      </c>
      <c r="B15" s="319">
        <v>9.9999999999999995E-7</v>
      </c>
      <c r="C15" s="319">
        <v>9.9999999999999995E-7</v>
      </c>
      <c r="D15" s="319">
        <v>9.9999999999999995E-7</v>
      </c>
      <c r="E15" s="342">
        <f>0.5*(MAX(B15:D15)-MIN(B15:D15))</f>
        <v>0</v>
      </c>
      <c r="F15" s="348">
        <v>2.5999999999999999E-2</v>
      </c>
      <c r="I15" s="343">
        <v>0.5</v>
      </c>
      <c r="J15" s="351">
        <v>9.9999999999999995E-7</v>
      </c>
      <c r="K15" s="351">
        <v>9.9999999999999995E-7</v>
      </c>
      <c r="L15" s="351">
        <v>9.9999999999999995E-7</v>
      </c>
      <c r="M15" s="342">
        <f>0.5*(MAX(J15:L15)-MIN(J15:L15))</f>
        <v>0</v>
      </c>
      <c r="N15" s="348">
        <v>0.01</v>
      </c>
      <c r="Q15" s="343">
        <v>0.5</v>
      </c>
      <c r="R15" s="323" t="s">
        <v>62</v>
      </c>
      <c r="S15" s="323" t="s">
        <v>62</v>
      </c>
      <c r="T15" s="324">
        <v>8.9999999999999998E-4</v>
      </c>
      <c r="U15" s="347">
        <f>1/3*V15</f>
        <v>3.3333333333333332E-4</v>
      </c>
      <c r="V15" s="348">
        <v>1E-3</v>
      </c>
      <c r="AG15" s="321">
        <v>5</v>
      </c>
      <c r="AH15" s="325">
        <v>1E-3</v>
      </c>
    </row>
    <row r="16" spans="1:34" ht="13" thickBot="1">
      <c r="A16" s="343">
        <v>10</v>
      </c>
      <c r="B16" s="319">
        <v>9.9999999999999995E-7</v>
      </c>
      <c r="C16" s="319">
        <v>9.9999999999999995E-7</v>
      </c>
      <c r="D16" s="319">
        <v>9.9999999999999995E-7</v>
      </c>
      <c r="E16" s="342">
        <f>0.5*(MAX(B16:D16)-MIN(B16:D16))</f>
        <v>0</v>
      </c>
      <c r="F16" s="348">
        <v>2.5999999999999999E-2</v>
      </c>
      <c r="I16" s="343">
        <v>1</v>
      </c>
      <c r="J16" s="351">
        <v>9.9999999999999995E-7</v>
      </c>
      <c r="K16" s="351">
        <v>9.9999999999999995E-7</v>
      </c>
      <c r="L16" s="351">
        <v>9.9999999999999995E-7</v>
      </c>
      <c r="M16" s="342">
        <f>0.5*(MAX(J16:L16)-MIN(J16:L16))</f>
        <v>0</v>
      </c>
      <c r="N16" s="348">
        <v>0.01</v>
      </c>
      <c r="Q16" s="343">
        <v>1</v>
      </c>
      <c r="R16" s="323" t="s">
        <v>62</v>
      </c>
      <c r="S16" s="323" t="s">
        <v>62</v>
      </c>
      <c r="T16" s="324">
        <v>8.0000000000000004E-4</v>
      </c>
      <c r="U16" s="347">
        <f t="shared" ref="U16:U17" si="0">1/3*V16</f>
        <v>3.3333333333333332E-4</v>
      </c>
      <c r="V16" s="348">
        <v>1E-3</v>
      </c>
      <c r="AG16" s="321">
        <v>10</v>
      </c>
      <c r="AH16" s="325">
        <v>-1E-3</v>
      </c>
    </row>
    <row r="17" spans="1:34">
      <c r="A17" s="343">
        <v>20</v>
      </c>
      <c r="B17" s="319">
        <v>1E-3</v>
      </c>
      <c r="C17" s="319">
        <v>1E-3</v>
      </c>
      <c r="D17" s="319">
        <v>9.9999999999999995E-7</v>
      </c>
      <c r="E17" s="342">
        <f>0.5*(MAX(B17:D17)-MIN(B17:D17))</f>
        <v>4.9950000000000005E-4</v>
      </c>
      <c r="F17" s="348">
        <v>2.5999999999999999E-2</v>
      </c>
      <c r="I17" s="343">
        <v>2</v>
      </c>
      <c r="J17" s="351">
        <v>9.9999999999999995E-7</v>
      </c>
      <c r="K17" s="351">
        <v>9.9999999999999995E-7</v>
      </c>
      <c r="L17" s="351">
        <v>9.9999999999999995E-7</v>
      </c>
      <c r="M17" s="342">
        <f>0.5*(MAX(J17:L17)-MIN(J17:L17))</f>
        <v>0</v>
      </c>
      <c r="N17" s="348">
        <v>0.01</v>
      </c>
      <c r="Q17" s="343">
        <v>2</v>
      </c>
      <c r="R17" s="323" t="s">
        <v>62</v>
      </c>
      <c r="S17" s="323" t="s">
        <v>62</v>
      </c>
      <c r="T17" s="324">
        <v>5.9999999999999995E-4</v>
      </c>
      <c r="U17" s="347">
        <f t="shared" si="0"/>
        <v>3.3333333333333332E-4</v>
      </c>
      <c r="V17" s="348">
        <v>1E-3</v>
      </c>
      <c r="AG17" s="320" t="s">
        <v>289</v>
      </c>
      <c r="AH17" s="320" t="s">
        <v>290</v>
      </c>
    </row>
    <row r="18" spans="1:34" ht="26">
      <c r="A18" s="330" t="s">
        <v>291</v>
      </c>
      <c r="B18" s="649" t="s">
        <v>75</v>
      </c>
      <c r="C18" s="649" t="s">
        <v>75</v>
      </c>
      <c r="D18" s="649"/>
      <c r="E18" s="341" t="s">
        <v>74</v>
      </c>
      <c r="F18" s="345" t="s">
        <v>176</v>
      </c>
      <c r="I18" s="330" t="s">
        <v>291</v>
      </c>
      <c r="J18" s="649" t="s">
        <v>75</v>
      </c>
      <c r="K18" s="649" t="s">
        <v>75</v>
      </c>
      <c r="L18" s="649"/>
      <c r="M18" s="341" t="s">
        <v>74</v>
      </c>
      <c r="N18" s="345" t="s">
        <v>176</v>
      </c>
      <c r="Q18" s="330" t="s">
        <v>291</v>
      </c>
      <c r="R18" s="341" t="s">
        <v>75</v>
      </c>
      <c r="S18" s="341" t="s">
        <v>75</v>
      </c>
      <c r="T18" s="341"/>
      <c r="U18" s="341" t="s">
        <v>74</v>
      </c>
      <c r="V18" s="345" t="s">
        <v>176</v>
      </c>
    </row>
    <row r="19" spans="1:34" ht="13">
      <c r="A19" s="330" t="s">
        <v>292</v>
      </c>
      <c r="B19" s="649">
        <f>B14</f>
        <v>2016</v>
      </c>
      <c r="C19" s="649">
        <f>C14</f>
        <v>2016</v>
      </c>
      <c r="D19" s="649">
        <f>D14</f>
        <v>2018</v>
      </c>
      <c r="E19" s="342"/>
      <c r="F19" s="345"/>
      <c r="I19" s="330" t="s">
        <v>292</v>
      </c>
      <c r="J19" s="649">
        <f>J14</f>
        <v>2017</v>
      </c>
      <c r="K19" s="649">
        <f>K14</f>
        <v>2017</v>
      </c>
      <c r="L19" s="649">
        <f>L14</f>
        <v>2018</v>
      </c>
      <c r="M19" s="342"/>
      <c r="N19" s="345"/>
      <c r="Q19" s="330" t="s">
        <v>292</v>
      </c>
      <c r="R19" s="649">
        <f>R14</f>
        <v>2015</v>
      </c>
      <c r="S19" s="649">
        <f>S14</f>
        <v>2015</v>
      </c>
      <c r="T19" s="649">
        <f>T14</f>
        <v>2016</v>
      </c>
      <c r="U19" s="342"/>
      <c r="V19" s="345"/>
    </row>
    <row r="20" spans="1:34">
      <c r="A20" s="343">
        <v>0.125</v>
      </c>
      <c r="B20" s="323" t="s">
        <v>62</v>
      </c>
      <c r="C20" s="323" t="s">
        <v>62</v>
      </c>
      <c r="D20" s="319">
        <v>9.9999999999999995E-7</v>
      </c>
      <c r="E20" s="342">
        <f>0.5*(MAX(B20:D20)-MIN(B20:D20))</f>
        <v>0</v>
      </c>
      <c r="F20" s="348">
        <v>2.5999999999999999E-2</v>
      </c>
      <c r="G20" s="320" t="s">
        <v>293</v>
      </c>
      <c r="I20" s="343">
        <v>0.125</v>
      </c>
      <c r="J20" s="351">
        <v>9.9999999999999995E-7</v>
      </c>
      <c r="K20" s="351">
        <v>9.9999999999999995E-7</v>
      </c>
      <c r="L20" s="351">
        <v>9.9999999999999995E-7</v>
      </c>
      <c r="M20" s="342">
        <f>0.5*(MAX(J20:L20)-MIN(J20:L20))</f>
        <v>0</v>
      </c>
      <c r="N20" s="348">
        <v>2.5999999999999998E-5</v>
      </c>
      <c r="O20" s="320" t="s">
        <v>293</v>
      </c>
      <c r="Q20" s="343">
        <v>0.125</v>
      </c>
      <c r="R20" s="323" t="s">
        <v>62</v>
      </c>
      <c r="S20" s="323" t="s">
        <v>62</v>
      </c>
      <c r="T20" s="319">
        <v>0</v>
      </c>
      <c r="U20" s="342">
        <f>0.5*(MAX(R20:T20)-MIN(R20:T20))</f>
        <v>0</v>
      </c>
      <c r="V20" s="348">
        <v>2.5999999999999998E-5</v>
      </c>
      <c r="W20" s="316" t="s">
        <v>293</v>
      </c>
    </row>
    <row r="21" spans="1:34">
      <c r="A21" s="343">
        <v>2</v>
      </c>
      <c r="B21" s="323" t="s">
        <v>62</v>
      </c>
      <c r="C21" s="323" t="s">
        <v>62</v>
      </c>
      <c r="D21" s="319">
        <v>9.9999999999999995E-7</v>
      </c>
      <c r="E21" s="342">
        <f>0.5*(MAX(B21:D21)-MIN(B21:D21))</f>
        <v>0</v>
      </c>
      <c r="F21" s="348">
        <v>2.5999999999999999E-2</v>
      </c>
      <c r="G21" s="320" t="s">
        <v>293</v>
      </c>
      <c r="I21" s="343">
        <v>2</v>
      </c>
      <c r="J21" s="351">
        <v>9.9999999999999995E-7</v>
      </c>
      <c r="K21" s="351">
        <v>9.9999999999999995E-7</v>
      </c>
      <c r="L21" s="351">
        <v>9.9999999999999995E-7</v>
      </c>
      <c r="M21" s="342">
        <f>0.5*(MAX(J21:L21)-MIN(J21:L21))</f>
        <v>0</v>
      </c>
      <c r="N21" s="348">
        <v>2.5999999999999998E-5</v>
      </c>
      <c r="O21" s="320" t="s">
        <v>293</v>
      </c>
      <c r="Q21" s="343">
        <v>2</v>
      </c>
      <c r="R21" s="323" t="s">
        <v>62</v>
      </c>
      <c r="S21" s="323" t="s">
        <v>62</v>
      </c>
      <c r="T21" s="319">
        <v>0</v>
      </c>
      <c r="U21" s="342">
        <f>0.5*(MAX(R21:T21)-MIN(R21:T21))</f>
        <v>0</v>
      </c>
      <c r="V21" s="348">
        <v>2.5999999999999998E-5</v>
      </c>
      <c r="W21" s="316" t="s">
        <v>293</v>
      </c>
    </row>
    <row r="22" spans="1:34" ht="26">
      <c r="A22" s="330" t="s">
        <v>294</v>
      </c>
      <c r="B22" s="649" t="s">
        <v>75</v>
      </c>
      <c r="C22" s="649" t="s">
        <v>75</v>
      </c>
      <c r="D22" s="649"/>
      <c r="E22" s="341" t="s">
        <v>74</v>
      </c>
      <c r="F22" s="345" t="s">
        <v>176</v>
      </c>
      <c r="I22" s="330" t="s">
        <v>294</v>
      </c>
      <c r="J22" s="649" t="s">
        <v>75</v>
      </c>
      <c r="K22" s="649" t="s">
        <v>75</v>
      </c>
      <c r="L22" s="649"/>
      <c r="M22" s="341" t="s">
        <v>74</v>
      </c>
      <c r="N22" s="345" t="s">
        <v>176</v>
      </c>
      <c r="Q22" s="330" t="s">
        <v>294</v>
      </c>
      <c r="R22" s="341" t="s">
        <v>75</v>
      </c>
      <c r="S22" s="341" t="s">
        <v>75</v>
      </c>
      <c r="T22" s="341"/>
      <c r="U22" s="341" t="s">
        <v>74</v>
      </c>
      <c r="V22" s="345" t="s">
        <v>176</v>
      </c>
    </row>
    <row r="23" spans="1:34" ht="13">
      <c r="A23" s="330" t="s">
        <v>292</v>
      </c>
      <c r="B23" s="649">
        <f>B19</f>
        <v>2016</v>
      </c>
      <c r="C23" s="649">
        <f>C19</f>
        <v>2016</v>
      </c>
      <c r="D23" s="649">
        <f>D19</f>
        <v>2018</v>
      </c>
      <c r="E23" s="342"/>
      <c r="F23" s="345"/>
      <c r="I23" s="330" t="s">
        <v>292</v>
      </c>
      <c r="J23" s="649">
        <f>J19</f>
        <v>2017</v>
      </c>
      <c r="K23" s="649">
        <f>K19</f>
        <v>2017</v>
      </c>
      <c r="L23" s="649">
        <f>L19</f>
        <v>2018</v>
      </c>
      <c r="M23" s="342"/>
      <c r="N23" s="345"/>
      <c r="Q23" s="330" t="s">
        <v>292</v>
      </c>
      <c r="R23" s="649">
        <f>R19</f>
        <v>2015</v>
      </c>
      <c r="S23" s="649">
        <f>S19</f>
        <v>2015</v>
      </c>
      <c r="T23" s="649">
        <f>T19</f>
        <v>2016</v>
      </c>
      <c r="U23" s="342"/>
      <c r="V23" s="345"/>
    </row>
    <row r="24" spans="1:34">
      <c r="A24" s="343">
        <v>10</v>
      </c>
      <c r="B24" s="323" t="s">
        <v>62</v>
      </c>
      <c r="C24" s="323" t="s">
        <v>62</v>
      </c>
      <c r="D24" s="319">
        <v>9.9999999999999995E-7</v>
      </c>
      <c r="E24" s="342">
        <f>0.5*(MAX(B24:D24)-MIN(B24:D24))</f>
        <v>0</v>
      </c>
      <c r="F24" s="348">
        <v>2.5999999999999999E-2</v>
      </c>
      <c r="G24" s="320" t="s">
        <v>293</v>
      </c>
      <c r="I24" s="343">
        <v>10</v>
      </c>
      <c r="J24" s="351">
        <v>9.9999999999999995E-7</v>
      </c>
      <c r="K24" s="351">
        <v>9.9999999999999995E-7</v>
      </c>
      <c r="L24" s="351">
        <v>9.9999999999999995E-7</v>
      </c>
      <c r="M24" s="342">
        <f>0.5*(MAX(J24:L24)-MIN(J24:L24))</f>
        <v>0</v>
      </c>
      <c r="N24" s="348">
        <v>2.5999999999999998E-5</v>
      </c>
      <c r="O24" s="320" t="s">
        <v>293</v>
      </c>
      <c r="Q24" s="343">
        <v>10</v>
      </c>
      <c r="R24" s="323" t="s">
        <v>62</v>
      </c>
      <c r="S24" s="323" t="s">
        <v>62</v>
      </c>
      <c r="T24" s="319">
        <v>0</v>
      </c>
      <c r="U24" s="342">
        <f>0.5*(MAX(R24:T24)-MIN(R24:T24))</f>
        <v>0</v>
      </c>
      <c r="V24" s="348">
        <v>2.5999999999999998E-5</v>
      </c>
      <c r="W24" s="316" t="s">
        <v>293</v>
      </c>
    </row>
    <row r="25" spans="1:34" ht="13">
      <c r="A25" s="646" t="s">
        <v>180</v>
      </c>
      <c r="B25" s="646" t="s">
        <v>75</v>
      </c>
      <c r="C25" s="646" t="s">
        <v>75</v>
      </c>
      <c r="D25" s="646"/>
      <c r="E25" s="646" t="s">
        <v>74</v>
      </c>
      <c r="F25" s="648" t="s">
        <v>176</v>
      </c>
      <c r="I25" s="646" t="s">
        <v>180</v>
      </c>
      <c r="J25" s="646" t="s">
        <v>75</v>
      </c>
      <c r="K25" s="646" t="s">
        <v>75</v>
      </c>
      <c r="L25" s="646"/>
      <c r="M25" s="1403" t="s">
        <v>74</v>
      </c>
      <c r="N25" s="1422" t="s">
        <v>176</v>
      </c>
      <c r="Q25" s="646" t="s">
        <v>180</v>
      </c>
      <c r="R25" s="646" t="s">
        <v>75</v>
      </c>
      <c r="S25" s="646" t="s">
        <v>75</v>
      </c>
      <c r="T25" s="646"/>
      <c r="U25" s="1403" t="s">
        <v>74</v>
      </c>
      <c r="V25" s="1422" t="s">
        <v>176</v>
      </c>
    </row>
    <row r="26" spans="1:34" ht="14">
      <c r="A26" s="647" t="s">
        <v>338</v>
      </c>
      <c r="B26" s="646">
        <v>2016</v>
      </c>
      <c r="C26" s="646">
        <v>2016</v>
      </c>
      <c r="D26" s="646">
        <v>2018</v>
      </c>
      <c r="E26" s="646"/>
      <c r="F26" s="648"/>
      <c r="I26" s="647" t="s">
        <v>338</v>
      </c>
      <c r="J26" s="646">
        <f>J23</f>
        <v>2017</v>
      </c>
      <c r="K26" s="646">
        <f>K23</f>
        <v>2017</v>
      </c>
      <c r="L26" s="646">
        <f>L23</f>
        <v>2018</v>
      </c>
      <c r="M26" s="1403"/>
      <c r="N26" s="1422"/>
      <c r="Q26" s="647" t="s">
        <v>338</v>
      </c>
      <c r="R26" s="646">
        <f>R23</f>
        <v>2015</v>
      </c>
      <c r="S26" s="646">
        <f>S23</f>
        <v>2015</v>
      </c>
      <c r="T26" s="646">
        <f>T23</f>
        <v>2016</v>
      </c>
      <c r="U26" s="1403"/>
      <c r="V26" s="1422"/>
    </row>
    <row r="27" spans="1:34">
      <c r="A27" s="349">
        <v>15</v>
      </c>
      <c r="B27" s="319">
        <v>9.9999999999999995E-7</v>
      </c>
      <c r="C27" s="319">
        <v>9.9999999999999995E-7</v>
      </c>
      <c r="D27" s="319">
        <v>9.9999999999999995E-7</v>
      </c>
      <c r="E27" s="220">
        <f>0.5*(MAX(B27:D27)-MIN(B27:D27))</f>
        <v>0</v>
      </c>
      <c r="F27" s="350"/>
      <c r="I27" s="349">
        <v>15</v>
      </c>
      <c r="J27" s="351">
        <v>9.9999999999999995E-7</v>
      </c>
      <c r="K27" s="351">
        <v>9.9999999999999995E-7</v>
      </c>
      <c r="L27" s="351">
        <v>9.9999999999999995E-7</v>
      </c>
      <c r="M27" s="220">
        <f>0.5*(MAX(J27:L27)-MIN(J27:L27))</f>
        <v>0</v>
      </c>
      <c r="N27" s="350"/>
      <c r="Q27" s="349">
        <v>15</v>
      </c>
      <c r="R27" s="66">
        <v>0</v>
      </c>
      <c r="S27" s="66">
        <v>0</v>
      </c>
      <c r="T27" s="66">
        <v>0</v>
      </c>
      <c r="U27" s="220">
        <f>0.5*(MAX(R27:T27)-MIN(R27:T27))</f>
        <v>0</v>
      </c>
      <c r="V27" s="350"/>
    </row>
    <row r="28" spans="1:34">
      <c r="A28" s="56">
        <v>30</v>
      </c>
      <c r="B28" s="319">
        <v>9.9999999999999995E-7</v>
      </c>
      <c r="C28" s="319">
        <v>9.9999999999999995E-7</v>
      </c>
      <c r="D28" s="319">
        <v>9.9999999999999995E-7</v>
      </c>
      <c r="E28" s="220">
        <f>0.5*(MAX(B28:D28)-MIN(B28:D28))</f>
        <v>0</v>
      </c>
      <c r="F28" s="45">
        <v>1.1999999999999999E-3</v>
      </c>
      <c r="I28" s="56">
        <v>30</v>
      </c>
      <c r="J28" s="351">
        <v>9.9999999999999995E-7</v>
      </c>
      <c r="K28" s="351">
        <v>9.9999999999999995E-7</v>
      </c>
      <c r="L28" s="351">
        <v>9.9999999999999995E-7</v>
      </c>
      <c r="M28" s="220">
        <f>0.5*(MAX(J28:L28)-MIN(J28:L28))</f>
        <v>0</v>
      </c>
      <c r="N28" s="45">
        <v>1.1999999999999999E-3</v>
      </c>
      <c r="Q28" s="56">
        <v>30</v>
      </c>
      <c r="R28" s="66">
        <v>0</v>
      </c>
      <c r="S28" s="66">
        <v>0</v>
      </c>
      <c r="T28" s="66">
        <v>0</v>
      </c>
      <c r="U28" s="220">
        <f>0.5*(MAX(R28:T28)-MIN(R28:T28))</f>
        <v>0</v>
      </c>
      <c r="V28" s="45">
        <v>1.1999999999999999E-3</v>
      </c>
    </row>
    <row r="29" spans="1:34">
      <c r="A29" s="56">
        <v>60</v>
      </c>
      <c r="B29" s="319">
        <v>9.9999999999999995E-7</v>
      </c>
      <c r="C29" s="319">
        <v>9.9999999999999995E-7</v>
      </c>
      <c r="D29" s="319">
        <v>9.9999999999999995E-7</v>
      </c>
      <c r="E29" s="220">
        <f>0.5*(MAX(B29:D29)-MIN(B29:D29))</f>
        <v>0</v>
      </c>
      <c r="F29" s="45" t="s">
        <v>178</v>
      </c>
      <c r="I29" s="56">
        <v>60</v>
      </c>
      <c r="J29" s="351">
        <v>9.9999999999999995E-7</v>
      </c>
      <c r="K29" s="351">
        <v>9.9999999999999995E-7</v>
      </c>
      <c r="L29" s="351">
        <v>9.9999999999999995E-7</v>
      </c>
      <c r="M29" s="220">
        <f>0.5*(MAX(J29:L29)-MIN(J29:L29))</f>
        <v>0</v>
      </c>
      <c r="N29" s="45" t="s">
        <v>178</v>
      </c>
      <c r="Q29" s="56">
        <v>60</v>
      </c>
      <c r="R29" s="66">
        <v>0</v>
      </c>
      <c r="S29" s="66">
        <v>0</v>
      </c>
      <c r="T29" s="66">
        <v>0</v>
      </c>
      <c r="U29" s="220">
        <f>0.5*(MAX(R29:T29)-MIN(R29:T29))</f>
        <v>0</v>
      </c>
      <c r="V29" s="45" t="s">
        <v>178</v>
      </c>
    </row>
    <row r="30" spans="1:34">
      <c r="A30" s="56">
        <v>120</v>
      </c>
      <c r="B30" s="319">
        <v>9.9999999999999995E-7</v>
      </c>
      <c r="C30" s="319">
        <v>9.9999999999999995E-7</v>
      </c>
      <c r="D30" s="319">
        <v>9.9999999999999995E-7</v>
      </c>
      <c r="E30" s="220">
        <f>0.5*(MAX(B30:D30)-MIN(B30:D30))</f>
        <v>0</v>
      </c>
      <c r="F30" s="45" t="s">
        <v>179</v>
      </c>
      <c r="I30" s="56">
        <v>120</v>
      </c>
      <c r="J30" s="351">
        <v>9.9999999999999995E-7</v>
      </c>
      <c r="K30" s="351">
        <v>9.9999999999999995E-7</v>
      </c>
      <c r="L30" s="351">
        <v>9.9999999999999995E-7</v>
      </c>
      <c r="M30" s="220">
        <f>0.5*(MAX(J30:L30)-MIN(J30:L30))</f>
        <v>0</v>
      </c>
      <c r="N30" s="45" t="s">
        <v>179</v>
      </c>
      <c r="Q30" s="56">
        <v>120</v>
      </c>
      <c r="R30" s="66">
        <v>0</v>
      </c>
      <c r="S30" s="66">
        <v>0</v>
      </c>
      <c r="T30" s="66">
        <v>0</v>
      </c>
      <c r="U30" s="220">
        <f>0.5*(MAX(R30:T30)-MIN(R30:T30))</f>
        <v>0</v>
      </c>
      <c r="V30" s="45" t="s">
        <v>179</v>
      </c>
    </row>
    <row r="31" spans="1:34">
      <c r="A31" s="56">
        <v>180</v>
      </c>
      <c r="B31" s="319">
        <v>9.9999999999999995E-7</v>
      </c>
      <c r="C31" s="319">
        <v>9.9999999999999995E-7</v>
      </c>
      <c r="D31" s="319">
        <v>9.9999999999999995E-7</v>
      </c>
      <c r="E31" s="220">
        <f>0.5*(MAX(B31:D31)-MIN(B31:D31))</f>
        <v>0</v>
      </c>
      <c r="F31" s="45" t="s">
        <v>62</v>
      </c>
      <c r="I31" s="56">
        <v>180</v>
      </c>
      <c r="J31" s="351">
        <v>9.9999999999999995E-7</v>
      </c>
      <c r="K31" s="351">
        <v>9.9999999999999995E-7</v>
      </c>
      <c r="L31" s="351">
        <v>9.9999999999999995E-7</v>
      </c>
      <c r="M31" s="220">
        <f>0.5*(MAX(J31:L31)-MIN(J31:L31))</f>
        <v>0</v>
      </c>
      <c r="N31" s="45" t="s">
        <v>62</v>
      </c>
      <c r="Q31" s="56">
        <v>180</v>
      </c>
      <c r="R31" s="66">
        <v>0</v>
      </c>
      <c r="S31" s="66">
        <v>0</v>
      </c>
      <c r="T31" s="66">
        <v>0</v>
      </c>
      <c r="U31" s="220">
        <f>0.5*(MAX(R31:T31)-MIN(R31:T31))</f>
        <v>0</v>
      </c>
      <c r="V31" s="45" t="s">
        <v>62</v>
      </c>
    </row>
    <row r="33" spans="1:23" ht="15.75" customHeight="1"/>
    <row r="34" spans="1:23" ht="35">
      <c r="A34" s="1418" t="s">
        <v>182</v>
      </c>
      <c r="B34" s="1418"/>
      <c r="C34" s="1418"/>
      <c r="D34" s="1418"/>
      <c r="E34" s="1418"/>
      <c r="F34" s="1418"/>
      <c r="I34" s="1418" t="s">
        <v>183</v>
      </c>
      <c r="J34" s="1418"/>
      <c r="K34" s="1418"/>
      <c r="L34" s="1418"/>
      <c r="M34" s="1418"/>
      <c r="N34" s="1418"/>
      <c r="Q34" s="1418" t="s">
        <v>184</v>
      </c>
      <c r="R34" s="1418"/>
      <c r="S34" s="1418"/>
      <c r="T34" s="1418"/>
      <c r="U34" s="1418"/>
      <c r="V34" s="1418"/>
    </row>
    <row r="35" spans="1:23" ht="14">
      <c r="A35" s="1414" t="s">
        <v>175</v>
      </c>
      <c r="B35" s="1414"/>
      <c r="C35" s="1414"/>
      <c r="D35" s="1414"/>
      <c r="E35" s="649" t="s">
        <v>74</v>
      </c>
      <c r="F35" s="650" t="s">
        <v>176</v>
      </c>
      <c r="I35" s="1414" t="s">
        <v>175</v>
      </c>
      <c r="J35" s="1414"/>
      <c r="K35" s="1414"/>
      <c r="L35" s="1414"/>
      <c r="M35" s="1415" t="s">
        <v>74</v>
      </c>
      <c r="N35" s="1417" t="s">
        <v>176</v>
      </c>
      <c r="Q35" s="1414" t="s">
        <v>175</v>
      </c>
      <c r="R35" s="1414"/>
      <c r="S35" s="1414"/>
      <c r="T35" s="1414"/>
      <c r="U35" s="1415" t="s">
        <v>74</v>
      </c>
      <c r="V35" s="1417" t="s">
        <v>176</v>
      </c>
    </row>
    <row r="36" spans="1:23" ht="13">
      <c r="A36" s="649" t="s">
        <v>177</v>
      </c>
      <c r="B36" s="1415" t="s">
        <v>75</v>
      </c>
      <c r="C36" s="1415"/>
      <c r="D36" s="1415"/>
      <c r="E36" s="649"/>
      <c r="F36" s="650"/>
      <c r="I36" s="649" t="s">
        <v>177</v>
      </c>
      <c r="J36" s="1415" t="s">
        <v>75</v>
      </c>
      <c r="K36" s="1415"/>
      <c r="L36" s="1415"/>
      <c r="M36" s="1415"/>
      <c r="N36" s="1417"/>
      <c r="Q36" s="649" t="s">
        <v>177</v>
      </c>
      <c r="R36" s="1415" t="s">
        <v>75</v>
      </c>
      <c r="S36" s="1415"/>
      <c r="T36" s="1415"/>
      <c r="U36" s="1415"/>
      <c r="V36" s="1417"/>
    </row>
    <row r="37" spans="1:23" ht="14">
      <c r="A37" s="647" t="s">
        <v>111</v>
      </c>
      <c r="B37" s="649">
        <v>2014</v>
      </c>
      <c r="C37" s="649">
        <v>2014</v>
      </c>
      <c r="D37" s="649">
        <v>2017</v>
      </c>
      <c r="E37" s="649"/>
      <c r="F37" s="650"/>
      <c r="I37" s="647" t="s">
        <v>111</v>
      </c>
      <c r="J37" s="649">
        <v>2016</v>
      </c>
      <c r="K37" s="649">
        <v>2016</v>
      </c>
      <c r="L37" s="649">
        <v>2017</v>
      </c>
      <c r="M37" s="1415"/>
      <c r="N37" s="1417"/>
      <c r="Q37" s="647" t="s">
        <v>111</v>
      </c>
      <c r="R37" s="649">
        <v>2015</v>
      </c>
      <c r="S37" s="649">
        <v>2015</v>
      </c>
      <c r="T37" s="649">
        <v>2017</v>
      </c>
      <c r="U37" s="1415"/>
      <c r="V37" s="1417"/>
    </row>
    <row r="38" spans="1:23">
      <c r="A38" s="343">
        <v>0.5</v>
      </c>
      <c r="B38" s="319">
        <v>9.9999999999999995E-7</v>
      </c>
      <c r="C38" s="319">
        <v>9.9999999999999995E-7</v>
      </c>
      <c r="D38" s="319">
        <v>9.9999999999999995E-7</v>
      </c>
      <c r="E38" s="342">
        <f>0.5*(MAX(B38:D38)-MIN(B38:D38))</f>
        <v>0</v>
      </c>
      <c r="F38" s="331">
        <v>5.4999999999999997E-3</v>
      </c>
      <c r="I38" s="343">
        <v>0.5</v>
      </c>
      <c r="J38" s="351">
        <v>9.9999999999999995E-7</v>
      </c>
      <c r="K38" s="351">
        <v>9.9999999999999995E-7</v>
      </c>
      <c r="L38" s="351">
        <v>9.9999999999999995E-7</v>
      </c>
      <c r="M38" s="342">
        <f>0.5*(MAX(J38:L38)-MIN(J38:L38))</f>
        <v>0</v>
      </c>
      <c r="N38" s="331">
        <v>5.4999999999999997E-3</v>
      </c>
      <c r="Q38" s="343">
        <v>0.5</v>
      </c>
      <c r="R38" s="319" t="s">
        <v>62</v>
      </c>
      <c r="S38" s="319" t="s">
        <v>62</v>
      </c>
      <c r="T38" s="344">
        <v>0</v>
      </c>
      <c r="U38" s="342">
        <f>0.5*(MAX(R38:T38)-MIN(R38:T38))</f>
        <v>0</v>
      </c>
      <c r="V38" s="331">
        <v>5.4999999999999997E-3</v>
      </c>
    </row>
    <row r="39" spans="1:23">
      <c r="A39" s="343">
        <v>1</v>
      </c>
      <c r="B39" s="319">
        <v>9.9999999999999995E-7</v>
      </c>
      <c r="C39" s="319">
        <v>9.9999999999999995E-7</v>
      </c>
      <c r="D39" s="319">
        <v>9.9999999999999995E-7</v>
      </c>
      <c r="E39" s="342">
        <f>0.5*(MAX(B39:D39)-MIN(B39:D39))</f>
        <v>0</v>
      </c>
      <c r="F39" s="331" t="s">
        <v>178</v>
      </c>
      <c r="I39" s="343">
        <v>1</v>
      </c>
      <c r="J39" s="351">
        <v>9.9999999999999995E-7</v>
      </c>
      <c r="K39" s="351">
        <v>9.9999999999999995E-7</v>
      </c>
      <c r="L39" s="351">
        <v>9.9999999999999995E-7</v>
      </c>
      <c r="M39" s="342">
        <f>0.5*(MAX(J39:L39)-MIN(J39:L39))</f>
        <v>0</v>
      </c>
      <c r="N39" s="331" t="s">
        <v>178</v>
      </c>
      <c r="Q39" s="343">
        <v>1</v>
      </c>
      <c r="R39" s="319" t="s">
        <v>62</v>
      </c>
      <c r="S39" s="319" t="s">
        <v>62</v>
      </c>
      <c r="T39" s="344">
        <v>0</v>
      </c>
      <c r="U39" s="342">
        <f>0.5*(MAX(R39:T39)-MIN(R39:T39))</f>
        <v>0</v>
      </c>
      <c r="V39" s="331" t="s">
        <v>178</v>
      </c>
    </row>
    <row r="40" spans="1:23">
      <c r="A40" s="343">
        <v>2</v>
      </c>
      <c r="B40" s="323">
        <v>-0.01</v>
      </c>
      <c r="C40" s="323">
        <v>-0.01</v>
      </c>
      <c r="D40" s="319">
        <v>9.9999999999999995E-7</v>
      </c>
      <c r="E40" s="342">
        <f>0.5*(MAX(B40:D40)-MIN(B40:D40))</f>
        <v>5.0004999999999997E-3</v>
      </c>
      <c r="F40" s="331" t="s">
        <v>179</v>
      </c>
      <c r="I40" s="343">
        <v>2</v>
      </c>
      <c r="J40" s="324">
        <v>-1.7000000000000001E-4</v>
      </c>
      <c r="K40" s="324">
        <v>-1.7000000000000001E-4</v>
      </c>
      <c r="L40" s="351">
        <v>9.9999999999999995E-7</v>
      </c>
      <c r="M40" s="342">
        <f>0.5*(MAX(J40:L40)-MIN(J40:L40))</f>
        <v>8.5500000000000005E-5</v>
      </c>
      <c r="N40" s="331" t="s">
        <v>179</v>
      </c>
      <c r="Q40" s="343">
        <v>2</v>
      </c>
      <c r="R40" s="319" t="s">
        <v>62</v>
      </c>
      <c r="S40" s="319" t="s">
        <v>62</v>
      </c>
      <c r="T40" s="344">
        <v>0</v>
      </c>
      <c r="U40" s="342">
        <f>0.5*(MAX(R40:T40)-MIN(R40:T40))</f>
        <v>0</v>
      </c>
      <c r="V40" s="331" t="s">
        <v>179</v>
      </c>
    </row>
    <row r="41" spans="1:23">
      <c r="A41" s="343">
        <v>3</v>
      </c>
      <c r="B41" s="323">
        <v>-0.01</v>
      </c>
      <c r="C41" s="323">
        <v>-0.01</v>
      </c>
      <c r="D41" s="319">
        <v>9.9999999999999995E-7</v>
      </c>
      <c r="E41" s="342">
        <f>0.5*(MAX(B41:D41)-MIN(B41:D41))</f>
        <v>5.0004999999999997E-3</v>
      </c>
      <c r="F41" s="331"/>
      <c r="I41" s="343">
        <v>3</v>
      </c>
      <c r="J41" s="324">
        <v>-3.3E-4</v>
      </c>
      <c r="K41" s="324">
        <v>-3.3E-4</v>
      </c>
      <c r="L41" s="351">
        <v>9.9999999999999995E-7</v>
      </c>
      <c r="M41" s="342">
        <f>0.5*(MAX(J41:L41)-MIN(J41:L41))</f>
        <v>1.6550000000000001E-4</v>
      </c>
      <c r="N41" s="331"/>
      <c r="Q41" s="343">
        <v>3</v>
      </c>
      <c r="R41" s="319" t="s">
        <v>62</v>
      </c>
      <c r="S41" s="319" t="s">
        <v>62</v>
      </c>
      <c r="T41" s="344">
        <v>0</v>
      </c>
      <c r="U41" s="342">
        <f>0.5*(MAX(R41:T41)-MIN(R41:T41))</f>
        <v>0</v>
      </c>
      <c r="V41" s="331"/>
    </row>
    <row r="42" spans="1:23" ht="26">
      <c r="A42" s="330" t="s">
        <v>287</v>
      </c>
      <c r="B42" s="649" t="s">
        <v>75</v>
      </c>
      <c r="C42" s="649" t="s">
        <v>75</v>
      </c>
      <c r="D42" s="649"/>
      <c r="E42" s="341" t="s">
        <v>74</v>
      </c>
      <c r="F42" s="345" t="s">
        <v>176</v>
      </c>
      <c r="I42" s="330" t="s">
        <v>287</v>
      </c>
      <c r="J42" s="341" t="s">
        <v>75</v>
      </c>
      <c r="K42" s="341" t="s">
        <v>75</v>
      </c>
      <c r="L42" s="341"/>
      <c r="M42" s="341" t="s">
        <v>74</v>
      </c>
      <c r="N42" s="345" t="s">
        <v>176</v>
      </c>
      <c r="Q42" s="330" t="s">
        <v>287</v>
      </c>
      <c r="R42" s="341" t="s">
        <v>75</v>
      </c>
      <c r="S42" s="341" t="s">
        <v>75</v>
      </c>
      <c r="T42" s="341"/>
      <c r="U42" s="341" t="s">
        <v>74</v>
      </c>
      <c r="V42" s="345" t="s">
        <v>176</v>
      </c>
    </row>
    <row r="43" spans="1:23" ht="13">
      <c r="A43" s="346" t="s">
        <v>288</v>
      </c>
      <c r="B43" s="649">
        <f>B37</f>
        <v>2014</v>
      </c>
      <c r="C43" s="649">
        <f>C37</f>
        <v>2014</v>
      </c>
      <c r="D43" s="649">
        <f>D37</f>
        <v>2017</v>
      </c>
      <c r="E43" s="342"/>
      <c r="F43" s="345"/>
      <c r="I43" s="346" t="s">
        <v>288</v>
      </c>
      <c r="J43" s="649">
        <f>J37</f>
        <v>2016</v>
      </c>
      <c r="K43" s="649">
        <f>K37</f>
        <v>2016</v>
      </c>
      <c r="L43" s="649">
        <f>L37</f>
        <v>2017</v>
      </c>
      <c r="M43" s="342"/>
      <c r="N43" s="345"/>
      <c r="Q43" s="346" t="s">
        <v>288</v>
      </c>
      <c r="R43" s="649">
        <f>R37</f>
        <v>2015</v>
      </c>
      <c r="S43" s="649">
        <f>S37</f>
        <v>2015</v>
      </c>
      <c r="T43" s="649">
        <f>T37</f>
        <v>2017</v>
      </c>
      <c r="U43" s="342"/>
      <c r="V43" s="345"/>
    </row>
    <row r="44" spans="1:23">
      <c r="A44" s="343">
        <v>0.5</v>
      </c>
      <c r="B44" s="319">
        <v>9.9999999999999995E-7</v>
      </c>
      <c r="C44" s="319">
        <v>9.9999999999999995E-7</v>
      </c>
      <c r="D44" s="319">
        <v>9.9999999999999995E-7</v>
      </c>
      <c r="E44" s="342">
        <f>0.5*(MAX(B44:D44)-MIN(B44:D44))</f>
        <v>0</v>
      </c>
      <c r="F44" s="348">
        <v>1E-4</v>
      </c>
      <c r="I44" s="343">
        <v>0.5</v>
      </c>
      <c r="J44" s="323" t="s">
        <v>62</v>
      </c>
      <c r="K44" s="323" t="s">
        <v>62</v>
      </c>
      <c r="L44" s="351">
        <v>9.9999999999999995E-7</v>
      </c>
      <c r="M44" s="342">
        <f>0.5*(MAX(J44:L44)-MIN(J44:L44))</f>
        <v>0</v>
      </c>
      <c r="N44" s="348">
        <v>1E-4</v>
      </c>
      <c r="Q44" s="343">
        <v>0.5</v>
      </c>
      <c r="R44" s="323" t="s">
        <v>62</v>
      </c>
      <c r="S44" s="323" t="s">
        <v>62</v>
      </c>
      <c r="T44" s="323">
        <v>0</v>
      </c>
      <c r="U44" s="342">
        <f>0.5*(MAX(R44:T44)-MIN(R44:T44))</f>
        <v>0</v>
      </c>
      <c r="V44" s="348">
        <v>1E-4</v>
      </c>
      <c r="W44" s="320" t="s">
        <v>295</v>
      </c>
    </row>
    <row r="45" spans="1:23">
      <c r="A45" s="343">
        <v>1</v>
      </c>
      <c r="B45" s="319">
        <v>9.9999999999999995E-7</v>
      </c>
      <c r="C45" s="319">
        <v>9.9999999999999995E-7</v>
      </c>
      <c r="D45" s="319">
        <v>9.9999999999999995E-7</v>
      </c>
      <c r="E45" s="342">
        <f>0.5*(MAX(B45:D45)-MIN(B45:D45))</f>
        <v>0</v>
      </c>
      <c r="F45" s="348">
        <v>1E-4</v>
      </c>
      <c r="I45" s="343">
        <v>1</v>
      </c>
      <c r="J45" s="323" t="s">
        <v>62</v>
      </c>
      <c r="K45" s="323" t="s">
        <v>62</v>
      </c>
      <c r="L45" s="351">
        <v>9.9999999999999995E-7</v>
      </c>
      <c r="M45" s="342">
        <f>0.5*(MAX(J45:L45)-MIN(J45:L45))</f>
        <v>0</v>
      </c>
      <c r="N45" s="348">
        <v>1E-4</v>
      </c>
      <c r="Q45" s="343">
        <v>1</v>
      </c>
      <c r="R45" s="323" t="s">
        <v>62</v>
      </c>
      <c r="S45" s="323" t="s">
        <v>62</v>
      </c>
      <c r="T45" s="323">
        <v>0</v>
      </c>
      <c r="U45" s="342">
        <f>0.5*(MAX(R45:T45)-MIN(R45:T45))</f>
        <v>0</v>
      </c>
      <c r="V45" s="348">
        <v>1E-4</v>
      </c>
      <c r="W45" s="320" t="s">
        <v>295</v>
      </c>
    </row>
    <row r="46" spans="1:23">
      <c r="A46" s="343">
        <v>2</v>
      </c>
      <c r="B46" s="319">
        <v>9.9999999999999995E-7</v>
      </c>
      <c r="C46" s="319">
        <v>9.9999999999999995E-7</v>
      </c>
      <c r="D46" s="319">
        <v>9.9999999999999995E-7</v>
      </c>
      <c r="E46" s="342">
        <f>0.5*(MAX(B46:D46)-MIN(B46:D46))</f>
        <v>0</v>
      </c>
      <c r="F46" s="348">
        <v>1E-4</v>
      </c>
      <c r="I46" s="343">
        <v>2</v>
      </c>
      <c r="J46" s="323" t="s">
        <v>62</v>
      </c>
      <c r="K46" s="323" t="s">
        <v>62</v>
      </c>
      <c r="L46" s="351">
        <v>9.9999999999999995E-7</v>
      </c>
      <c r="M46" s="342">
        <f>0.5*(MAX(J46:L46)-MIN(J46:L46))</f>
        <v>0</v>
      </c>
      <c r="N46" s="348">
        <v>1E-4</v>
      </c>
      <c r="Q46" s="343">
        <v>2</v>
      </c>
      <c r="R46" s="323" t="s">
        <v>62</v>
      </c>
      <c r="S46" s="323" t="s">
        <v>62</v>
      </c>
      <c r="T46" s="323">
        <v>0</v>
      </c>
      <c r="U46" s="342">
        <f>0.5*(MAX(R46:T46)-MIN(R46:T46))</f>
        <v>0</v>
      </c>
      <c r="V46" s="348">
        <v>1E-4</v>
      </c>
      <c r="W46" s="320" t="s">
        <v>295</v>
      </c>
    </row>
    <row r="47" spans="1:23" ht="26">
      <c r="A47" s="330" t="s">
        <v>291</v>
      </c>
      <c r="B47" s="649" t="s">
        <v>75</v>
      </c>
      <c r="C47" s="649" t="s">
        <v>75</v>
      </c>
      <c r="D47" s="649"/>
      <c r="E47" s="341" t="s">
        <v>74</v>
      </c>
      <c r="F47" s="345" t="s">
        <v>176</v>
      </c>
      <c r="I47" s="330" t="s">
        <v>291</v>
      </c>
      <c r="J47" s="341" t="s">
        <v>75</v>
      </c>
      <c r="K47" s="341" t="s">
        <v>75</v>
      </c>
      <c r="L47" s="341"/>
      <c r="M47" s="341" t="s">
        <v>74</v>
      </c>
      <c r="N47" s="345" t="s">
        <v>176</v>
      </c>
      <c r="Q47" s="330" t="s">
        <v>291</v>
      </c>
      <c r="R47" s="341" t="s">
        <v>75</v>
      </c>
      <c r="S47" s="341" t="s">
        <v>75</v>
      </c>
      <c r="T47" s="341"/>
      <c r="U47" s="341" t="s">
        <v>74</v>
      </c>
      <c r="V47" s="345" t="s">
        <v>176</v>
      </c>
    </row>
    <row r="48" spans="1:23" ht="13">
      <c r="A48" s="330" t="s">
        <v>292</v>
      </c>
      <c r="B48" s="649">
        <f>B43</f>
        <v>2014</v>
      </c>
      <c r="C48" s="649">
        <f>C43</f>
        <v>2014</v>
      </c>
      <c r="D48" s="649">
        <f>D43</f>
        <v>2017</v>
      </c>
      <c r="E48" s="342"/>
      <c r="F48" s="345"/>
      <c r="I48" s="330" t="s">
        <v>292</v>
      </c>
      <c r="J48" s="649">
        <f>J43</f>
        <v>2016</v>
      </c>
      <c r="K48" s="649">
        <f>K43</f>
        <v>2016</v>
      </c>
      <c r="L48" s="649">
        <f>L43</f>
        <v>2017</v>
      </c>
      <c r="M48" s="342"/>
      <c r="N48" s="345"/>
      <c r="Q48" s="330" t="s">
        <v>292</v>
      </c>
      <c r="R48" s="649">
        <f>R43</f>
        <v>2015</v>
      </c>
      <c r="S48" s="649">
        <f>S43</f>
        <v>2015</v>
      </c>
      <c r="T48" s="649">
        <f>T43</f>
        <v>2017</v>
      </c>
      <c r="U48" s="342"/>
      <c r="V48" s="345"/>
    </row>
    <row r="49" spans="1:23">
      <c r="A49" s="343">
        <v>0.125</v>
      </c>
      <c r="B49" s="323" t="s">
        <v>62</v>
      </c>
      <c r="C49" s="323" t="s">
        <v>62</v>
      </c>
      <c r="D49" s="319">
        <v>9.9999999999999995E-7</v>
      </c>
      <c r="E49" s="342">
        <f>0.5*(MAX(B49:D49)-MIN(B49:D49))</f>
        <v>0</v>
      </c>
      <c r="F49" s="348">
        <v>2.5999999999999998E-5</v>
      </c>
      <c r="G49" s="320" t="s">
        <v>293</v>
      </c>
      <c r="I49" s="343">
        <v>0.125</v>
      </c>
      <c r="J49" s="323" t="s">
        <v>62</v>
      </c>
      <c r="K49" s="323" t="s">
        <v>62</v>
      </c>
      <c r="L49" s="351">
        <v>9.9999999999999995E-7</v>
      </c>
      <c r="M49" s="342">
        <f>0.5*(MAX(J49:L49)-MIN(J49:L49))</f>
        <v>0</v>
      </c>
      <c r="N49" s="348">
        <v>2.5999999999999998E-5</v>
      </c>
      <c r="O49" s="320" t="s">
        <v>293</v>
      </c>
      <c r="Q49" s="343">
        <v>0.125</v>
      </c>
      <c r="R49" s="323" t="s">
        <v>62</v>
      </c>
      <c r="S49" s="323" t="s">
        <v>62</v>
      </c>
      <c r="T49" s="323">
        <v>0</v>
      </c>
      <c r="U49" s="342">
        <f>0.5*(MAX(R49:T49)-MIN(R49:T49))</f>
        <v>0</v>
      </c>
      <c r="V49" s="348">
        <v>2.5999999999999998E-5</v>
      </c>
      <c r="W49" s="320" t="s">
        <v>295</v>
      </c>
    </row>
    <row r="50" spans="1:23">
      <c r="A50" s="343">
        <v>2</v>
      </c>
      <c r="B50" s="319">
        <v>9.9999999999999995E-7</v>
      </c>
      <c r="C50" s="319">
        <v>9.9999999999999995E-7</v>
      </c>
      <c r="D50" s="319">
        <v>9.9999999999999995E-7</v>
      </c>
      <c r="E50" s="342">
        <f>0.5*(MAX(B50:D50)-MIN(B50:D50))</f>
        <v>0</v>
      </c>
      <c r="F50" s="348">
        <v>2.5999999999999998E-5</v>
      </c>
      <c r="G50" s="320" t="s">
        <v>293</v>
      </c>
      <c r="I50" s="343">
        <v>2</v>
      </c>
      <c r="J50" s="323" t="s">
        <v>62</v>
      </c>
      <c r="K50" s="323" t="s">
        <v>62</v>
      </c>
      <c r="L50" s="351">
        <v>9.9999999999999995E-7</v>
      </c>
      <c r="M50" s="342">
        <f>0.5*(MAX(J50:L50)-MIN(J50:L50))</f>
        <v>0</v>
      </c>
      <c r="N50" s="348">
        <v>2.5999999999999998E-5</v>
      </c>
      <c r="O50" s="320" t="s">
        <v>293</v>
      </c>
      <c r="Q50" s="343">
        <v>2</v>
      </c>
      <c r="R50" s="323" t="s">
        <v>62</v>
      </c>
      <c r="S50" s="323" t="s">
        <v>62</v>
      </c>
      <c r="T50" s="323">
        <v>0</v>
      </c>
      <c r="U50" s="342">
        <f>0.5*(MAX(R50:T50)-MIN(R50:T50))</f>
        <v>0</v>
      </c>
      <c r="V50" s="348">
        <v>2.5999999999999998E-5</v>
      </c>
      <c r="W50" s="320" t="s">
        <v>295</v>
      </c>
    </row>
    <row r="51" spans="1:23" ht="26">
      <c r="A51" s="330" t="s">
        <v>294</v>
      </c>
      <c r="B51" s="649" t="s">
        <v>75</v>
      </c>
      <c r="C51" s="649" t="s">
        <v>75</v>
      </c>
      <c r="D51" s="649"/>
      <c r="E51" s="341" t="s">
        <v>74</v>
      </c>
      <c r="F51" s="345" t="s">
        <v>176</v>
      </c>
      <c r="I51" s="330" t="s">
        <v>294</v>
      </c>
      <c r="J51" s="341" t="s">
        <v>75</v>
      </c>
      <c r="K51" s="341" t="s">
        <v>75</v>
      </c>
      <c r="L51" s="341"/>
      <c r="M51" s="341" t="s">
        <v>74</v>
      </c>
      <c r="N51" s="345" t="s">
        <v>176</v>
      </c>
      <c r="Q51" s="330" t="s">
        <v>294</v>
      </c>
      <c r="R51" s="341" t="s">
        <v>75</v>
      </c>
      <c r="S51" s="341" t="s">
        <v>75</v>
      </c>
      <c r="T51" s="341"/>
      <c r="U51" s="341" t="s">
        <v>74</v>
      </c>
      <c r="V51" s="345" t="s">
        <v>176</v>
      </c>
    </row>
    <row r="52" spans="1:23" ht="13">
      <c r="A52" s="330" t="s">
        <v>292</v>
      </c>
      <c r="B52" s="649">
        <f>B48</f>
        <v>2014</v>
      </c>
      <c r="C52" s="649">
        <f>C48</f>
        <v>2014</v>
      </c>
      <c r="D52" s="649">
        <f>D48</f>
        <v>2017</v>
      </c>
      <c r="E52" s="342"/>
      <c r="F52" s="345"/>
      <c r="I52" s="330" t="s">
        <v>292</v>
      </c>
      <c r="J52" s="649">
        <f>J48</f>
        <v>2016</v>
      </c>
      <c r="K52" s="649">
        <f>K48</f>
        <v>2016</v>
      </c>
      <c r="L52" s="649">
        <f>L48</f>
        <v>2017</v>
      </c>
      <c r="M52" s="342"/>
      <c r="N52" s="345"/>
      <c r="Q52" s="330" t="s">
        <v>292</v>
      </c>
      <c r="R52" s="649">
        <f>R48</f>
        <v>2015</v>
      </c>
      <c r="S52" s="649">
        <f>S48</f>
        <v>2015</v>
      </c>
      <c r="T52" s="649">
        <f>T48</f>
        <v>2017</v>
      </c>
      <c r="U52" s="342"/>
      <c r="V52" s="345"/>
    </row>
    <row r="53" spans="1:23">
      <c r="A53" s="343">
        <v>10</v>
      </c>
      <c r="B53" s="319">
        <v>9.9999999999999995E-7</v>
      </c>
      <c r="C53" s="319">
        <v>9.9999999999999995E-7</v>
      </c>
      <c r="D53" s="319">
        <v>9.9999999999999995E-7</v>
      </c>
      <c r="E53" s="342">
        <f>0.5*(MAX(B53:D53)-MIN(B53:D53))</f>
        <v>0</v>
      </c>
      <c r="F53" s="348">
        <v>2.5999999999999998E-5</v>
      </c>
      <c r="G53" s="320" t="s">
        <v>293</v>
      </c>
      <c r="I53" s="343">
        <v>10</v>
      </c>
      <c r="J53" s="323" t="s">
        <v>62</v>
      </c>
      <c r="K53" s="323" t="s">
        <v>62</v>
      </c>
      <c r="L53" s="351">
        <v>9.9999999999999995E-7</v>
      </c>
      <c r="M53" s="342">
        <f>0.5*(MAX(J53:L53)-MIN(J53:L53))</f>
        <v>0</v>
      </c>
      <c r="N53" s="348">
        <v>2.5999999999999998E-5</v>
      </c>
      <c r="O53" s="320" t="s">
        <v>293</v>
      </c>
      <c r="Q53" s="343">
        <v>10</v>
      </c>
      <c r="R53" s="323" t="s">
        <v>62</v>
      </c>
      <c r="S53" s="323" t="s">
        <v>62</v>
      </c>
      <c r="T53" s="323">
        <v>0</v>
      </c>
      <c r="U53" s="342">
        <f>0.5*(MAX(R53:T53)-MIN(R53:T53))</f>
        <v>0</v>
      </c>
      <c r="V53" s="348">
        <v>2.5999999999999998E-5</v>
      </c>
      <c r="W53" s="320" t="s">
        <v>295</v>
      </c>
    </row>
    <row r="54" spans="1:23" ht="13">
      <c r="A54" s="646" t="s">
        <v>180</v>
      </c>
      <c r="B54" s="646" t="s">
        <v>75</v>
      </c>
      <c r="C54" s="646" t="s">
        <v>75</v>
      </c>
      <c r="D54" s="646"/>
      <c r="E54" s="646" t="s">
        <v>74</v>
      </c>
      <c r="F54" s="648" t="s">
        <v>176</v>
      </c>
      <c r="I54" s="646" t="s">
        <v>180</v>
      </c>
      <c r="J54" s="646" t="s">
        <v>75</v>
      </c>
      <c r="K54" s="646" t="s">
        <v>75</v>
      </c>
      <c r="L54" s="646"/>
      <c r="M54" s="1403" t="s">
        <v>74</v>
      </c>
      <c r="N54" s="1422" t="s">
        <v>176</v>
      </c>
      <c r="Q54" s="646" t="s">
        <v>180</v>
      </c>
      <c r="R54" s="646" t="s">
        <v>75</v>
      </c>
      <c r="S54" s="646" t="s">
        <v>75</v>
      </c>
      <c r="T54" s="646"/>
      <c r="U54" s="1403" t="s">
        <v>74</v>
      </c>
      <c r="V54" s="1422" t="s">
        <v>176</v>
      </c>
    </row>
    <row r="55" spans="1:23" ht="14">
      <c r="A55" s="647" t="s">
        <v>338</v>
      </c>
      <c r="B55" s="646">
        <f>B52</f>
        <v>2014</v>
      </c>
      <c r="C55" s="646">
        <f>C52</f>
        <v>2014</v>
      </c>
      <c r="D55" s="646">
        <f>D52</f>
        <v>2017</v>
      </c>
      <c r="E55" s="646"/>
      <c r="F55" s="648"/>
      <c r="I55" s="647" t="s">
        <v>338</v>
      </c>
      <c r="J55" s="646">
        <f>J52</f>
        <v>2016</v>
      </c>
      <c r="K55" s="646">
        <f>K52</f>
        <v>2016</v>
      </c>
      <c r="L55" s="646">
        <f>L52</f>
        <v>2017</v>
      </c>
      <c r="M55" s="1403"/>
      <c r="N55" s="1422"/>
      <c r="Q55" s="647" t="s">
        <v>338</v>
      </c>
      <c r="R55" s="646">
        <f>R52</f>
        <v>2015</v>
      </c>
      <c r="S55" s="646">
        <f>S52</f>
        <v>2015</v>
      </c>
      <c r="T55" s="646">
        <f>T52</f>
        <v>2017</v>
      </c>
      <c r="U55" s="1403"/>
      <c r="V55" s="1422"/>
    </row>
    <row r="56" spans="1:23">
      <c r="A56" s="349">
        <v>15</v>
      </c>
      <c r="B56" s="319">
        <v>9.9999999999999995E-7</v>
      </c>
      <c r="C56" s="319">
        <v>9.9999999999999995E-7</v>
      </c>
      <c r="D56" s="319">
        <v>9.9999999999999995E-7</v>
      </c>
      <c r="E56" s="220">
        <f>0.5*(MAX(B56:D56)-MIN(B56:D56))</f>
        <v>0</v>
      </c>
      <c r="F56" s="350"/>
      <c r="I56" s="349">
        <v>15</v>
      </c>
      <c r="J56" s="351">
        <v>9.9999999999999995E-7</v>
      </c>
      <c r="K56" s="351">
        <v>9.9999999999999995E-7</v>
      </c>
      <c r="L56" s="351">
        <v>9.9999999999999995E-7</v>
      </c>
      <c r="M56" s="220">
        <f>0.5*(MAX(J56:L56)-MIN(J56:L56))</f>
        <v>0</v>
      </c>
      <c r="N56" s="350"/>
      <c r="Q56" s="349">
        <v>15</v>
      </c>
      <c r="R56" s="66">
        <v>0</v>
      </c>
      <c r="S56" s="66">
        <v>0</v>
      </c>
      <c r="T56" s="66">
        <v>0</v>
      </c>
      <c r="U56" s="220">
        <f>0.5*(MAX(R56:T56)-MIN(R56:T56))</f>
        <v>0</v>
      </c>
      <c r="V56" s="350"/>
    </row>
    <row r="57" spans="1:23">
      <c r="A57" s="56">
        <v>30</v>
      </c>
      <c r="B57" s="319">
        <v>9.9999999999999995E-7</v>
      </c>
      <c r="C57" s="319">
        <v>9.9999999999999995E-7</v>
      </c>
      <c r="D57" s="319">
        <v>9.9999999999999995E-7</v>
      </c>
      <c r="E57" s="220">
        <f>0.5*(MAX(B57:D57)-MIN(B57:D57))</f>
        <v>0</v>
      </c>
      <c r="F57" s="45">
        <v>1.1999999999999999E-3</v>
      </c>
      <c r="I57" s="56">
        <v>30</v>
      </c>
      <c r="J57" s="351">
        <v>9.9999999999999995E-7</v>
      </c>
      <c r="K57" s="351">
        <v>9.9999999999999995E-7</v>
      </c>
      <c r="L57" s="351">
        <v>9.9999999999999995E-7</v>
      </c>
      <c r="M57" s="220">
        <f>0.5*(MAX(J57:L57)-MIN(J57:L57))</f>
        <v>0</v>
      </c>
      <c r="N57" s="45">
        <v>1.1999999999999999E-3</v>
      </c>
      <c r="Q57" s="56">
        <v>30</v>
      </c>
      <c r="R57" s="66">
        <v>0</v>
      </c>
      <c r="S57" s="66">
        <v>0</v>
      </c>
      <c r="T57" s="66">
        <v>0</v>
      </c>
      <c r="U57" s="220">
        <f>0.5*(MAX(R57:T57)-MIN(R57:T57))</f>
        <v>0</v>
      </c>
      <c r="V57" s="45">
        <v>1.1999999999999999E-3</v>
      </c>
    </row>
    <row r="58" spans="1:23">
      <c r="A58" s="56">
        <v>60</v>
      </c>
      <c r="B58" s="319">
        <v>9.9999999999999995E-7</v>
      </c>
      <c r="C58" s="319">
        <v>9.9999999999999995E-7</v>
      </c>
      <c r="D58" s="319">
        <v>9.9999999999999995E-7</v>
      </c>
      <c r="E58" s="220">
        <f>0.5*(MAX(B58:D58)-MIN(B58:D58))</f>
        <v>0</v>
      </c>
      <c r="F58" s="45" t="s">
        <v>178</v>
      </c>
      <c r="I58" s="56">
        <v>60</v>
      </c>
      <c r="J58" s="351">
        <v>9.9999999999999995E-7</v>
      </c>
      <c r="K58" s="351">
        <v>9.9999999999999995E-7</v>
      </c>
      <c r="L58" s="351">
        <v>9.9999999999999995E-7</v>
      </c>
      <c r="M58" s="220">
        <f>0.5*(MAX(J58:L58)-MIN(J58:L58))</f>
        <v>0</v>
      </c>
      <c r="N58" s="45" t="s">
        <v>178</v>
      </c>
      <c r="Q58" s="56">
        <v>60</v>
      </c>
      <c r="R58" s="66">
        <v>0</v>
      </c>
      <c r="S58" s="66">
        <v>0</v>
      </c>
      <c r="T58" s="66">
        <v>0</v>
      </c>
      <c r="U58" s="220">
        <f>0.5*(MAX(R58:T58)-MIN(R58:T58))</f>
        <v>0</v>
      </c>
      <c r="V58" s="45" t="s">
        <v>178</v>
      </c>
    </row>
    <row r="59" spans="1:23">
      <c r="A59" s="56">
        <v>120</v>
      </c>
      <c r="B59" s="319">
        <v>9.9999999999999995E-7</v>
      </c>
      <c r="C59" s="319">
        <v>9.9999999999999995E-7</v>
      </c>
      <c r="D59" s="319">
        <v>9.9999999999999995E-7</v>
      </c>
      <c r="E59" s="220">
        <f>0.5*(MAX(B59:D59)-MIN(B59:D59))</f>
        <v>0</v>
      </c>
      <c r="F59" s="45" t="s">
        <v>179</v>
      </c>
      <c r="I59" s="56">
        <v>120</v>
      </c>
      <c r="J59" s="351">
        <v>9.9999999999999995E-7</v>
      </c>
      <c r="K59" s="351">
        <v>9.9999999999999995E-7</v>
      </c>
      <c r="L59" s="351">
        <v>9.9999999999999995E-7</v>
      </c>
      <c r="M59" s="220">
        <f>0.5*(MAX(J59:L59)-MIN(J59:L59))</f>
        <v>0</v>
      </c>
      <c r="N59" s="45" t="s">
        <v>179</v>
      </c>
      <c r="Q59" s="56">
        <v>120</v>
      </c>
      <c r="R59" s="66">
        <v>0</v>
      </c>
      <c r="S59" s="66">
        <v>0</v>
      </c>
      <c r="T59" s="66">
        <v>0</v>
      </c>
      <c r="U59" s="220">
        <f>0.5*(MAX(R59:T59)-MIN(R59:T59))</f>
        <v>0</v>
      </c>
      <c r="V59" s="45" t="s">
        <v>179</v>
      </c>
    </row>
    <row r="60" spans="1:23">
      <c r="A60" s="56">
        <v>180</v>
      </c>
      <c r="B60" s="319">
        <v>9.9999999999999995E-7</v>
      </c>
      <c r="C60" s="319">
        <v>9.9999999999999995E-7</v>
      </c>
      <c r="D60" s="319">
        <v>9.9999999999999995E-7</v>
      </c>
      <c r="E60" s="220">
        <f>0.5*(MAX(B60:D60)-MIN(B60:D60))</f>
        <v>0</v>
      </c>
      <c r="F60" s="45" t="s">
        <v>62</v>
      </c>
      <c r="I60" s="56">
        <v>180</v>
      </c>
      <c r="J60" s="351">
        <v>9.9999999999999995E-7</v>
      </c>
      <c r="K60" s="351">
        <v>9.9999999999999995E-7</v>
      </c>
      <c r="L60" s="351">
        <v>9.9999999999999995E-7</v>
      </c>
      <c r="M60" s="220">
        <f>0.5*(MAX(J60:L60)-MIN(J60:L60))</f>
        <v>0</v>
      </c>
      <c r="N60" s="45" t="s">
        <v>62</v>
      </c>
      <c r="Q60" s="56">
        <v>180</v>
      </c>
      <c r="R60" s="66">
        <v>0</v>
      </c>
      <c r="S60" s="66">
        <v>0</v>
      </c>
      <c r="T60" s="66">
        <v>0</v>
      </c>
      <c r="U60" s="220">
        <f>0.5*(MAX(R60:T60)-MIN(R60:T60))</f>
        <v>0</v>
      </c>
      <c r="V60" s="45" t="s">
        <v>62</v>
      </c>
    </row>
    <row r="63" spans="1:23" ht="35">
      <c r="A63" s="317" t="s">
        <v>185</v>
      </c>
      <c r="I63" s="326" t="s">
        <v>296</v>
      </c>
      <c r="Q63" s="327" t="s">
        <v>297</v>
      </c>
    </row>
    <row r="64" spans="1:23" ht="14">
      <c r="A64" s="1414" t="s">
        <v>175</v>
      </c>
      <c r="B64" s="1414"/>
      <c r="C64" s="1414"/>
      <c r="D64" s="1414"/>
      <c r="E64" s="649" t="s">
        <v>74</v>
      </c>
      <c r="F64" s="650" t="s">
        <v>176</v>
      </c>
      <c r="I64" s="1414" t="s">
        <v>175</v>
      </c>
      <c r="J64" s="1414"/>
      <c r="K64" s="1414"/>
      <c r="L64" s="1414"/>
      <c r="M64" s="1415" t="s">
        <v>74</v>
      </c>
      <c r="N64" s="1417" t="s">
        <v>176</v>
      </c>
      <c r="Q64" s="1414" t="s">
        <v>175</v>
      </c>
      <c r="R64" s="1414"/>
      <c r="S64" s="1414"/>
      <c r="T64" s="1414"/>
      <c r="U64" s="1415" t="s">
        <v>74</v>
      </c>
      <c r="V64" s="1417" t="s">
        <v>176</v>
      </c>
    </row>
    <row r="65" spans="1:22" ht="13">
      <c r="A65" s="649" t="s">
        <v>177</v>
      </c>
      <c r="B65" s="1415" t="s">
        <v>75</v>
      </c>
      <c r="C65" s="1415"/>
      <c r="D65" s="1415"/>
      <c r="E65" s="649"/>
      <c r="F65" s="650"/>
      <c r="I65" s="649" t="s">
        <v>177</v>
      </c>
      <c r="J65" s="1415" t="s">
        <v>75</v>
      </c>
      <c r="K65" s="1415"/>
      <c r="L65" s="1415"/>
      <c r="M65" s="1415"/>
      <c r="N65" s="1417"/>
      <c r="Q65" s="649" t="s">
        <v>177</v>
      </c>
      <c r="R65" s="1415" t="s">
        <v>75</v>
      </c>
      <c r="S65" s="1415"/>
      <c r="T65" s="1415"/>
      <c r="U65" s="1415"/>
      <c r="V65" s="1417"/>
    </row>
    <row r="66" spans="1:22" ht="14">
      <c r="A66" s="647" t="s">
        <v>111</v>
      </c>
      <c r="B66" s="649">
        <v>2015</v>
      </c>
      <c r="C66" s="649">
        <v>2015</v>
      </c>
      <c r="D66" s="649">
        <v>2018</v>
      </c>
      <c r="E66" s="649"/>
      <c r="F66" s="650"/>
      <c r="I66" s="647" t="s">
        <v>111</v>
      </c>
      <c r="J66" s="649">
        <v>2015</v>
      </c>
      <c r="K66" s="649">
        <v>2015</v>
      </c>
      <c r="L66" s="649">
        <v>2017</v>
      </c>
      <c r="M66" s="1415"/>
      <c r="N66" s="1417"/>
      <c r="Q66" s="647" t="s">
        <v>111</v>
      </c>
      <c r="R66" s="649">
        <v>2018</v>
      </c>
      <c r="S66" s="649">
        <v>2018</v>
      </c>
      <c r="T66" s="649">
        <v>2019</v>
      </c>
      <c r="U66" s="1415"/>
      <c r="V66" s="1417"/>
    </row>
    <row r="67" spans="1:22">
      <c r="A67" s="343">
        <v>0.5</v>
      </c>
      <c r="B67" s="319" t="s">
        <v>62</v>
      </c>
      <c r="C67" s="319" t="s">
        <v>62</v>
      </c>
      <c r="D67" s="319">
        <v>9.9999999999999995E-7</v>
      </c>
      <c r="E67" s="342">
        <f>0.5*(MAX(B67:D67)-MIN(B67:D67))</f>
        <v>0</v>
      </c>
      <c r="F67" s="331">
        <v>1.1999999999999999E-3</v>
      </c>
      <c r="I67" s="343">
        <v>30</v>
      </c>
      <c r="J67" s="319" t="s">
        <v>62</v>
      </c>
      <c r="K67" s="319" t="s">
        <v>62</v>
      </c>
      <c r="L67" s="351">
        <v>9.9999999999999995E-7</v>
      </c>
      <c r="M67" s="342">
        <f>0.5*(MAX(J67:L67)-MIN(J67:L67))</f>
        <v>0</v>
      </c>
      <c r="N67" s="331">
        <v>5.4999999999999997E-3</v>
      </c>
      <c r="Q67" s="343">
        <v>0.5</v>
      </c>
      <c r="R67" s="319" t="s">
        <v>62</v>
      </c>
      <c r="S67" s="319" t="s">
        <v>62</v>
      </c>
      <c r="T67" s="351">
        <v>9.9999999999999995E-7</v>
      </c>
      <c r="U67" s="342">
        <f>0.5*(MAX(R67:T67)-MIN(R67:T67))</f>
        <v>0</v>
      </c>
      <c r="V67" s="331">
        <v>5.4999999999999997E-3</v>
      </c>
    </row>
    <row r="68" spans="1:22">
      <c r="A68" s="343">
        <v>1</v>
      </c>
      <c r="B68" s="319" t="s">
        <v>62</v>
      </c>
      <c r="C68" s="319" t="s">
        <v>62</v>
      </c>
      <c r="D68" s="319">
        <v>9.9999999999999995E-7</v>
      </c>
      <c r="E68" s="342">
        <f>0.5*(MAX(B68:D68)-MIN(B68:D68))</f>
        <v>0</v>
      </c>
      <c r="F68" s="331" t="s">
        <v>178</v>
      </c>
      <c r="I68" s="343">
        <v>60</v>
      </c>
      <c r="J68" s="319" t="s">
        <v>62</v>
      </c>
      <c r="K68" s="319" t="s">
        <v>62</v>
      </c>
      <c r="L68" s="351">
        <v>9.9999999999999995E-7</v>
      </c>
      <c r="M68" s="342">
        <f>0.5*(MAX(J68:L68)-MIN(J68:L68))</f>
        <v>0</v>
      </c>
      <c r="N68" s="331" t="s">
        <v>178</v>
      </c>
      <c r="Q68" s="343">
        <v>1</v>
      </c>
      <c r="R68" s="319" t="s">
        <v>62</v>
      </c>
      <c r="S68" s="319" t="s">
        <v>62</v>
      </c>
      <c r="T68" s="351">
        <v>9.9999999999999995E-7</v>
      </c>
      <c r="U68" s="342">
        <f>0.5*(MAX(R68:T68)-MIN(R68:T68))</f>
        <v>0</v>
      </c>
      <c r="V68" s="331" t="s">
        <v>178</v>
      </c>
    </row>
    <row r="69" spans="1:22">
      <c r="A69" s="343">
        <v>2</v>
      </c>
      <c r="B69" s="319" t="s">
        <v>62</v>
      </c>
      <c r="C69" s="319" t="s">
        <v>62</v>
      </c>
      <c r="D69" s="319">
        <v>9.9999999999999995E-7</v>
      </c>
      <c r="E69" s="342">
        <f>0.5*(MAX(B69:D69)-MIN(B69:D69))</f>
        <v>0</v>
      </c>
      <c r="F69" s="331" t="s">
        <v>179</v>
      </c>
      <c r="I69" s="343">
        <v>120</v>
      </c>
      <c r="J69" s="319" t="s">
        <v>62</v>
      </c>
      <c r="K69" s="319" t="s">
        <v>62</v>
      </c>
      <c r="L69" s="351">
        <v>9.9999999999999995E-7</v>
      </c>
      <c r="M69" s="342">
        <f>0.5*(MAX(J69:L69)-MIN(J69:L69))</f>
        <v>0</v>
      </c>
      <c r="N69" s="331" t="s">
        <v>179</v>
      </c>
      <c r="Q69" s="343">
        <v>2</v>
      </c>
      <c r="R69" s="319" t="s">
        <v>62</v>
      </c>
      <c r="S69" s="319" t="s">
        <v>62</v>
      </c>
      <c r="T69" s="351">
        <v>9.9999999999999995E-7</v>
      </c>
      <c r="U69" s="342">
        <f>0.5*(MAX(R69:T69)-MIN(R69:T69))</f>
        <v>0</v>
      </c>
      <c r="V69" s="331" t="s">
        <v>179</v>
      </c>
    </row>
    <row r="70" spans="1:22">
      <c r="A70" s="343">
        <v>3</v>
      </c>
      <c r="B70" s="319" t="s">
        <v>62</v>
      </c>
      <c r="C70" s="319" t="s">
        <v>62</v>
      </c>
      <c r="D70" s="319">
        <v>9.9999999999999995E-7</v>
      </c>
      <c r="E70" s="342">
        <f>0.5*(MAX(B70:D70)-MIN(B70:D70))</f>
        <v>0</v>
      </c>
      <c r="F70" s="331" t="s">
        <v>62</v>
      </c>
      <c r="I70" s="343">
        <v>180</v>
      </c>
      <c r="J70" s="319" t="s">
        <v>62</v>
      </c>
      <c r="K70" s="319" t="s">
        <v>62</v>
      </c>
      <c r="L70" s="351">
        <v>9.9999999999999995E-7</v>
      </c>
      <c r="M70" s="342">
        <f>0.5*(MAX(J70:L70)-MIN(J70:L70))</f>
        <v>0</v>
      </c>
      <c r="N70" s="331"/>
      <c r="Q70" s="343">
        <v>3</v>
      </c>
      <c r="R70" s="319" t="s">
        <v>62</v>
      </c>
      <c r="S70" s="319" t="s">
        <v>62</v>
      </c>
      <c r="T70" s="351">
        <v>9.9999999999999995E-7</v>
      </c>
      <c r="U70" s="342">
        <f>0.5*(MAX(R70:T70)-MIN(R70:T70))</f>
        <v>0</v>
      </c>
      <c r="V70" s="331"/>
    </row>
    <row r="71" spans="1:22" ht="26">
      <c r="A71" s="330" t="s">
        <v>287</v>
      </c>
      <c r="B71" s="649" t="s">
        <v>75</v>
      </c>
      <c r="C71" s="649" t="s">
        <v>75</v>
      </c>
      <c r="D71" s="649"/>
      <c r="E71" s="341" t="s">
        <v>74</v>
      </c>
      <c r="F71" s="345" t="s">
        <v>176</v>
      </c>
      <c r="I71" s="330" t="s">
        <v>287</v>
      </c>
      <c r="J71" s="651" t="s">
        <v>75</v>
      </c>
      <c r="K71" s="651" t="s">
        <v>75</v>
      </c>
      <c r="L71" s="652"/>
      <c r="M71" s="341" t="s">
        <v>74</v>
      </c>
      <c r="N71" s="345" t="s">
        <v>176</v>
      </c>
      <c r="Q71" s="330" t="s">
        <v>287</v>
      </c>
      <c r="R71" s="341" t="s">
        <v>75</v>
      </c>
      <c r="S71" s="341" t="s">
        <v>75</v>
      </c>
      <c r="T71" s="341"/>
      <c r="U71" s="341" t="s">
        <v>74</v>
      </c>
      <c r="V71" s="345" t="s">
        <v>176</v>
      </c>
    </row>
    <row r="72" spans="1:22" ht="13">
      <c r="A72" s="346" t="s">
        <v>288</v>
      </c>
      <c r="B72" s="649">
        <f>B66</f>
        <v>2015</v>
      </c>
      <c r="C72" s="649">
        <f>C66</f>
        <v>2015</v>
      </c>
      <c r="D72" s="649">
        <f>D66</f>
        <v>2018</v>
      </c>
      <c r="E72" s="342"/>
      <c r="F72" s="345"/>
      <c r="I72" s="346" t="s">
        <v>288</v>
      </c>
      <c r="J72" s="649">
        <f>J66</f>
        <v>2015</v>
      </c>
      <c r="K72" s="649">
        <f>K66</f>
        <v>2015</v>
      </c>
      <c r="L72" s="649">
        <f>L66</f>
        <v>2017</v>
      </c>
      <c r="M72" s="342"/>
      <c r="N72" s="345"/>
      <c r="Q72" s="346" t="s">
        <v>288</v>
      </c>
      <c r="R72" s="649">
        <f>R66</f>
        <v>2018</v>
      </c>
      <c r="S72" s="649">
        <f>S66</f>
        <v>2018</v>
      </c>
      <c r="T72" s="649">
        <f>T66</f>
        <v>2019</v>
      </c>
      <c r="U72" s="342"/>
      <c r="V72" s="345"/>
    </row>
    <row r="73" spans="1:22">
      <c r="A73" s="343">
        <v>0.5</v>
      </c>
      <c r="B73" s="323" t="s">
        <v>62</v>
      </c>
      <c r="C73" s="323" t="s">
        <v>62</v>
      </c>
      <c r="D73" s="319">
        <v>9.9999999999999995E-7</v>
      </c>
      <c r="E73" s="342">
        <f>0.5*(MAX(B73:D73)-MIN(B73:D73))</f>
        <v>0</v>
      </c>
      <c r="F73" s="348">
        <v>1E-4</v>
      </c>
      <c r="G73" s="320" t="s">
        <v>295</v>
      </c>
      <c r="I73" s="343">
        <v>0.5</v>
      </c>
      <c r="J73" s="351">
        <v>9.9999999999999995E-7</v>
      </c>
      <c r="K73" s="351">
        <v>9.9999999999999995E-7</v>
      </c>
      <c r="L73" s="351">
        <v>9.9999999999999995E-7</v>
      </c>
      <c r="M73" s="342">
        <f>0.5*(MAX(J73:L73)-MIN(J73:L73))</f>
        <v>0</v>
      </c>
      <c r="N73" s="348">
        <v>1E-4</v>
      </c>
      <c r="Q73" s="343">
        <v>0.5</v>
      </c>
      <c r="R73" s="351">
        <v>9.9999999999999995E-7</v>
      </c>
      <c r="S73" s="351">
        <v>9.9999999999999995E-7</v>
      </c>
      <c r="T73" s="351">
        <v>9.9999999999999995E-7</v>
      </c>
      <c r="U73" s="342">
        <f>0.5*(MAX(R73:T73)-MIN(R73:T73))</f>
        <v>0</v>
      </c>
      <c r="V73" s="348">
        <v>1E-4</v>
      </c>
    </row>
    <row r="74" spans="1:22">
      <c r="A74" s="343">
        <v>1</v>
      </c>
      <c r="B74" s="323" t="s">
        <v>62</v>
      </c>
      <c r="C74" s="323" t="s">
        <v>62</v>
      </c>
      <c r="D74" s="319">
        <v>9.9999999999999995E-7</v>
      </c>
      <c r="E74" s="342">
        <f>0.5*(MAX(B74:D74)-MIN(B74:D74))</f>
        <v>0</v>
      </c>
      <c r="F74" s="348">
        <v>1E-4</v>
      </c>
      <c r="G74" s="320" t="s">
        <v>295</v>
      </c>
      <c r="I74" s="343">
        <v>1</v>
      </c>
      <c r="J74" s="351">
        <v>9.9999999999999995E-7</v>
      </c>
      <c r="K74" s="351">
        <v>9.9999999999999995E-7</v>
      </c>
      <c r="L74" s="351">
        <v>9.9999999999999995E-7</v>
      </c>
      <c r="M74" s="342">
        <f>0.5*(MAX(J74:L74)-MIN(J74:L74))</f>
        <v>0</v>
      </c>
      <c r="N74" s="348">
        <v>1E-4</v>
      </c>
      <c r="Q74" s="343">
        <v>1</v>
      </c>
      <c r="R74" s="351">
        <v>9.9999999999999995E-7</v>
      </c>
      <c r="S74" s="351">
        <v>9.9999999999999995E-7</v>
      </c>
      <c r="T74" s="351">
        <v>9.9999999999999995E-7</v>
      </c>
      <c r="U74" s="342">
        <f>0.5*(MAX(R74:T74)-MIN(R74:T74))</f>
        <v>0</v>
      </c>
      <c r="V74" s="348">
        <v>1E-4</v>
      </c>
    </row>
    <row r="75" spans="1:22">
      <c r="A75" s="343">
        <v>2</v>
      </c>
      <c r="B75" s="323" t="s">
        <v>62</v>
      </c>
      <c r="C75" s="323" t="s">
        <v>62</v>
      </c>
      <c r="D75" s="319">
        <v>9.9999999999999995E-7</v>
      </c>
      <c r="E75" s="342">
        <f>0.5*(MAX(B75:D75)-MIN(B75:D75))</f>
        <v>0</v>
      </c>
      <c r="F75" s="348">
        <v>1E-4</v>
      </c>
      <c r="G75" s="320" t="s">
        <v>295</v>
      </c>
      <c r="I75" s="343">
        <v>2</v>
      </c>
      <c r="J75" s="351">
        <v>9.9999999999999995E-7</v>
      </c>
      <c r="K75" s="351">
        <v>9.9999999999999995E-7</v>
      </c>
      <c r="L75" s="351">
        <v>9.9999999999999995E-7</v>
      </c>
      <c r="M75" s="342">
        <f>0.5*(MAX(J75:L75)-MIN(J75:L75))</f>
        <v>0</v>
      </c>
      <c r="N75" s="348">
        <v>1E-4</v>
      </c>
      <c r="Q75" s="343">
        <v>2</v>
      </c>
      <c r="R75" s="351">
        <v>9.9999999999999995E-7</v>
      </c>
      <c r="S75" s="351">
        <v>9.9999999999999995E-7</v>
      </c>
      <c r="T75" s="351">
        <v>9.9999999999999995E-7</v>
      </c>
      <c r="U75" s="342">
        <f>0.5*(MAX(R75:T75)-MIN(R75:T75))</f>
        <v>0</v>
      </c>
      <c r="V75" s="348">
        <v>1E-4</v>
      </c>
    </row>
    <row r="76" spans="1:22" ht="26">
      <c r="A76" s="330" t="s">
        <v>291</v>
      </c>
      <c r="B76" s="649" t="s">
        <v>75</v>
      </c>
      <c r="C76" s="649" t="s">
        <v>75</v>
      </c>
      <c r="D76" s="649"/>
      <c r="E76" s="341" t="s">
        <v>74</v>
      </c>
      <c r="F76" s="345" t="s">
        <v>176</v>
      </c>
      <c r="I76" s="330" t="s">
        <v>291</v>
      </c>
      <c r="J76" s="651" t="s">
        <v>75</v>
      </c>
      <c r="K76" s="651" t="s">
        <v>75</v>
      </c>
      <c r="L76" s="652"/>
      <c r="M76" s="341" t="s">
        <v>74</v>
      </c>
      <c r="N76" s="345" t="s">
        <v>176</v>
      </c>
      <c r="Q76" s="330" t="s">
        <v>291</v>
      </c>
      <c r="R76" s="341" t="s">
        <v>75</v>
      </c>
      <c r="S76" s="341" t="s">
        <v>75</v>
      </c>
      <c r="T76" s="341"/>
      <c r="U76" s="341" t="s">
        <v>74</v>
      </c>
      <c r="V76" s="345" t="s">
        <v>176</v>
      </c>
    </row>
    <row r="77" spans="1:22" ht="13">
      <c r="A77" s="330" t="s">
        <v>292</v>
      </c>
      <c r="B77" s="649">
        <f>B72</f>
        <v>2015</v>
      </c>
      <c r="C77" s="649">
        <f>C72</f>
        <v>2015</v>
      </c>
      <c r="D77" s="649">
        <f>D72</f>
        <v>2018</v>
      </c>
      <c r="E77" s="342"/>
      <c r="F77" s="345"/>
      <c r="I77" s="330" t="s">
        <v>292</v>
      </c>
      <c r="J77" s="649">
        <f>J72</f>
        <v>2015</v>
      </c>
      <c r="K77" s="649">
        <f>K72</f>
        <v>2015</v>
      </c>
      <c r="L77" s="649">
        <f>L72</f>
        <v>2017</v>
      </c>
      <c r="M77" s="342"/>
      <c r="N77" s="345"/>
      <c r="Q77" s="330" t="s">
        <v>292</v>
      </c>
      <c r="R77" s="649">
        <f>R72</f>
        <v>2018</v>
      </c>
      <c r="S77" s="649">
        <f>S72</f>
        <v>2018</v>
      </c>
      <c r="T77" s="649">
        <f>T72</f>
        <v>2019</v>
      </c>
      <c r="U77" s="342"/>
      <c r="V77" s="345"/>
    </row>
    <row r="78" spans="1:22">
      <c r="A78" s="343">
        <v>0.125</v>
      </c>
      <c r="B78" s="323" t="s">
        <v>62</v>
      </c>
      <c r="C78" s="323" t="s">
        <v>62</v>
      </c>
      <c r="D78" s="319">
        <v>9.9999999999999995E-7</v>
      </c>
      <c r="E78" s="342">
        <f>0.5*(MAX(B78:D78)-MIN(B78:D78))</f>
        <v>0</v>
      </c>
      <c r="F78" s="348">
        <v>2.5999999999999998E-5</v>
      </c>
      <c r="G78" s="320" t="s">
        <v>295</v>
      </c>
      <c r="I78" s="343">
        <v>0.125</v>
      </c>
      <c r="J78" s="351">
        <v>9.9999999999999995E-7</v>
      </c>
      <c r="K78" s="351">
        <v>9.9999999999999995E-7</v>
      </c>
      <c r="L78" s="351">
        <v>9.9999999999999995E-7</v>
      </c>
      <c r="M78" s="342">
        <f>0.5*(MAX(J78:L78)-MIN(J78:L78))</f>
        <v>0</v>
      </c>
      <c r="N78" s="348">
        <v>2.5999999999999998E-5</v>
      </c>
      <c r="Q78" s="343">
        <v>0.125</v>
      </c>
      <c r="R78" s="351">
        <v>9.9999999999999995E-7</v>
      </c>
      <c r="S78" s="351">
        <v>9.9999999999999995E-7</v>
      </c>
      <c r="T78" s="351">
        <v>9.9999999999999995E-7</v>
      </c>
      <c r="U78" s="342">
        <f>0.5*(MAX(R78:T78)-MIN(R78:T78))</f>
        <v>0</v>
      </c>
      <c r="V78" s="348">
        <v>2.5999999999999998E-5</v>
      </c>
    </row>
    <row r="79" spans="1:22">
      <c r="A79" s="343">
        <v>2</v>
      </c>
      <c r="B79" s="323" t="s">
        <v>62</v>
      </c>
      <c r="C79" s="323" t="s">
        <v>62</v>
      </c>
      <c r="D79" s="319">
        <v>9.9999999999999995E-7</v>
      </c>
      <c r="E79" s="342">
        <f>0.5*(MAX(B79:D79)-MIN(B79:D79))</f>
        <v>0</v>
      </c>
      <c r="F79" s="348">
        <v>2.5999999999999998E-5</v>
      </c>
      <c r="G79" s="320" t="s">
        <v>295</v>
      </c>
      <c r="I79" s="343">
        <v>2</v>
      </c>
      <c r="J79" s="351">
        <v>9.9999999999999995E-7</v>
      </c>
      <c r="K79" s="351">
        <v>9.9999999999999995E-7</v>
      </c>
      <c r="L79" s="351">
        <v>9.9999999999999995E-7</v>
      </c>
      <c r="M79" s="342">
        <f>0.5*(MAX(J79:L79)-MIN(J79:L79))</f>
        <v>0</v>
      </c>
      <c r="N79" s="348">
        <v>2.5999999999999998E-5</v>
      </c>
      <c r="Q79" s="343">
        <v>2</v>
      </c>
      <c r="R79" s="351">
        <v>9.9999999999999995E-7</v>
      </c>
      <c r="S79" s="351">
        <v>9.9999999999999995E-7</v>
      </c>
      <c r="T79" s="351">
        <v>9.9999999999999995E-7</v>
      </c>
      <c r="U79" s="342">
        <f>0.5*(MAX(R79:T79)-MIN(R79:T79))</f>
        <v>0</v>
      </c>
      <c r="V79" s="348">
        <v>2.5999999999999998E-5</v>
      </c>
    </row>
    <row r="80" spans="1:22" ht="26">
      <c r="A80" s="330" t="s">
        <v>294</v>
      </c>
      <c r="B80" s="649" t="s">
        <v>75</v>
      </c>
      <c r="C80" s="649" t="s">
        <v>75</v>
      </c>
      <c r="D80" s="649"/>
      <c r="E80" s="341" t="s">
        <v>74</v>
      </c>
      <c r="F80" s="345" t="s">
        <v>176</v>
      </c>
      <c r="I80" s="330" t="s">
        <v>294</v>
      </c>
      <c r="J80" s="651" t="s">
        <v>75</v>
      </c>
      <c r="K80" s="651" t="s">
        <v>75</v>
      </c>
      <c r="L80" s="652"/>
      <c r="M80" s="341" t="s">
        <v>74</v>
      </c>
      <c r="N80" s="345" t="s">
        <v>176</v>
      </c>
      <c r="Q80" s="330" t="s">
        <v>294</v>
      </c>
      <c r="R80" s="341" t="s">
        <v>75</v>
      </c>
      <c r="S80" s="341" t="s">
        <v>75</v>
      </c>
      <c r="T80" s="341"/>
      <c r="U80" s="341" t="s">
        <v>74</v>
      </c>
      <c r="V80" s="345" t="s">
        <v>176</v>
      </c>
    </row>
    <row r="81" spans="1:22" ht="13">
      <c r="A81" s="330" t="s">
        <v>292</v>
      </c>
      <c r="B81" s="649">
        <f>B77</f>
        <v>2015</v>
      </c>
      <c r="C81" s="649">
        <f>C77</f>
        <v>2015</v>
      </c>
      <c r="D81" s="649">
        <f>D77</f>
        <v>2018</v>
      </c>
      <c r="E81" s="342"/>
      <c r="F81" s="345"/>
      <c r="I81" s="330" t="s">
        <v>292</v>
      </c>
      <c r="J81" s="649">
        <f>J77</f>
        <v>2015</v>
      </c>
      <c r="K81" s="649">
        <f>K77</f>
        <v>2015</v>
      </c>
      <c r="L81" s="649">
        <f>L77</f>
        <v>2017</v>
      </c>
      <c r="M81" s="342"/>
      <c r="N81" s="345"/>
      <c r="Q81" s="330" t="s">
        <v>292</v>
      </c>
      <c r="R81" s="649">
        <f>R77</f>
        <v>2018</v>
      </c>
      <c r="S81" s="649">
        <f>S77</f>
        <v>2018</v>
      </c>
      <c r="T81" s="649">
        <f>T77</f>
        <v>2019</v>
      </c>
      <c r="U81" s="342"/>
      <c r="V81" s="345"/>
    </row>
    <row r="82" spans="1:22">
      <c r="A82" s="343">
        <v>10</v>
      </c>
      <c r="B82" s="323" t="s">
        <v>62</v>
      </c>
      <c r="C82" s="323" t="s">
        <v>62</v>
      </c>
      <c r="D82" s="319">
        <v>9.9999999999999995E-7</v>
      </c>
      <c r="E82" s="342">
        <f>0.5*(MAX(B82:D82)-MIN(B82:D82))</f>
        <v>0</v>
      </c>
      <c r="F82" s="348">
        <v>2.5999999999999998E-5</v>
      </c>
      <c r="G82" s="320" t="s">
        <v>295</v>
      </c>
      <c r="I82" s="343">
        <v>10</v>
      </c>
      <c r="J82" s="351">
        <v>9.9999999999999995E-7</v>
      </c>
      <c r="K82" s="351">
        <v>9.9999999999999995E-7</v>
      </c>
      <c r="L82" s="351">
        <v>9.9999999999999995E-7</v>
      </c>
      <c r="M82" s="342">
        <f>0.5*(MAX(J82:L82)-MIN(J82:L82))</f>
        <v>0</v>
      </c>
      <c r="N82" s="348">
        <v>2.5999999999999998E-5</v>
      </c>
      <c r="Q82" s="343">
        <v>10</v>
      </c>
      <c r="R82" s="351">
        <v>9.9999999999999995E-7</v>
      </c>
      <c r="S82" s="351">
        <v>9.9999999999999995E-7</v>
      </c>
      <c r="T82" s="351">
        <v>9.9999999999999995E-7</v>
      </c>
      <c r="U82" s="342">
        <f>0.5*(MAX(R82:T82)-MIN(R82:T82))</f>
        <v>0</v>
      </c>
      <c r="V82" s="348">
        <v>2.5999999999999998E-5</v>
      </c>
    </row>
    <row r="83" spans="1:22" ht="13">
      <c r="A83" s="646" t="s">
        <v>180</v>
      </c>
      <c r="B83" s="646" t="s">
        <v>75</v>
      </c>
      <c r="C83" s="646" t="s">
        <v>75</v>
      </c>
      <c r="D83" s="646"/>
      <c r="E83" s="646" t="s">
        <v>74</v>
      </c>
      <c r="F83" s="648" t="s">
        <v>176</v>
      </c>
      <c r="I83" s="646" t="s">
        <v>180</v>
      </c>
      <c r="J83" s="646" t="s">
        <v>75</v>
      </c>
      <c r="K83" s="646" t="s">
        <v>75</v>
      </c>
      <c r="L83" s="646"/>
      <c r="M83" s="1403" t="s">
        <v>74</v>
      </c>
      <c r="N83" s="1422" t="s">
        <v>176</v>
      </c>
      <c r="Q83" s="646" t="s">
        <v>180</v>
      </c>
      <c r="R83" s="646" t="s">
        <v>75</v>
      </c>
      <c r="S83" s="646" t="s">
        <v>75</v>
      </c>
      <c r="T83" s="646"/>
      <c r="U83" s="1403" t="s">
        <v>74</v>
      </c>
      <c r="V83" s="1422" t="s">
        <v>176</v>
      </c>
    </row>
    <row r="84" spans="1:22" ht="14">
      <c r="A84" s="647" t="s">
        <v>338</v>
      </c>
      <c r="B84" s="646">
        <f>B81</f>
        <v>2015</v>
      </c>
      <c r="C84" s="646">
        <f>C81</f>
        <v>2015</v>
      </c>
      <c r="D84" s="646">
        <f>D81</f>
        <v>2018</v>
      </c>
      <c r="E84" s="646"/>
      <c r="F84" s="648"/>
      <c r="I84" s="647" t="s">
        <v>338</v>
      </c>
      <c r="J84" s="646">
        <f>J81</f>
        <v>2015</v>
      </c>
      <c r="K84" s="646">
        <f>K81</f>
        <v>2015</v>
      </c>
      <c r="L84" s="646">
        <f>L81</f>
        <v>2017</v>
      </c>
      <c r="M84" s="1403"/>
      <c r="N84" s="1422"/>
      <c r="Q84" s="647" t="s">
        <v>338</v>
      </c>
      <c r="R84" s="646">
        <f>R81</f>
        <v>2018</v>
      </c>
      <c r="S84" s="646">
        <f>S81</f>
        <v>2018</v>
      </c>
      <c r="T84" s="646">
        <f>T81</f>
        <v>2019</v>
      </c>
      <c r="U84" s="1403"/>
      <c r="V84" s="1422"/>
    </row>
    <row r="85" spans="1:22">
      <c r="A85" s="349">
        <v>15</v>
      </c>
      <c r="B85" s="319">
        <v>9.9999999999999995E-7</v>
      </c>
      <c r="C85" s="319">
        <v>9.9999999999999995E-7</v>
      </c>
      <c r="D85" s="319">
        <v>9.9999999999999995E-7</v>
      </c>
      <c r="E85" s="220">
        <f>0.5*(MAX(B85:D85)-MIN(B85:D85))</f>
        <v>0</v>
      </c>
      <c r="F85" s="350"/>
      <c r="I85" s="349">
        <v>15</v>
      </c>
      <c r="J85" s="351">
        <v>9.9999999999999995E-7</v>
      </c>
      <c r="K85" s="351">
        <v>9.9999999999999995E-7</v>
      </c>
      <c r="L85" s="351">
        <v>9.9999999999999995E-7</v>
      </c>
      <c r="M85" s="220">
        <f>0.5*(MAX(J85:L85)-MIN(J85:L85))</f>
        <v>0</v>
      </c>
      <c r="N85" s="350"/>
      <c r="Q85" s="349">
        <v>15</v>
      </c>
      <c r="R85" s="351">
        <v>9.9999999999999995E-7</v>
      </c>
      <c r="S85" s="351">
        <v>9.9999999999999995E-7</v>
      </c>
      <c r="T85" s="351">
        <v>9.9999999999999995E-7</v>
      </c>
      <c r="U85" s="220">
        <f>0.5*(MAX(R85:T85)-MIN(R85:T85))</f>
        <v>0</v>
      </c>
      <c r="V85" s="350"/>
    </row>
    <row r="86" spans="1:22">
      <c r="A86" s="56">
        <v>30</v>
      </c>
      <c r="B86" s="319">
        <v>9.9999999999999995E-7</v>
      </c>
      <c r="C86" s="319">
        <v>9.9999999999999995E-7</v>
      </c>
      <c r="D86" s="319">
        <v>9.9999999999999995E-7</v>
      </c>
      <c r="E86" s="220">
        <f>0.5*(MAX(B86:D86)-MIN(B86:D86))</f>
        <v>0</v>
      </c>
      <c r="F86" s="45">
        <v>1.1999999999999999E-3</v>
      </c>
      <c r="I86" s="56">
        <v>30</v>
      </c>
      <c r="J86" s="351">
        <v>9.9999999999999995E-7</v>
      </c>
      <c r="K86" s="351">
        <v>9.9999999999999995E-7</v>
      </c>
      <c r="L86" s="351">
        <v>9.9999999999999995E-7</v>
      </c>
      <c r="M86" s="220">
        <f>0.5*(MAX(J86:L86)-MIN(J86:L86))</f>
        <v>0</v>
      </c>
      <c r="N86" s="45">
        <v>1.1999999999999999E-3</v>
      </c>
      <c r="Q86" s="56">
        <v>30</v>
      </c>
      <c r="R86" s="351">
        <v>9.9999999999999995E-7</v>
      </c>
      <c r="S86" s="351">
        <v>9.9999999999999995E-7</v>
      </c>
      <c r="T86" s="351">
        <v>9.9999999999999995E-7</v>
      </c>
      <c r="U86" s="220">
        <f>0.5*(MAX(R86:T86)-MIN(R86:T86))</f>
        <v>0</v>
      </c>
      <c r="V86" s="45">
        <v>1.1999999999999999E-3</v>
      </c>
    </row>
    <row r="87" spans="1:22">
      <c r="A87" s="56">
        <v>60</v>
      </c>
      <c r="B87" s="319">
        <v>9.9999999999999995E-7</v>
      </c>
      <c r="C87" s="319">
        <v>9.9999999999999995E-7</v>
      </c>
      <c r="D87" s="319">
        <v>9.9999999999999995E-7</v>
      </c>
      <c r="E87" s="220">
        <f>0.5*(MAX(B87:D87)-MIN(B87:D87))</f>
        <v>0</v>
      </c>
      <c r="F87" s="45" t="s">
        <v>178</v>
      </c>
      <c r="I87" s="56">
        <v>60</v>
      </c>
      <c r="J87" s="351">
        <v>9.9999999999999995E-7</v>
      </c>
      <c r="K87" s="351">
        <v>9.9999999999999995E-7</v>
      </c>
      <c r="L87" s="351">
        <v>9.9999999999999995E-7</v>
      </c>
      <c r="M87" s="220">
        <f>0.5*(MAX(J87:L87)-MIN(J87:L87))</f>
        <v>0</v>
      </c>
      <c r="N87" s="45" t="s">
        <v>178</v>
      </c>
      <c r="Q87" s="56">
        <v>60</v>
      </c>
      <c r="R87" s="351">
        <v>9.9999999999999995E-7</v>
      </c>
      <c r="S87" s="351">
        <v>9.9999999999999995E-7</v>
      </c>
      <c r="T87" s="351">
        <v>9.9999999999999995E-7</v>
      </c>
      <c r="U87" s="220">
        <f>0.5*(MAX(R87:T87)-MIN(R87:T87))</f>
        <v>0</v>
      </c>
      <c r="V87" s="45" t="s">
        <v>178</v>
      </c>
    </row>
    <row r="88" spans="1:22">
      <c r="A88" s="56">
        <v>120</v>
      </c>
      <c r="B88" s="319">
        <v>9.9999999999999995E-7</v>
      </c>
      <c r="C88" s="319">
        <v>9.9999999999999995E-7</v>
      </c>
      <c r="D88" s="319">
        <v>9.9999999999999995E-7</v>
      </c>
      <c r="E88" s="220">
        <f>0.5*(MAX(B88:D88)-MIN(B88:D88))</f>
        <v>0</v>
      </c>
      <c r="F88" s="45" t="s">
        <v>179</v>
      </c>
      <c r="I88" s="56">
        <v>120</v>
      </c>
      <c r="J88" s="351">
        <v>9.9999999999999995E-7</v>
      </c>
      <c r="K88" s="351">
        <v>9.9999999999999995E-7</v>
      </c>
      <c r="L88" s="351">
        <v>9.9999999999999995E-7</v>
      </c>
      <c r="M88" s="220">
        <f>0.5*(MAX(J88:L88)-MIN(J88:L88))</f>
        <v>0</v>
      </c>
      <c r="N88" s="45" t="s">
        <v>179</v>
      </c>
      <c r="Q88" s="56">
        <v>120</v>
      </c>
      <c r="R88" s="351">
        <v>9.9999999999999995E-7</v>
      </c>
      <c r="S88" s="351">
        <v>9.9999999999999995E-7</v>
      </c>
      <c r="T88" s="351">
        <v>9.9999999999999995E-7</v>
      </c>
      <c r="U88" s="220">
        <f>0.5*(MAX(R88:T88)-MIN(R88:T88))</f>
        <v>0</v>
      </c>
      <c r="V88" s="45" t="s">
        <v>179</v>
      </c>
    </row>
    <row r="89" spans="1:22">
      <c r="A89" s="56">
        <v>180</v>
      </c>
      <c r="B89" s="319">
        <v>9.9999999999999995E-7</v>
      </c>
      <c r="C89" s="319">
        <v>9.9999999999999995E-7</v>
      </c>
      <c r="D89" s="319">
        <v>9.9999999999999995E-7</v>
      </c>
      <c r="E89" s="220">
        <f>0.5*(MAX(B89:D89)-MIN(B89:D89))</f>
        <v>0</v>
      </c>
      <c r="F89" s="45" t="s">
        <v>62</v>
      </c>
      <c r="I89" s="56">
        <v>180</v>
      </c>
      <c r="J89" s="351">
        <v>9.9999999999999995E-7</v>
      </c>
      <c r="K89" s="351">
        <v>9.9999999999999995E-7</v>
      </c>
      <c r="L89" s="351">
        <v>9.9999999999999995E-7</v>
      </c>
      <c r="M89" s="220">
        <f>0.5*(MAX(J89:L89)-MIN(J89:L89))</f>
        <v>0</v>
      </c>
      <c r="N89" s="45" t="s">
        <v>62</v>
      </c>
      <c r="Q89" s="56">
        <v>180</v>
      </c>
      <c r="R89" s="351">
        <v>9.9999999999999995E-7</v>
      </c>
      <c r="S89" s="351">
        <v>9.9999999999999995E-7</v>
      </c>
      <c r="T89" s="351">
        <v>9.9999999999999995E-7</v>
      </c>
      <c r="U89" s="220">
        <f>0.5*(MAX(R89:T89)-MIN(R89:T89))</f>
        <v>0</v>
      </c>
      <c r="V89" s="45" t="s">
        <v>62</v>
      </c>
    </row>
    <row r="92" spans="1:22" ht="28">
      <c r="A92" s="327" t="s">
        <v>298</v>
      </c>
      <c r="I92" s="328" t="s">
        <v>299</v>
      </c>
      <c r="Q92" s="329" t="s">
        <v>300</v>
      </c>
    </row>
    <row r="93" spans="1:22" ht="14">
      <c r="A93" s="1414" t="s">
        <v>175</v>
      </c>
      <c r="B93" s="1414"/>
      <c r="C93" s="1414"/>
      <c r="D93" s="1414"/>
      <c r="E93" s="649" t="s">
        <v>74</v>
      </c>
      <c r="F93" s="650" t="s">
        <v>176</v>
      </c>
      <c r="I93" s="1414" t="s">
        <v>175</v>
      </c>
      <c r="J93" s="1414"/>
      <c r="K93" s="1414"/>
      <c r="L93" s="1414"/>
      <c r="M93" s="1415" t="s">
        <v>74</v>
      </c>
      <c r="N93" s="1417" t="s">
        <v>176</v>
      </c>
      <c r="Q93" s="1414" t="s">
        <v>175</v>
      </c>
      <c r="R93" s="1414"/>
      <c r="S93" s="1414"/>
      <c r="T93" s="1414"/>
      <c r="U93" s="1415" t="s">
        <v>74</v>
      </c>
      <c r="V93" s="1417" t="s">
        <v>176</v>
      </c>
    </row>
    <row r="94" spans="1:22" ht="13">
      <c r="A94" s="649" t="s">
        <v>177</v>
      </c>
      <c r="B94" s="1415" t="s">
        <v>75</v>
      </c>
      <c r="C94" s="1415"/>
      <c r="D94" s="1415"/>
      <c r="E94" s="649"/>
      <c r="F94" s="650"/>
      <c r="I94" s="649" t="s">
        <v>177</v>
      </c>
      <c r="J94" s="1415" t="s">
        <v>75</v>
      </c>
      <c r="K94" s="1415"/>
      <c r="L94" s="1415"/>
      <c r="M94" s="1415"/>
      <c r="N94" s="1417"/>
      <c r="Q94" s="649" t="s">
        <v>177</v>
      </c>
      <c r="R94" s="1415" t="s">
        <v>75</v>
      </c>
      <c r="S94" s="1415"/>
      <c r="T94" s="1415"/>
      <c r="U94" s="1415"/>
      <c r="V94" s="1417"/>
    </row>
    <row r="95" spans="1:22" ht="14">
      <c r="A95" s="647" t="s">
        <v>111</v>
      </c>
      <c r="B95" s="649">
        <v>2018</v>
      </c>
      <c r="C95" s="649">
        <v>2018</v>
      </c>
      <c r="D95" s="649">
        <v>2019</v>
      </c>
      <c r="E95" s="649"/>
      <c r="F95" s="650"/>
      <c r="I95" s="647" t="s">
        <v>111</v>
      </c>
      <c r="J95" s="649">
        <v>2018</v>
      </c>
      <c r="K95" s="649">
        <v>2018</v>
      </c>
      <c r="L95" s="649">
        <v>2019</v>
      </c>
      <c r="M95" s="1415"/>
      <c r="N95" s="1417"/>
      <c r="Q95" s="647" t="s">
        <v>111</v>
      </c>
      <c r="R95" s="649">
        <v>2018</v>
      </c>
      <c r="S95" s="649">
        <v>2018</v>
      </c>
      <c r="T95" s="649">
        <v>2019</v>
      </c>
      <c r="U95" s="1415"/>
      <c r="V95" s="1417"/>
    </row>
    <row r="96" spans="1:22">
      <c r="A96" s="343">
        <v>0.5</v>
      </c>
      <c r="B96" s="319" t="s">
        <v>62</v>
      </c>
      <c r="C96" s="319" t="s">
        <v>62</v>
      </c>
      <c r="D96" s="319">
        <v>9.9999999999999995E-7</v>
      </c>
      <c r="E96" s="342">
        <f>0.5*(MAX(B96:D96)-MIN(B96:D96))</f>
        <v>0</v>
      </c>
      <c r="F96" s="331">
        <v>5.4999999999999997E-3</v>
      </c>
      <c r="I96" s="343">
        <v>0.5</v>
      </c>
      <c r="J96" s="319" t="s">
        <v>62</v>
      </c>
      <c r="K96" s="319" t="s">
        <v>62</v>
      </c>
      <c r="L96" s="351">
        <v>9.9999999999999995E-7</v>
      </c>
      <c r="M96" s="342">
        <f>0.5*(MAX(J96:L96)-MIN(J96:L96))</f>
        <v>0</v>
      </c>
      <c r="N96" s="331">
        <v>5.4999999999999997E-3</v>
      </c>
      <c r="Q96" s="343">
        <v>0.5</v>
      </c>
      <c r="R96" s="319" t="s">
        <v>62</v>
      </c>
      <c r="S96" s="319" t="s">
        <v>62</v>
      </c>
      <c r="T96" s="351">
        <v>9.9999999999999995E-7</v>
      </c>
      <c r="U96" s="342">
        <f>0.5*(MAX(R96:T96)-MIN(R96:T96))</f>
        <v>0</v>
      </c>
      <c r="V96" s="331">
        <v>5.4999999999999997E-3</v>
      </c>
    </row>
    <row r="97" spans="1:22">
      <c r="A97" s="343">
        <v>1</v>
      </c>
      <c r="B97" s="319" t="s">
        <v>62</v>
      </c>
      <c r="C97" s="319" t="s">
        <v>62</v>
      </c>
      <c r="D97" s="319">
        <v>9.9999999999999995E-7</v>
      </c>
      <c r="E97" s="342">
        <f>0.5*(MAX(B97:D97)-MIN(B97:D97))</f>
        <v>0</v>
      </c>
      <c r="F97" s="331" t="s">
        <v>178</v>
      </c>
      <c r="I97" s="343">
        <v>1</v>
      </c>
      <c r="J97" s="319" t="s">
        <v>62</v>
      </c>
      <c r="K97" s="319" t="s">
        <v>62</v>
      </c>
      <c r="L97" s="351">
        <v>9.9999999999999995E-7</v>
      </c>
      <c r="M97" s="342">
        <f>0.5*(MAX(J97:L97)-MIN(J97:L97))</f>
        <v>0</v>
      </c>
      <c r="N97" s="331" t="s">
        <v>178</v>
      </c>
      <c r="Q97" s="343">
        <v>1</v>
      </c>
      <c r="R97" s="319" t="s">
        <v>62</v>
      </c>
      <c r="S97" s="319" t="s">
        <v>62</v>
      </c>
      <c r="T97" s="351">
        <v>9.9999999999999995E-7</v>
      </c>
      <c r="U97" s="342">
        <f>0.5*(MAX(R97:T97)-MIN(R97:T97))</f>
        <v>0</v>
      </c>
      <c r="V97" s="331" t="s">
        <v>178</v>
      </c>
    </row>
    <row r="98" spans="1:22">
      <c r="A98" s="343">
        <v>2</v>
      </c>
      <c r="B98" s="319" t="s">
        <v>62</v>
      </c>
      <c r="C98" s="319" t="s">
        <v>62</v>
      </c>
      <c r="D98" s="319">
        <v>9.9999999999999995E-7</v>
      </c>
      <c r="E98" s="342">
        <f>0.5*(MAX(B98:D98)-MIN(B98:D98))</f>
        <v>0</v>
      </c>
      <c r="F98" s="331" t="s">
        <v>179</v>
      </c>
      <c r="I98" s="343">
        <v>2</v>
      </c>
      <c r="J98" s="319" t="s">
        <v>62</v>
      </c>
      <c r="K98" s="319" t="s">
        <v>62</v>
      </c>
      <c r="L98" s="351">
        <v>9.9999999999999995E-7</v>
      </c>
      <c r="M98" s="342">
        <f>0.5*(MAX(J98:L98)-MIN(J98:L98))</f>
        <v>0</v>
      </c>
      <c r="N98" s="331" t="s">
        <v>179</v>
      </c>
      <c r="Q98" s="343">
        <v>2</v>
      </c>
      <c r="R98" s="319" t="s">
        <v>62</v>
      </c>
      <c r="S98" s="319" t="s">
        <v>62</v>
      </c>
      <c r="T98" s="351">
        <v>9.9999999999999995E-7</v>
      </c>
      <c r="U98" s="342">
        <f>0.5*(MAX(R98:T98)-MIN(R98:T98))</f>
        <v>0</v>
      </c>
      <c r="V98" s="331" t="s">
        <v>179</v>
      </c>
    </row>
    <row r="99" spans="1:22">
      <c r="A99" s="343">
        <v>3</v>
      </c>
      <c r="B99" s="319" t="s">
        <v>62</v>
      </c>
      <c r="C99" s="319" t="s">
        <v>62</v>
      </c>
      <c r="D99" s="319">
        <v>9.9999999999999995E-7</v>
      </c>
      <c r="E99" s="342">
        <f>0.5*(MAX(B99:D99)-MIN(B99:D99))</f>
        <v>0</v>
      </c>
      <c r="F99" s="331"/>
      <c r="I99" s="343">
        <v>3</v>
      </c>
      <c r="J99" s="319" t="s">
        <v>62</v>
      </c>
      <c r="K99" s="319" t="s">
        <v>62</v>
      </c>
      <c r="L99" s="351">
        <v>9.9999999999999995E-7</v>
      </c>
      <c r="M99" s="342">
        <f>0.5*(MAX(J99:L99)-MIN(J99:L99))</f>
        <v>0</v>
      </c>
      <c r="N99" s="331"/>
      <c r="Q99" s="343">
        <v>3</v>
      </c>
      <c r="R99" s="319" t="s">
        <v>62</v>
      </c>
      <c r="S99" s="319" t="s">
        <v>62</v>
      </c>
      <c r="T99" s="351">
        <v>9.9999999999999995E-7</v>
      </c>
      <c r="U99" s="342">
        <f>0.5*(MAX(R99:T99)-MIN(R99:T99))</f>
        <v>0</v>
      </c>
      <c r="V99" s="331"/>
    </row>
    <row r="100" spans="1:22" ht="26">
      <c r="A100" s="330" t="s">
        <v>287</v>
      </c>
      <c r="B100" s="649" t="s">
        <v>75</v>
      </c>
      <c r="C100" s="649" t="s">
        <v>75</v>
      </c>
      <c r="D100" s="649"/>
      <c r="E100" s="341" t="s">
        <v>74</v>
      </c>
      <c r="F100" s="345" t="s">
        <v>176</v>
      </c>
      <c r="I100" s="330" t="s">
        <v>287</v>
      </c>
      <c r="J100" s="649" t="s">
        <v>75</v>
      </c>
      <c r="K100" s="649" t="s">
        <v>75</v>
      </c>
      <c r="L100" s="649"/>
      <c r="M100" s="341" t="s">
        <v>74</v>
      </c>
      <c r="N100" s="345" t="s">
        <v>176</v>
      </c>
      <c r="Q100" s="330" t="s">
        <v>287</v>
      </c>
      <c r="R100" s="341" t="s">
        <v>75</v>
      </c>
      <c r="S100" s="341" t="s">
        <v>75</v>
      </c>
      <c r="T100" s="341"/>
      <c r="U100" s="341" t="s">
        <v>74</v>
      </c>
      <c r="V100" s="345" t="s">
        <v>176</v>
      </c>
    </row>
    <row r="101" spans="1:22" ht="13">
      <c r="A101" s="346" t="s">
        <v>288</v>
      </c>
      <c r="B101" s="649">
        <f>B95</f>
        <v>2018</v>
      </c>
      <c r="C101" s="649">
        <f>C95</f>
        <v>2018</v>
      </c>
      <c r="D101" s="649">
        <f>D95</f>
        <v>2019</v>
      </c>
      <c r="E101" s="342"/>
      <c r="F101" s="345"/>
      <c r="I101" s="346" t="s">
        <v>288</v>
      </c>
      <c r="J101" s="649">
        <f>J95</f>
        <v>2018</v>
      </c>
      <c r="K101" s="649">
        <f>K95</f>
        <v>2018</v>
      </c>
      <c r="L101" s="649">
        <f>L95</f>
        <v>2019</v>
      </c>
      <c r="M101" s="342"/>
      <c r="N101" s="345"/>
      <c r="Q101" s="346" t="s">
        <v>288</v>
      </c>
      <c r="R101" s="649">
        <f>R95</f>
        <v>2018</v>
      </c>
      <c r="S101" s="649">
        <f>S95</f>
        <v>2018</v>
      </c>
      <c r="T101" s="649">
        <f>T95</f>
        <v>2019</v>
      </c>
      <c r="U101" s="342"/>
      <c r="V101" s="345"/>
    </row>
    <row r="102" spans="1:22">
      <c r="A102" s="343">
        <v>0.5</v>
      </c>
      <c r="B102" s="319">
        <v>9.9999999999999995E-7</v>
      </c>
      <c r="C102" s="319">
        <v>9.9999999999999995E-7</v>
      </c>
      <c r="D102" s="319">
        <v>9.9999999999999995E-7</v>
      </c>
      <c r="E102" s="342">
        <f>0.5*(MAX(B102:D102)-MIN(B102:D102))</f>
        <v>0</v>
      </c>
      <c r="F102" s="348">
        <v>1E-4</v>
      </c>
      <c r="I102" s="343">
        <v>0.5</v>
      </c>
      <c r="J102" s="351">
        <v>9.9999999999999995E-7</v>
      </c>
      <c r="K102" s="351">
        <v>9.9999999999999995E-7</v>
      </c>
      <c r="L102" s="351">
        <v>9.9999999999999995E-7</v>
      </c>
      <c r="M102" s="342">
        <f>0.5*(MAX(J102:L102)-MIN(J102:L102))</f>
        <v>0</v>
      </c>
      <c r="N102" s="348">
        <v>1E-4</v>
      </c>
      <c r="Q102" s="343">
        <v>0.5</v>
      </c>
      <c r="R102" s="351">
        <v>9.9999999999999995E-7</v>
      </c>
      <c r="S102" s="351">
        <v>9.9999999999999995E-7</v>
      </c>
      <c r="T102" s="351">
        <v>9.9999999999999995E-7</v>
      </c>
      <c r="U102" s="342">
        <f>0.5*(MAX(R102:T102)-MIN(R102:T102))</f>
        <v>0</v>
      </c>
      <c r="V102" s="348">
        <v>1E-4</v>
      </c>
    </row>
    <row r="103" spans="1:22">
      <c r="A103" s="343">
        <v>1</v>
      </c>
      <c r="B103" s="319">
        <v>9.9999999999999995E-7</v>
      </c>
      <c r="C103" s="319">
        <v>9.9999999999999995E-7</v>
      </c>
      <c r="D103" s="319">
        <v>9.9999999999999995E-7</v>
      </c>
      <c r="E103" s="342">
        <f>0.5*(MAX(B103:D103)-MIN(B103:D103))</f>
        <v>0</v>
      </c>
      <c r="F103" s="348">
        <v>1E-4</v>
      </c>
      <c r="I103" s="343">
        <v>1</v>
      </c>
      <c r="J103" s="351">
        <v>9.9999999999999995E-7</v>
      </c>
      <c r="K103" s="351">
        <v>9.9999999999999995E-7</v>
      </c>
      <c r="L103" s="351">
        <v>9.9999999999999995E-7</v>
      </c>
      <c r="M103" s="342">
        <f>0.5*(MAX(J103:L103)-MIN(J103:L103))</f>
        <v>0</v>
      </c>
      <c r="N103" s="348">
        <v>1E-4</v>
      </c>
      <c r="Q103" s="343">
        <v>1</v>
      </c>
      <c r="R103" s="351">
        <v>9.9999999999999995E-7</v>
      </c>
      <c r="S103" s="351">
        <v>9.9999999999999995E-7</v>
      </c>
      <c r="T103" s="351">
        <v>9.9999999999999995E-7</v>
      </c>
      <c r="U103" s="342">
        <f>0.5*(MAX(R103:T103)-MIN(R103:T103))</f>
        <v>0</v>
      </c>
      <c r="V103" s="348">
        <v>1E-4</v>
      </c>
    </row>
    <row r="104" spans="1:22">
      <c r="A104" s="343">
        <v>2</v>
      </c>
      <c r="B104" s="319">
        <v>9.9999999999999995E-7</v>
      </c>
      <c r="C104" s="319">
        <v>9.9999999999999995E-7</v>
      </c>
      <c r="D104" s="319">
        <v>9.9999999999999995E-7</v>
      </c>
      <c r="E104" s="342">
        <f>0.5*(MAX(B104:D104)-MIN(B104:D104))</f>
        <v>0</v>
      </c>
      <c r="F104" s="348">
        <v>1E-4</v>
      </c>
      <c r="I104" s="343">
        <v>2</v>
      </c>
      <c r="J104" s="351">
        <v>9.9999999999999995E-7</v>
      </c>
      <c r="K104" s="351">
        <v>9.9999999999999995E-7</v>
      </c>
      <c r="L104" s="351">
        <v>9.9999999999999995E-7</v>
      </c>
      <c r="M104" s="342">
        <f>0.5*(MAX(J104:L104)-MIN(J104:L104))</f>
        <v>0</v>
      </c>
      <c r="N104" s="348">
        <v>1E-4</v>
      </c>
      <c r="Q104" s="343">
        <v>2</v>
      </c>
      <c r="R104" s="351">
        <v>9.9999999999999995E-7</v>
      </c>
      <c r="S104" s="351">
        <v>9.9999999999999995E-7</v>
      </c>
      <c r="T104" s="351">
        <v>9.9999999999999995E-7</v>
      </c>
      <c r="U104" s="342">
        <f>0.5*(MAX(R104:T104)-MIN(R104:T104))</f>
        <v>0</v>
      </c>
      <c r="V104" s="348">
        <v>1E-4</v>
      </c>
    </row>
    <row r="105" spans="1:22" ht="26">
      <c r="A105" s="330" t="s">
        <v>291</v>
      </c>
      <c r="B105" s="649" t="s">
        <v>75</v>
      </c>
      <c r="C105" s="649" t="s">
        <v>75</v>
      </c>
      <c r="D105" s="649"/>
      <c r="E105" s="341" t="s">
        <v>74</v>
      </c>
      <c r="F105" s="345" t="s">
        <v>176</v>
      </c>
      <c r="I105" s="330" t="s">
        <v>291</v>
      </c>
      <c r="J105" s="649" t="s">
        <v>75</v>
      </c>
      <c r="K105" s="649" t="s">
        <v>75</v>
      </c>
      <c r="L105" s="649"/>
      <c r="M105" s="341" t="s">
        <v>74</v>
      </c>
      <c r="N105" s="345" t="s">
        <v>176</v>
      </c>
      <c r="Q105" s="330" t="s">
        <v>291</v>
      </c>
      <c r="R105" s="341" t="s">
        <v>75</v>
      </c>
      <c r="S105" s="341" t="s">
        <v>75</v>
      </c>
      <c r="T105" s="341"/>
      <c r="U105" s="341" t="s">
        <v>74</v>
      </c>
      <c r="V105" s="345" t="s">
        <v>176</v>
      </c>
    </row>
    <row r="106" spans="1:22" ht="13">
      <c r="A106" s="330" t="s">
        <v>292</v>
      </c>
      <c r="B106" s="649">
        <f>B101</f>
        <v>2018</v>
      </c>
      <c r="C106" s="649">
        <f>C101</f>
        <v>2018</v>
      </c>
      <c r="D106" s="649">
        <f>D101</f>
        <v>2019</v>
      </c>
      <c r="E106" s="342"/>
      <c r="F106" s="345"/>
      <c r="I106" s="330" t="s">
        <v>292</v>
      </c>
      <c r="J106" s="649">
        <f>J101</f>
        <v>2018</v>
      </c>
      <c r="K106" s="649">
        <f>K101</f>
        <v>2018</v>
      </c>
      <c r="L106" s="649">
        <f>L101</f>
        <v>2019</v>
      </c>
      <c r="M106" s="342"/>
      <c r="N106" s="345"/>
      <c r="Q106" s="330" t="s">
        <v>292</v>
      </c>
      <c r="R106" s="649">
        <f>R101</f>
        <v>2018</v>
      </c>
      <c r="S106" s="649">
        <f>S101</f>
        <v>2018</v>
      </c>
      <c r="T106" s="649">
        <f>T101</f>
        <v>2019</v>
      </c>
      <c r="U106" s="342"/>
      <c r="V106" s="345"/>
    </row>
    <row r="107" spans="1:22">
      <c r="A107" s="343">
        <v>0.125</v>
      </c>
      <c r="B107" s="319">
        <v>9.9999999999999995E-7</v>
      </c>
      <c r="C107" s="319">
        <v>9.9999999999999995E-7</v>
      </c>
      <c r="D107" s="319">
        <v>9.9999999999999995E-7</v>
      </c>
      <c r="E107" s="342">
        <f>0.5*(MAX(B107:D107)-MIN(B107:D107))</f>
        <v>0</v>
      </c>
      <c r="F107" s="348">
        <v>2.5999999999999998E-5</v>
      </c>
      <c r="I107" s="343">
        <v>0.125</v>
      </c>
      <c r="J107" s="351">
        <v>9.9999999999999995E-7</v>
      </c>
      <c r="K107" s="351">
        <v>9.9999999999999995E-7</v>
      </c>
      <c r="L107" s="351">
        <v>9.9999999999999995E-7</v>
      </c>
      <c r="M107" s="342">
        <f>0.5*(MAX(J107:L107)-MIN(J107:L107))</f>
        <v>0</v>
      </c>
      <c r="N107" s="348">
        <v>2.5999999999999998E-5</v>
      </c>
      <c r="Q107" s="343">
        <v>0.125</v>
      </c>
      <c r="R107" s="351">
        <v>9.9999999999999995E-7</v>
      </c>
      <c r="S107" s="351">
        <v>9.9999999999999995E-7</v>
      </c>
      <c r="T107" s="351">
        <v>9.9999999999999995E-7</v>
      </c>
      <c r="U107" s="342">
        <f>0.5*(MAX(R107:T107)-MIN(R107:T107))</f>
        <v>0</v>
      </c>
      <c r="V107" s="348">
        <v>2.5999999999999998E-5</v>
      </c>
    </row>
    <row r="108" spans="1:22">
      <c r="A108" s="343">
        <v>2</v>
      </c>
      <c r="B108" s="319">
        <v>9.9999999999999995E-7</v>
      </c>
      <c r="C108" s="319">
        <v>9.9999999999999995E-7</v>
      </c>
      <c r="D108" s="319">
        <v>9.9999999999999995E-7</v>
      </c>
      <c r="E108" s="342">
        <f>0.5*(MAX(B108:D108)-MIN(B108:D108))</f>
        <v>0</v>
      </c>
      <c r="F108" s="348">
        <v>2.5999999999999998E-5</v>
      </c>
      <c r="I108" s="343">
        <v>2</v>
      </c>
      <c r="J108" s="351">
        <v>9.9999999999999995E-7</v>
      </c>
      <c r="K108" s="351">
        <v>9.9999999999999995E-7</v>
      </c>
      <c r="L108" s="351">
        <v>9.9999999999999995E-7</v>
      </c>
      <c r="M108" s="342">
        <f>0.5*(MAX(J108:L108)-MIN(J108:L108))</f>
        <v>0</v>
      </c>
      <c r="N108" s="348">
        <v>2.5999999999999998E-5</v>
      </c>
      <c r="Q108" s="343">
        <v>2</v>
      </c>
      <c r="R108" s="351">
        <v>9.9999999999999995E-7</v>
      </c>
      <c r="S108" s="351">
        <v>9.9999999999999995E-7</v>
      </c>
      <c r="T108" s="351">
        <v>9.9999999999999995E-7</v>
      </c>
      <c r="U108" s="342">
        <f>0.5*(MAX(R108:T108)-MIN(R108:T108))</f>
        <v>0</v>
      </c>
      <c r="V108" s="348">
        <v>2.5999999999999998E-5</v>
      </c>
    </row>
    <row r="109" spans="1:22" ht="26">
      <c r="A109" s="330" t="s">
        <v>294</v>
      </c>
      <c r="B109" s="649" t="s">
        <v>75</v>
      </c>
      <c r="C109" s="649" t="s">
        <v>75</v>
      </c>
      <c r="D109" s="649"/>
      <c r="E109" s="341" t="s">
        <v>74</v>
      </c>
      <c r="F109" s="345" t="s">
        <v>176</v>
      </c>
      <c r="I109" s="330" t="s">
        <v>294</v>
      </c>
      <c r="J109" s="649" t="s">
        <v>75</v>
      </c>
      <c r="K109" s="649" t="s">
        <v>75</v>
      </c>
      <c r="L109" s="649"/>
      <c r="M109" s="341" t="s">
        <v>74</v>
      </c>
      <c r="N109" s="345" t="s">
        <v>176</v>
      </c>
      <c r="Q109" s="330" t="s">
        <v>294</v>
      </c>
      <c r="R109" s="341" t="s">
        <v>75</v>
      </c>
      <c r="S109" s="341" t="s">
        <v>75</v>
      </c>
      <c r="T109" s="341"/>
      <c r="U109" s="341" t="s">
        <v>74</v>
      </c>
      <c r="V109" s="345" t="s">
        <v>176</v>
      </c>
    </row>
    <row r="110" spans="1:22" ht="13">
      <c r="A110" s="330" t="s">
        <v>292</v>
      </c>
      <c r="B110" s="649">
        <f>B106</f>
        <v>2018</v>
      </c>
      <c r="C110" s="649">
        <f>C106</f>
        <v>2018</v>
      </c>
      <c r="D110" s="649">
        <f>D106</f>
        <v>2019</v>
      </c>
      <c r="E110" s="342"/>
      <c r="F110" s="345"/>
      <c r="I110" s="330" t="s">
        <v>292</v>
      </c>
      <c r="J110" s="649">
        <f>J106</f>
        <v>2018</v>
      </c>
      <c r="K110" s="649">
        <f>K106</f>
        <v>2018</v>
      </c>
      <c r="L110" s="649">
        <f>L106</f>
        <v>2019</v>
      </c>
      <c r="M110" s="342"/>
      <c r="N110" s="345"/>
      <c r="Q110" s="330" t="s">
        <v>292</v>
      </c>
      <c r="R110" s="649">
        <f>R106</f>
        <v>2018</v>
      </c>
      <c r="S110" s="649">
        <f>S106</f>
        <v>2018</v>
      </c>
      <c r="T110" s="649">
        <f>T106</f>
        <v>2019</v>
      </c>
      <c r="U110" s="342"/>
      <c r="V110" s="345"/>
    </row>
    <row r="111" spans="1:22">
      <c r="A111" s="343">
        <v>10</v>
      </c>
      <c r="B111" s="319">
        <v>9.9999999999999995E-7</v>
      </c>
      <c r="C111" s="319">
        <v>9.9999999999999995E-7</v>
      </c>
      <c r="D111" s="319">
        <v>9.9999999999999995E-7</v>
      </c>
      <c r="E111" s="342">
        <f>0.5*(MAX(B111:D111)-MIN(B111:D111))</f>
        <v>0</v>
      </c>
      <c r="F111" s="348">
        <v>2.5999999999999998E-5</v>
      </c>
      <c r="I111" s="343">
        <v>10</v>
      </c>
      <c r="J111" s="351">
        <v>9.9999999999999995E-7</v>
      </c>
      <c r="K111" s="351">
        <v>9.9999999999999995E-7</v>
      </c>
      <c r="L111" s="351">
        <v>9.9999999999999995E-7</v>
      </c>
      <c r="M111" s="342">
        <f>0.5*(MAX(J111:L111)-MIN(J111:L111))</f>
        <v>0</v>
      </c>
      <c r="N111" s="348">
        <v>2.5999999999999998E-5</v>
      </c>
      <c r="Q111" s="343">
        <v>10</v>
      </c>
      <c r="R111" s="351">
        <v>9.9999999999999995E-7</v>
      </c>
      <c r="S111" s="351">
        <v>9.9999999999999995E-7</v>
      </c>
      <c r="T111" s="351">
        <v>9.9999999999999995E-7</v>
      </c>
      <c r="U111" s="342">
        <f>0.5*(MAX(R111:T111)-MIN(R111:T111))</f>
        <v>0</v>
      </c>
      <c r="V111" s="348">
        <v>2.5999999999999998E-5</v>
      </c>
    </row>
    <row r="112" spans="1:22" ht="13">
      <c r="A112" s="646" t="s">
        <v>180</v>
      </c>
      <c r="B112" s="646" t="s">
        <v>75</v>
      </c>
      <c r="C112" s="646" t="s">
        <v>75</v>
      </c>
      <c r="D112" s="646"/>
      <c r="E112" s="646" t="s">
        <v>74</v>
      </c>
      <c r="F112" s="648" t="s">
        <v>176</v>
      </c>
      <c r="I112" s="646" t="s">
        <v>180</v>
      </c>
      <c r="J112" s="646" t="s">
        <v>75</v>
      </c>
      <c r="K112" s="646" t="s">
        <v>75</v>
      </c>
      <c r="L112" s="646"/>
      <c r="M112" s="1403" t="s">
        <v>74</v>
      </c>
      <c r="N112" s="1422" t="s">
        <v>176</v>
      </c>
      <c r="Q112" s="646" t="s">
        <v>180</v>
      </c>
      <c r="R112" s="646" t="s">
        <v>75</v>
      </c>
      <c r="S112" s="646" t="s">
        <v>75</v>
      </c>
      <c r="T112" s="646"/>
      <c r="U112" s="1403" t="s">
        <v>74</v>
      </c>
      <c r="V112" s="1422" t="s">
        <v>176</v>
      </c>
    </row>
    <row r="113" spans="1:22" ht="14">
      <c r="A113" s="647" t="s">
        <v>338</v>
      </c>
      <c r="B113" s="646">
        <f>B110</f>
        <v>2018</v>
      </c>
      <c r="C113" s="646">
        <f>C110</f>
        <v>2018</v>
      </c>
      <c r="D113" s="646">
        <f>D110</f>
        <v>2019</v>
      </c>
      <c r="E113" s="646"/>
      <c r="F113" s="648"/>
      <c r="I113" s="647" t="s">
        <v>338</v>
      </c>
      <c r="J113" s="646">
        <f>J110</f>
        <v>2018</v>
      </c>
      <c r="K113" s="646">
        <f>K110</f>
        <v>2018</v>
      </c>
      <c r="L113" s="646">
        <f>L110</f>
        <v>2019</v>
      </c>
      <c r="M113" s="1403"/>
      <c r="N113" s="1422"/>
      <c r="Q113" s="647" t="s">
        <v>338</v>
      </c>
      <c r="R113" s="646">
        <f>R110</f>
        <v>2018</v>
      </c>
      <c r="S113" s="646">
        <f>S110</f>
        <v>2018</v>
      </c>
      <c r="T113" s="646">
        <f>T110</f>
        <v>2019</v>
      </c>
      <c r="U113" s="1403"/>
      <c r="V113" s="1422"/>
    </row>
    <row r="114" spans="1:22">
      <c r="A114" s="349">
        <v>15</v>
      </c>
      <c r="B114" s="319">
        <v>9.9999999999999995E-7</v>
      </c>
      <c r="C114" s="319">
        <v>9.9999999999999995E-7</v>
      </c>
      <c r="D114" s="319">
        <v>9.9999999999999995E-7</v>
      </c>
      <c r="E114" s="220">
        <f>0.5*(MAX(B114:D114)-MIN(B114:D114))</f>
        <v>0</v>
      </c>
      <c r="F114" s="350"/>
      <c r="I114" s="349">
        <v>15</v>
      </c>
      <c r="J114" s="351">
        <v>9.9999999999999995E-7</v>
      </c>
      <c r="K114" s="351">
        <v>9.9999999999999995E-7</v>
      </c>
      <c r="L114" s="351">
        <v>9.9999999999999995E-7</v>
      </c>
      <c r="M114" s="220">
        <f>0.5*(MAX(J114:L114)-MIN(J114:L114))</f>
        <v>0</v>
      </c>
      <c r="N114" s="350"/>
      <c r="Q114" s="349">
        <v>15</v>
      </c>
      <c r="R114" s="351">
        <v>9.9999999999999995E-7</v>
      </c>
      <c r="S114" s="351">
        <v>9.9999999999999995E-7</v>
      </c>
      <c r="T114" s="351">
        <v>9.9999999999999995E-7</v>
      </c>
      <c r="U114" s="220">
        <f>0.5*(MAX(R114:T114)-MIN(R114:T114))</f>
        <v>0</v>
      </c>
      <c r="V114" s="350"/>
    </row>
    <row r="115" spans="1:22">
      <c r="A115" s="56">
        <v>30</v>
      </c>
      <c r="B115" s="319">
        <v>9.9999999999999995E-7</v>
      </c>
      <c r="C115" s="319">
        <v>9.9999999999999995E-7</v>
      </c>
      <c r="D115" s="319">
        <v>9.9999999999999995E-7</v>
      </c>
      <c r="E115" s="220">
        <f>0.5*(MAX(B115:D115)-MIN(B115:D115))</f>
        <v>0</v>
      </c>
      <c r="F115" s="45">
        <v>1.1999999999999999E-3</v>
      </c>
      <c r="I115" s="56">
        <v>30</v>
      </c>
      <c r="J115" s="351">
        <v>9.9999999999999995E-7</v>
      </c>
      <c r="K115" s="351">
        <v>9.9999999999999995E-7</v>
      </c>
      <c r="L115" s="351">
        <v>9.9999999999999995E-7</v>
      </c>
      <c r="M115" s="220">
        <f>0.5*(MAX(J115:L115)-MIN(J115:L115))</f>
        <v>0</v>
      </c>
      <c r="N115" s="45">
        <v>1.1999999999999999E-3</v>
      </c>
      <c r="Q115" s="56">
        <v>30</v>
      </c>
      <c r="R115" s="351">
        <v>9.9999999999999995E-7</v>
      </c>
      <c r="S115" s="351">
        <v>9.9999999999999995E-7</v>
      </c>
      <c r="T115" s="351">
        <v>9.9999999999999995E-7</v>
      </c>
      <c r="U115" s="220">
        <f>0.5*(MAX(R115:T115)-MIN(R115:T115))</f>
        <v>0</v>
      </c>
      <c r="V115" s="45">
        <v>1.1999999999999999E-3</v>
      </c>
    </row>
    <row r="116" spans="1:22">
      <c r="A116" s="56">
        <v>60</v>
      </c>
      <c r="B116" s="319">
        <v>9.9999999999999995E-7</v>
      </c>
      <c r="C116" s="319">
        <v>9.9999999999999995E-7</v>
      </c>
      <c r="D116" s="319">
        <v>9.9999999999999995E-7</v>
      </c>
      <c r="E116" s="220">
        <f>0.5*(MAX(B116:D116)-MIN(B116:D116))</f>
        <v>0</v>
      </c>
      <c r="F116" s="45" t="s">
        <v>178</v>
      </c>
      <c r="I116" s="56">
        <v>60</v>
      </c>
      <c r="J116" s="351">
        <v>9.9999999999999995E-7</v>
      </c>
      <c r="K116" s="351">
        <v>9.9999999999999995E-7</v>
      </c>
      <c r="L116" s="351">
        <v>9.9999999999999995E-7</v>
      </c>
      <c r="M116" s="220">
        <f>0.5*(MAX(J116:L116)-MIN(J116:L116))</f>
        <v>0</v>
      </c>
      <c r="N116" s="45" t="s">
        <v>178</v>
      </c>
      <c r="Q116" s="56">
        <v>60</v>
      </c>
      <c r="R116" s="351">
        <v>9.9999999999999995E-7</v>
      </c>
      <c r="S116" s="351">
        <v>9.9999999999999995E-7</v>
      </c>
      <c r="T116" s="351">
        <v>9.9999999999999995E-7</v>
      </c>
      <c r="U116" s="220">
        <f>0.5*(MAX(R116:T116)-MIN(R116:T116))</f>
        <v>0</v>
      </c>
      <c r="V116" s="45" t="s">
        <v>178</v>
      </c>
    </row>
    <row r="117" spans="1:22">
      <c r="A117" s="56">
        <v>120</v>
      </c>
      <c r="B117" s="319">
        <v>9.9999999999999995E-7</v>
      </c>
      <c r="C117" s="319">
        <v>9.9999999999999995E-7</v>
      </c>
      <c r="D117" s="319">
        <v>9.9999999999999995E-7</v>
      </c>
      <c r="E117" s="220">
        <f>0.5*(MAX(B117:D117)-MIN(B117:D117))</f>
        <v>0</v>
      </c>
      <c r="F117" s="45" t="s">
        <v>179</v>
      </c>
      <c r="I117" s="56">
        <v>120</v>
      </c>
      <c r="J117" s="351">
        <v>9.9999999999999995E-7</v>
      </c>
      <c r="K117" s="351">
        <v>9.9999999999999995E-7</v>
      </c>
      <c r="L117" s="351">
        <v>9.9999999999999995E-7</v>
      </c>
      <c r="M117" s="220">
        <f>0.5*(MAX(J117:L117)-MIN(J117:L117))</f>
        <v>0</v>
      </c>
      <c r="N117" s="45" t="s">
        <v>179</v>
      </c>
      <c r="Q117" s="56">
        <v>120</v>
      </c>
      <c r="R117" s="351">
        <v>9.9999999999999995E-7</v>
      </c>
      <c r="S117" s="351">
        <v>9.9999999999999995E-7</v>
      </c>
      <c r="T117" s="351">
        <v>9.9999999999999995E-7</v>
      </c>
      <c r="U117" s="220">
        <f>0.5*(MAX(R117:T117)-MIN(R117:T117))</f>
        <v>0</v>
      </c>
      <c r="V117" s="45" t="s">
        <v>179</v>
      </c>
    </row>
    <row r="118" spans="1:22">
      <c r="A118" s="56">
        <v>180</v>
      </c>
      <c r="B118" s="319">
        <v>9.9999999999999995E-7</v>
      </c>
      <c r="C118" s="319">
        <v>9.9999999999999995E-7</v>
      </c>
      <c r="D118" s="319">
        <v>9.9999999999999995E-7</v>
      </c>
      <c r="E118" s="220">
        <f>0.5*(MAX(B118:D118)-MIN(B118:D118))</f>
        <v>0</v>
      </c>
      <c r="F118" s="45" t="s">
        <v>62</v>
      </c>
      <c r="I118" s="56">
        <v>180</v>
      </c>
      <c r="J118" s="351">
        <v>9.9999999999999995E-7</v>
      </c>
      <c r="K118" s="351">
        <v>9.9999999999999995E-7</v>
      </c>
      <c r="L118" s="351">
        <v>9.9999999999999995E-7</v>
      </c>
      <c r="M118" s="220">
        <f>0.5*(MAX(J118:L118)-MIN(J118:L118))</f>
        <v>0</v>
      </c>
      <c r="N118" s="45" t="s">
        <v>62</v>
      </c>
      <c r="Q118" s="56">
        <v>180</v>
      </c>
      <c r="R118" s="351">
        <v>9.9999999999999995E-7</v>
      </c>
      <c r="S118" s="351">
        <v>9.9999999999999995E-7</v>
      </c>
      <c r="T118" s="351">
        <v>9.9999999999999995E-7</v>
      </c>
      <c r="U118" s="220">
        <f>0.5*(MAX(R118:T118)-MIN(R118:T118))</f>
        <v>0</v>
      </c>
      <c r="V118" s="45" t="s">
        <v>62</v>
      </c>
    </row>
    <row r="121" spans="1:22" ht="28">
      <c r="A121" s="327" t="s">
        <v>301</v>
      </c>
      <c r="I121" s="328" t="s">
        <v>302</v>
      </c>
      <c r="Q121" s="329" t="s">
        <v>303</v>
      </c>
    </row>
    <row r="122" spans="1:22" ht="15.75" customHeight="1">
      <c r="A122" s="1414" t="s">
        <v>175</v>
      </c>
      <c r="B122" s="1414"/>
      <c r="C122" s="1414"/>
      <c r="D122" s="1414"/>
      <c r="E122" s="649" t="s">
        <v>74</v>
      </c>
      <c r="F122" s="650" t="s">
        <v>176</v>
      </c>
      <c r="I122" s="1414" t="s">
        <v>175</v>
      </c>
      <c r="J122" s="1414"/>
      <c r="K122" s="1414"/>
      <c r="L122" s="1414"/>
      <c r="M122" s="1415" t="s">
        <v>74</v>
      </c>
      <c r="N122" s="1417" t="s">
        <v>176</v>
      </c>
      <c r="Q122" s="1414" t="s">
        <v>175</v>
      </c>
      <c r="R122" s="1414"/>
      <c r="S122" s="1414"/>
      <c r="T122" s="1414"/>
      <c r="U122" s="1415" t="s">
        <v>74</v>
      </c>
      <c r="V122" s="1417" t="s">
        <v>176</v>
      </c>
    </row>
    <row r="123" spans="1:22" ht="13">
      <c r="A123" s="649" t="s">
        <v>177</v>
      </c>
      <c r="B123" s="1415" t="s">
        <v>75</v>
      </c>
      <c r="C123" s="1415"/>
      <c r="D123" s="1415"/>
      <c r="E123" s="649"/>
      <c r="F123" s="650"/>
      <c r="I123" s="649" t="s">
        <v>177</v>
      </c>
      <c r="J123" s="1415" t="s">
        <v>75</v>
      </c>
      <c r="K123" s="1415"/>
      <c r="L123" s="1415"/>
      <c r="M123" s="1415"/>
      <c r="N123" s="1417"/>
      <c r="Q123" s="649" t="s">
        <v>177</v>
      </c>
      <c r="R123" s="1415" t="s">
        <v>75</v>
      </c>
      <c r="S123" s="1415"/>
      <c r="T123" s="1415"/>
      <c r="U123" s="1415"/>
      <c r="V123" s="1417"/>
    </row>
    <row r="124" spans="1:22" ht="14">
      <c r="A124" s="647" t="s">
        <v>111</v>
      </c>
      <c r="B124" s="649">
        <v>2018</v>
      </c>
      <c r="C124" s="649">
        <v>2018</v>
      </c>
      <c r="D124" s="649">
        <v>2019</v>
      </c>
      <c r="E124" s="649"/>
      <c r="F124" s="650"/>
      <c r="I124" s="647" t="s">
        <v>111</v>
      </c>
      <c r="J124" s="649">
        <v>2018</v>
      </c>
      <c r="K124" s="649">
        <v>2018</v>
      </c>
      <c r="L124" s="649">
        <v>2019</v>
      </c>
      <c r="M124" s="1415"/>
      <c r="N124" s="1417"/>
      <c r="Q124" s="647" t="s">
        <v>111</v>
      </c>
      <c r="R124" s="649">
        <v>2018</v>
      </c>
      <c r="S124" s="649">
        <v>2018</v>
      </c>
      <c r="T124" s="649">
        <v>2019</v>
      </c>
      <c r="U124" s="1415"/>
      <c r="V124" s="1417"/>
    </row>
    <row r="125" spans="1:22">
      <c r="A125" s="343">
        <v>0.5</v>
      </c>
      <c r="B125" s="319" t="s">
        <v>62</v>
      </c>
      <c r="C125" s="319" t="s">
        <v>62</v>
      </c>
      <c r="D125" s="351">
        <v>9.9999999999999995E-7</v>
      </c>
      <c r="E125" s="342">
        <f>0.5*(MAX(B125:D125)-MIN(B125:D125))</f>
        <v>0</v>
      </c>
      <c r="F125" s="331">
        <v>5.4999999999999997E-3</v>
      </c>
      <c r="I125" s="343">
        <v>0.5</v>
      </c>
      <c r="J125" s="319" t="s">
        <v>62</v>
      </c>
      <c r="K125" s="319" t="s">
        <v>62</v>
      </c>
      <c r="L125" s="351">
        <v>9.9999999999999995E-7</v>
      </c>
      <c r="M125" s="342">
        <f>0.5*(MAX(J125:L125)-MIN(J125:L125))</f>
        <v>0</v>
      </c>
      <c r="N125" s="331">
        <v>5.4999999999999997E-3</v>
      </c>
      <c r="Q125" s="343">
        <v>0.5</v>
      </c>
      <c r="R125" s="319" t="s">
        <v>62</v>
      </c>
      <c r="S125" s="319" t="s">
        <v>62</v>
      </c>
      <c r="T125" s="351">
        <v>9.9999999999999995E-7</v>
      </c>
      <c r="U125" s="342">
        <f>0.5*(MAX(R125:T125)-MIN(R125:T125))</f>
        <v>0</v>
      </c>
      <c r="V125" s="331">
        <v>5.4999999999999997E-3</v>
      </c>
    </row>
    <row r="126" spans="1:22">
      <c r="A126" s="343">
        <v>1</v>
      </c>
      <c r="B126" s="319" t="s">
        <v>62</v>
      </c>
      <c r="C126" s="319" t="s">
        <v>62</v>
      </c>
      <c r="D126" s="351">
        <v>9.9999999999999995E-7</v>
      </c>
      <c r="E126" s="342">
        <f>0.5*(MAX(B126:D126)-MIN(B126:D126))</f>
        <v>0</v>
      </c>
      <c r="F126" s="331" t="s">
        <v>178</v>
      </c>
      <c r="I126" s="343">
        <v>1</v>
      </c>
      <c r="J126" s="319" t="s">
        <v>62</v>
      </c>
      <c r="K126" s="319" t="s">
        <v>62</v>
      </c>
      <c r="L126" s="351">
        <v>9.9999999999999995E-7</v>
      </c>
      <c r="M126" s="342">
        <f>0.5*(MAX(J126:L126)-MIN(J126:L126))</f>
        <v>0</v>
      </c>
      <c r="N126" s="331" t="s">
        <v>178</v>
      </c>
      <c r="Q126" s="343">
        <v>1</v>
      </c>
      <c r="R126" s="319" t="s">
        <v>62</v>
      </c>
      <c r="S126" s="319" t="s">
        <v>62</v>
      </c>
      <c r="T126" s="351">
        <v>9.9999999999999995E-7</v>
      </c>
      <c r="U126" s="342">
        <f>0.5*(MAX(R126:T126)-MIN(R126:T126))</f>
        <v>0</v>
      </c>
      <c r="V126" s="331" t="s">
        <v>178</v>
      </c>
    </row>
    <row r="127" spans="1:22">
      <c r="A127" s="343">
        <v>2</v>
      </c>
      <c r="B127" s="319" t="s">
        <v>62</v>
      </c>
      <c r="C127" s="319" t="s">
        <v>62</v>
      </c>
      <c r="D127" s="351">
        <v>9.9999999999999995E-7</v>
      </c>
      <c r="E127" s="342">
        <f>0.5*(MAX(B127:D127)-MIN(B127:D127))</f>
        <v>0</v>
      </c>
      <c r="F127" s="331" t="s">
        <v>179</v>
      </c>
      <c r="I127" s="343">
        <v>2</v>
      </c>
      <c r="J127" s="319" t="s">
        <v>62</v>
      </c>
      <c r="K127" s="319" t="s">
        <v>62</v>
      </c>
      <c r="L127" s="351">
        <v>9.9999999999999995E-7</v>
      </c>
      <c r="M127" s="342">
        <f>0.5*(MAX(J127:L127)-MIN(J127:L127))</f>
        <v>0</v>
      </c>
      <c r="N127" s="331" t="s">
        <v>179</v>
      </c>
      <c r="Q127" s="343">
        <v>2</v>
      </c>
      <c r="R127" s="319" t="s">
        <v>62</v>
      </c>
      <c r="S127" s="319" t="s">
        <v>62</v>
      </c>
      <c r="T127" s="351">
        <v>9.9999999999999995E-7</v>
      </c>
      <c r="U127" s="342">
        <f>0.5*(MAX(R127:T127)-MIN(R127:T127))</f>
        <v>0</v>
      </c>
      <c r="V127" s="331" t="s">
        <v>179</v>
      </c>
    </row>
    <row r="128" spans="1:22">
      <c r="A128" s="343">
        <v>3</v>
      </c>
      <c r="B128" s="319" t="s">
        <v>62</v>
      </c>
      <c r="C128" s="319" t="s">
        <v>62</v>
      </c>
      <c r="D128" s="351">
        <v>9.9999999999999995E-7</v>
      </c>
      <c r="E128" s="342">
        <f>0.5*(MAX(B128:D128)-MIN(B128:D128))</f>
        <v>0</v>
      </c>
      <c r="F128" s="331"/>
      <c r="I128" s="343">
        <v>3</v>
      </c>
      <c r="J128" s="319" t="s">
        <v>62</v>
      </c>
      <c r="K128" s="319" t="s">
        <v>62</v>
      </c>
      <c r="L128" s="351">
        <v>9.9999999999999995E-7</v>
      </c>
      <c r="M128" s="342">
        <f>0.5*(MAX(J128:L128)-MIN(J128:L128))</f>
        <v>0</v>
      </c>
      <c r="N128" s="331"/>
      <c r="Q128" s="343">
        <v>3</v>
      </c>
      <c r="R128" s="319" t="s">
        <v>62</v>
      </c>
      <c r="S128" s="319" t="s">
        <v>62</v>
      </c>
      <c r="T128" s="351">
        <v>9.9999999999999995E-7</v>
      </c>
      <c r="U128" s="342">
        <f>0.5*(MAX(R128:T128)-MIN(R128:T128))</f>
        <v>0</v>
      </c>
      <c r="V128" s="331"/>
    </row>
    <row r="129" spans="1:22" ht="26">
      <c r="A129" s="330" t="s">
        <v>287</v>
      </c>
      <c r="B129" s="649" t="s">
        <v>75</v>
      </c>
      <c r="C129" s="649" t="s">
        <v>75</v>
      </c>
      <c r="D129" s="649"/>
      <c r="E129" s="341" t="s">
        <v>74</v>
      </c>
      <c r="F129" s="345" t="s">
        <v>176</v>
      </c>
      <c r="I129" s="330" t="s">
        <v>287</v>
      </c>
      <c r="J129" s="649" t="s">
        <v>75</v>
      </c>
      <c r="K129" s="649" t="s">
        <v>75</v>
      </c>
      <c r="L129" s="649"/>
      <c r="M129" s="341" t="s">
        <v>74</v>
      </c>
      <c r="N129" s="345" t="s">
        <v>176</v>
      </c>
      <c r="Q129" s="330" t="s">
        <v>287</v>
      </c>
      <c r="R129" s="649" t="s">
        <v>75</v>
      </c>
      <c r="S129" s="649" t="s">
        <v>75</v>
      </c>
      <c r="T129" s="649"/>
      <c r="U129" s="341" t="s">
        <v>74</v>
      </c>
      <c r="V129" s="345" t="s">
        <v>176</v>
      </c>
    </row>
    <row r="130" spans="1:22" ht="13">
      <c r="A130" s="346" t="s">
        <v>288</v>
      </c>
      <c r="B130" s="649">
        <f>B124</f>
        <v>2018</v>
      </c>
      <c r="C130" s="649">
        <f>C124</f>
        <v>2018</v>
      </c>
      <c r="D130" s="649">
        <f>D124</f>
        <v>2019</v>
      </c>
      <c r="E130" s="342"/>
      <c r="F130" s="345"/>
      <c r="I130" s="346" t="s">
        <v>288</v>
      </c>
      <c r="J130" s="649">
        <f>J124</f>
        <v>2018</v>
      </c>
      <c r="K130" s="649">
        <f>K124</f>
        <v>2018</v>
      </c>
      <c r="L130" s="649">
        <f>L124</f>
        <v>2019</v>
      </c>
      <c r="M130" s="342"/>
      <c r="N130" s="345"/>
      <c r="Q130" s="346" t="s">
        <v>288</v>
      </c>
      <c r="R130" s="649">
        <f>R124</f>
        <v>2018</v>
      </c>
      <c r="S130" s="649">
        <f>S124</f>
        <v>2018</v>
      </c>
      <c r="T130" s="649">
        <f>T124</f>
        <v>2019</v>
      </c>
      <c r="U130" s="342"/>
      <c r="V130" s="345"/>
    </row>
    <row r="131" spans="1:22">
      <c r="A131" s="343">
        <v>0.5</v>
      </c>
      <c r="B131" s="351">
        <v>9.9999999999999995E-7</v>
      </c>
      <c r="C131" s="351">
        <v>9.9999999999999995E-7</v>
      </c>
      <c r="D131" s="351">
        <v>9.9999999999999995E-7</v>
      </c>
      <c r="E131" s="342">
        <f>0.5*(MAX(B131:D131)-MIN(B131:D131))</f>
        <v>0</v>
      </c>
      <c r="F131" s="348">
        <v>1E-4</v>
      </c>
      <c r="I131" s="343">
        <v>0.5</v>
      </c>
      <c r="J131" s="351">
        <v>9.9999999999999995E-7</v>
      </c>
      <c r="K131" s="351">
        <v>9.9999999999999995E-7</v>
      </c>
      <c r="L131" s="351">
        <v>9.9999999999999995E-7</v>
      </c>
      <c r="M131" s="342">
        <f>0.5*(MAX(J131:L131)-MIN(J131:L131))</f>
        <v>0</v>
      </c>
      <c r="N131" s="348">
        <v>1E-4</v>
      </c>
      <c r="Q131" s="343">
        <v>0.5</v>
      </c>
      <c r="R131" s="351">
        <v>9.9999999999999995E-7</v>
      </c>
      <c r="S131" s="351">
        <v>9.9999999999999995E-7</v>
      </c>
      <c r="T131" s="351">
        <v>9.9999999999999995E-7</v>
      </c>
      <c r="U131" s="342">
        <f>0.5*(MAX(R131:T131)-MIN(R131:T131))</f>
        <v>0</v>
      </c>
      <c r="V131" s="348">
        <v>1E-4</v>
      </c>
    </row>
    <row r="132" spans="1:22">
      <c r="A132" s="343">
        <v>1</v>
      </c>
      <c r="B132" s="351">
        <v>9.9999999999999995E-7</v>
      </c>
      <c r="C132" s="351">
        <v>9.9999999999999995E-7</v>
      </c>
      <c r="D132" s="351">
        <v>9.9999999999999995E-7</v>
      </c>
      <c r="E132" s="342">
        <f>0.5*(MAX(B132:D132)-MIN(B132:D132))</f>
        <v>0</v>
      </c>
      <c r="F132" s="348">
        <v>1E-4</v>
      </c>
      <c r="I132" s="343">
        <v>1</v>
      </c>
      <c r="J132" s="351">
        <v>9.9999999999999995E-7</v>
      </c>
      <c r="K132" s="351">
        <v>9.9999999999999995E-7</v>
      </c>
      <c r="L132" s="351">
        <v>9.9999999999999995E-7</v>
      </c>
      <c r="M132" s="342">
        <f>0.5*(MAX(J132:L132)-MIN(J132:L132))</f>
        <v>0</v>
      </c>
      <c r="N132" s="348">
        <v>1E-4</v>
      </c>
      <c r="Q132" s="343">
        <v>1</v>
      </c>
      <c r="R132" s="351">
        <v>9.9999999999999995E-7</v>
      </c>
      <c r="S132" s="351">
        <v>9.9999999999999995E-7</v>
      </c>
      <c r="T132" s="351">
        <v>9.9999999999999995E-7</v>
      </c>
      <c r="U132" s="342">
        <f>0.5*(MAX(R132:T132)-MIN(R132:T132))</f>
        <v>0</v>
      </c>
      <c r="V132" s="348">
        <v>1E-4</v>
      </c>
    </row>
    <row r="133" spans="1:22">
      <c r="A133" s="343">
        <v>2</v>
      </c>
      <c r="B133" s="351">
        <v>9.9999999999999995E-7</v>
      </c>
      <c r="C133" s="351">
        <v>9.9999999999999995E-7</v>
      </c>
      <c r="D133" s="351">
        <v>9.9999999999999995E-7</v>
      </c>
      <c r="E133" s="342">
        <f>0.5*(MAX(B133:D133)-MIN(B133:D133))</f>
        <v>0</v>
      </c>
      <c r="F133" s="348">
        <v>1E-4</v>
      </c>
      <c r="I133" s="343">
        <v>2</v>
      </c>
      <c r="J133" s="351">
        <v>9.9999999999999995E-7</v>
      </c>
      <c r="K133" s="351">
        <v>9.9999999999999995E-7</v>
      </c>
      <c r="L133" s="351">
        <v>9.9999999999999995E-7</v>
      </c>
      <c r="M133" s="342">
        <f>0.5*(MAX(J133:L133)-MIN(J133:L133))</f>
        <v>0</v>
      </c>
      <c r="N133" s="348">
        <v>1E-4</v>
      </c>
      <c r="Q133" s="343">
        <v>2</v>
      </c>
      <c r="R133" s="351">
        <v>9.9999999999999995E-7</v>
      </c>
      <c r="S133" s="351">
        <v>9.9999999999999995E-7</v>
      </c>
      <c r="T133" s="351">
        <v>9.9999999999999995E-7</v>
      </c>
      <c r="U133" s="342">
        <f>0.5*(MAX(R133:T133)-MIN(R133:T133))</f>
        <v>0</v>
      </c>
      <c r="V133" s="348">
        <v>1E-4</v>
      </c>
    </row>
    <row r="134" spans="1:22" ht="26">
      <c r="A134" s="330" t="s">
        <v>291</v>
      </c>
      <c r="B134" s="649" t="s">
        <v>75</v>
      </c>
      <c r="C134" s="649" t="s">
        <v>75</v>
      </c>
      <c r="D134" s="649"/>
      <c r="E134" s="341" t="s">
        <v>74</v>
      </c>
      <c r="F134" s="345" t="s">
        <v>176</v>
      </c>
      <c r="I134" s="330" t="s">
        <v>291</v>
      </c>
      <c r="J134" s="649" t="s">
        <v>75</v>
      </c>
      <c r="K134" s="649" t="s">
        <v>75</v>
      </c>
      <c r="L134" s="649"/>
      <c r="M134" s="341" t="s">
        <v>74</v>
      </c>
      <c r="N134" s="345" t="s">
        <v>176</v>
      </c>
      <c r="Q134" s="330" t="s">
        <v>291</v>
      </c>
      <c r="R134" s="649" t="s">
        <v>75</v>
      </c>
      <c r="S134" s="649" t="s">
        <v>75</v>
      </c>
      <c r="T134" s="649"/>
      <c r="U134" s="341" t="s">
        <v>74</v>
      </c>
      <c r="V134" s="345" t="s">
        <v>176</v>
      </c>
    </row>
    <row r="135" spans="1:22" ht="13">
      <c r="A135" s="330" t="s">
        <v>292</v>
      </c>
      <c r="B135" s="649">
        <f>B130</f>
        <v>2018</v>
      </c>
      <c r="C135" s="649">
        <f>C130</f>
        <v>2018</v>
      </c>
      <c r="D135" s="649">
        <f>D130</f>
        <v>2019</v>
      </c>
      <c r="E135" s="342"/>
      <c r="F135" s="345"/>
      <c r="I135" s="330" t="s">
        <v>292</v>
      </c>
      <c r="J135" s="649">
        <f>J130</f>
        <v>2018</v>
      </c>
      <c r="K135" s="649">
        <f>K130</f>
        <v>2018</v>
      </c>
      <c r="L135" s="649">
        <f>L130</f>
        <v>2019</v>
      </c>
      <c r="M135" s="342"/>
      <c r="N135" s="345"/>
      <c r="Q135" s="330" t="s">
        <v>292</v>
      </c>
      <c r="R135" s="649">
        <f>R130</f>
        <v>2018</v>
      </c>
      <c r="S135" s="649">
        <f>S130</f>
        <v>2018</v>
      </c>
      <c r="T135" s="649">
        <f>T130</f>
        <v>2019</v>
      </c>
      <c r="U135" s="342"/>
      <c r="V135" s="345"/>
    </row>
    <row r="136" spans="1:22">
      <c r="A136" s="343">
        <v>0.125</v>
      </c>
      <c r="B136" s="351">
        <v>9.9999999999999995E-7</v>
      </c>
      <c r="C136" s="351">
        <v>9.9999999999999995E-7</v>
      </c>
      <c r="D136" s="351">
        <v>9.9999999999999995E-7</v>
      </c>
      <c r="E136" s="342">
        <f>0.5*(MAX(B136:D136)-MIN(B136:D136))</f>
        <v>0</v>
      </c>
      <c r="F136" s="348">
        <v>2.5999999999999998E-5</v>
      </c>
      <c r="I136" s="343">
        <v>0.125</v>
      </c>
      <c r="J136" s="351">
        <v>9.9999999999999995E-7</v>
      </c>
      <c r="K136" s="351">
        <v>9.9999999999999995E-7</v>
      </c>
      <c r="L136" s="351">
        <v>9.9999999999999995E-7</v>
      </c>
      <c r="M136" s="342">
        <f>0.5*(MAX(J136:L136)-MIN(J136:L136))</f>
        <v>0</v>
      </c>
      <c r="N136" s="348">
        <v>2.5999999999999998E-5</v>
      </c>
      <c r="Q136" s="343">
        <v>0.125</v>
      </c>
      <c r="R136" s="351">
        <v>9.9999999999999995E-7</v>
      </c>
      <c r="S136" s="351">
        <v>9.9999999999999995E-7</v>
      </c>
      <c r="T136" s="351">
        <v>9.9999999999999995E-7</v>
      </c>
      <c r="U136" s="342">
        <f>0.5*(MAX(R136:T136)-MIN(R136:T136))</f>
        <v>0</v>
      </c>
      <c r="V136" s="348">
        <v>2.5999999999999998E-5</v>
      </c>
    </row>
    <row r="137" spans="1:22">
      <c r="A137" s="343">
        <v>2</v>
      </c>
      <c r="B137" s="351">
        <v>9.9999999999999995E-7</v>
      </c>
      <c r="C137" s="351">
        <v>9.9999999999999995E-7</v>
      </c>
      <c r="D137" s="351">
        <v>9.9999999999999995E-7</v>
      </c>
      <c r="E137" s="342">
        <f>0.5*(MAX(B137:D137)-MIN(B137:D137))</f>
        <v>0</v>
      </c>
      <c r="F137" s="348">
        <v>2.5999999999999998E-5</v>
      </c>
      <c r="I137" s="343">
        <v>2</v>
      </c>
      <c r="J137" s="351">
        <v>9.9999999999999995E-7</v>
      </c>
      <c r="K137" s="351">
        <v>9.9999999999999995E-7</v>
      </c>
      <c r="L137" s="351">
        <v>9.9999999999999995E-7</v>
      </c>
      <c r="M137" s="342">
        <f>0.5*(MAX(J137:L137)-MIN(J137:L137))</f>
        <v>0</v>
      </c>
      <c r="N137" s="348">
        <v>2.5999999999999998E-5</v>
      </c>
      <c r="Q137" s="343">
        <v>2</v>
      </c>
      <c r="R137" s="351">
        <v>9.9999999999999995E-7</v>
      </c>
      <c r="S137" s="351">
        <v>9.9999999999999995E-7</v>
      </c>
      <c r="T137" s="351">
        <v>9.9999999999999995E-7</v>
      </c>
      <c r="U137" s="342">
        <f>0.5*(MAX(R137:T137)-MIN(R137:T137))</f>
        <v>0</v>
      </c>
      <c r="V137" s="348">
        <v>2.5999999999999998E-5</v>
      </c>
    </row>
    <row r="138" spans="1:22" ht="26">
      <c r="A138" s="330" t="s">
        <v>294</v>
      </c>
      <c r="B138" s="649" t="s">
        <v>75</v>
      </c>
      <c r="C138" s="649" t="s">
        <v>75</v>
      </c>
      <c r="D138" s="649"/>
      <c r="E138" s="341" t="s">
        <v>74</v>
      </c>
      <c r="F138" s="345" t="s">
        <v>176</v>
      </c>
      <c r="I138" s="330" t="s">
        <v>294</v>
      </c>
      <c r="J138" s="649" t="s">
        <v>75</v>
      </c>
      <c r="K138" s="649" t="s">
        <v>75</v>
      </c>
      <c r="L138" s="649"/>
      <c r="M138" s="341" t="s">
        <v>74</v>
      </c>
      <c r="N138" s="345" t="s">
        <v>176</v>
      </c>
      <c r="Q138" s="330" t="s">
        <v>294</v>
      </c>
      <c r="R138" s="649" t="s">
        <v>75</v>
      </c>
      <c r="S138" s="649" t="s">
        <v>75</v>
      </c>
      <c r="T138" s="649"/>
      <c r="U138" s="341" t="s">
        <v>74</v>
      </c>
      <c r="V138" s="345" t="s">
        <v>176</v>
      </c>
    </row>
    <row r="139" spans="1:22" ht="13">
      <c r="A139" s="330" t="s">
        <v>292</v>
      </c>
      <c r="B139" s="649">
        <f>B135</f>
        <v>2018</v>
      </c>
      <c r="C139" s="649">
        <f>C135</f>
        <v>2018</v>
      </c>
      <c r="D139" s="649">
        <f>D135</f>
        <v>2019</v>
      </c>
      <c r="E139" s="342"/>
      <c r="F139" s="345"/>
      <c r="I139" s="330" t="s">
        <v>292</v>
      </c>
      <c r="J139" s="649">
        <f>J135</f>
        <v>2018</v>
      </c>
      <c r="K139" s="649">
        <f>K135</f>
        <v>2018</v>
      </c>
      <c r="L139" s="649">
        <f>L135</f>
        <v>2019</v>
      </c>
      <c r="M139" s="342"/>
      <c r="N139" s="345"/>
      <c r="Q139" s="330" t="s">
        <v>292</v>
      </c>
      <c r="R139" s="649">
        <f>R135</f>
        <v>2018</v>
      </c>
      <c r="S139" s="649">
        <f>S135</f>
        <v>2018</v>
      </c>
      <c r="T139" s="649">
        <f>T135</f>
        <v>2019</v>
      </c>
      <c r="U139" s="342"/>
      <c r="V139" s="345"/>
    </row>
    <row r="140" spans="1:22">
      <c r="A140" s="343">
        <v>10</v>
      </c>
      <c r="B140" s="351">
        <v>9.9999999999999995E-7</v>
      </c>
      <c r="C140" s="351">
        <v>9.9999999999999995E-7</v>
      </c>
      <c r="D140" s="351">
        <v>9.9999999999999995E-7</v>
      </c>
      <c r="E140" s="342">
        <f>0.5*(MAX(B140:D140)-MIN(B140:D140))</f>
        <v>0</v>
      </c>
      <c r="F140" s="348">
        <v>2.5999999999999998E-5</v>
      </c>
      <c r="I140" s="343">
        <v>10</v>
      </c>
      <c r="J140" s="351">
        <v>9.9999999999999995E-7</v>
      </c>
      <c r="K140" s="351">
        <v>9.9999999999999995E-7</v>
      </c>
      <c r="L140" s="351">
        <v>9.9999999999999995E-7</v>
      </c>
      <c r="M140" s="342">
        <f>0.5*(MAX(J140:L140)-MIN(J140:L140))</f>
        <v>0</v>
      </c>
      <c r="N140" s="348">
        <v>2.5999999999999998E-5</v>
      </c>
      <c r="Q140" s="343">
        <v>10</v>
      </c>
      <c r="R140" s="351">
        <v>9.9999999999999995E-7</v>
      </c>
      <c r="S140" s="351">
        <v>9.9999999999999995E-7</v>
      </c>
      <c r="T140" s="351">
        <v>9.9999999999999995E-7</v>
      </c>
      <c r="U140" s="342">
        <f>0.5*(MAX(R140:T140)-MIN(R140:T140))</f>
        <v>0</v>
      </c>
      <c r="V140" s="348">
        <v>2.5999999999999998E-5</v>
      </c>
    </row>
    <row r="141" spans="1:22" ht="13">
      <c r="A141" s="646" t="s">
        <v>180</v>
      </c>
      <c r="B141" s="646" t="s">
        <v>75</v>
      </c>
      <c r="C141" s="646" t="s">
        <v>75</v>
      </c>
      <c r="D141" s="646"/>
      <c r="E141" s="646" t="s">
        <v>74</v>
      </c>
      <c r="F141" s="648" t="s">
        <v>176</v>
      </c>
      <c r="I141" s="646" t="s">
        <v>180</v>
      </c>
      <c r="J141" s="646" t="s">
        <v>75</v>
      </c>
      <c r="K141" s="646" t="s">
        <v>75</v>
      </c>
      <c r="L141" s="646"/>
      <c r="M141" s="1403" t="s">
        <v>74</v>
      </c>
      <c r="N141" s="1422" t="s">
        <v>176</v>
      </c>
      <c r="Q141" s="646" t="s">
        <v>180</v>
      </c>
      <c r="R141" s="646" t="s">
        <v>75</v>
      </c>
      <c r="S141" s="646" t="s">
        <v>75</v>
      </c>
      <c r="T141" s="646"/>
      <c r="U141" s="1403" t="s">
        <v>74</v>
      </c>
      <c r="V141" s="1422" t="s">
        <v>176</v>
      </c>
    </row>
    <row r="142" spans="1:22" ht="14">
      <c r="A142" s="647" t="s">
        <v>338</v>
      </c>
      <c r="B142" s="646">
        <f>B139</f>
        <v>2018</v>
      </c>
      <c r="C142" s="646">
        <f>C139</f>
        <v>2018</v>
      </c>
      <c r="D142" s="646">
        <f>D139</f>
        <v>2019</v>
      </c>
      <c r="E142" s="646"/>
      <c r="F142" s="648"/>
      <c r="I142" s="647" t="s">
        <v>338</v>
      </c>
      <c r="J142" s="646">
        <f>J139</f>
        <v>2018</v>
      </c>
      <c r="K142" s="646">
        <f>K139</f>
        <v>2018</v>
      </c>
      <c r="L142" s="646">
        <f>L139</f>
        <v>2019</v>
      </c>
      <c r="M142" s="1403"/>
      <c r="N142" s="1422"/>
      <c r="Q142" s="647" t="s">
        <v>338</v>
      </c>
      <c r="R142" s="646">
        <f>R139</f>
        <v>2018</v>
      </c>
      <c r="S142" s="646">
        <f>S139</f>
        <v>2018</v>
      </c>
      <c r="T142" s="646">
        <f>T139</f>
        <v>2019</v>
      </c>
      <c r="U142" s="1403"/>
      <c r="V142" s="1422"/>
    </row>
    <row r="143" spans="1:22">
      <c r="A143" s="349">
        <v>15</v>
      </c>
      <c r="B143" s="351">
        <v>9.9999999999999995E-7</v>
      </c>
      <c r="C143" s="351">
        <v>9.9999999999999995E-7</v>
      </c>
      <c r="D143" s="351">
        <v>9.9999999999999995E-7</v>
      </c>
      <c r="E143" s="220">
        <f>0.5*(MAX(B143:D143)-MIN(B143:D143))</f>
        <v>0</v>
      </c>
      <c r="F143" s="350"/>
      <c r="I143" s="349">
        <v>15</v>
      </c>
      <c r="J143" s="351">
        <v>9.9999999999999995E-7</v>
      </c>
      <c r="K143" s="351">
        <v>9.9999999999999995E-7</v>
      </c>
      <c r="L143" s="351">
        <v>9.9999999999999995E-7</v>
      </c>
      <c r="M143" s="220">
        <f>0.5*(MAX(J143:L143)-MIN(J143:L143))</f>
        <v>0</v>
      </c>
      <c r="N143" s="350"/>
      <c r="Q143" s="349">
        <v>15</v>
      </c>
      <c r="R143" s="351">
        <v>9.9999999999999995E-7</v>
      </c>
      <c r="S143" s="351">
        <v>9.9999999999999995E-7</v>
      </c>
      <c r="T143" s="351">
        <v>9.9999999999999995E-7</v>
      </c>
      <c r="U143" s="220">
        <f>0.5*(MAX(R143:T143)-MIN(R143:T143))</f>
        <v>0</v>
      </c>
      <c r="V143" s="350"/>
    </row>
    <row r="144" spans="1:22">
      <c r="A144" s="56">
        <v>30</v>
      </c>
      <c r="B144" s="351">
        <v>9.9999999999999995E-7</v>
      </c>
      <c r="C144" s="351">
        <v>9.9999999999999995E-7</v>
      </c>
      <c r="D144" s="351">
        <v>9.9999999999999995E-7</v>
      </c>
      <c r="E144" s="220">
        <f>0.5*(MAX(B144:D144)-MIN(B144:D144))</f>
        <v>0</v>
      </c>
      <c r="F144" s="45">
        <v>1.1999999999999999E-3</v>
      </c>
      <c r="I144" s="56">
        <v>30</v>
      </c>
      <c r="J144" s="351">
        <v>9.9999999999999995E-7</v>
      </c>
      <c r="K144" s="351">
        <v>9.9999999999999995E-7</v>
      </c>
      <c r="L144" s="351">
        <v>9.9999999999999995E-7</v>
      </c>
      <c r="M144" s="220">
        <f>0.5*(MAX(J144:L144)-MIN(J144:L144))</f>
        <v>0</v>
      </c>
      <c r="N144" s="45">
        <v>1.1999999999999999E-3</v>
      </c>
      <c r="Q144" s="56">
        <v>30</v>
      </c>
      <c r="R144" s="351">
        <v>9.9999999999999995E-7</v>
      </c>
      <c r="S144" s="351">
        <v>9.9999999999999995E-7</v>
      </c>
      <c r="T144" s="351">
        <v>9.9999999999999995E-7</v>
      </c>
      <c r="U144" s="220">
        <f>0.5*(MAX(R144:T144)-MIN(R144:T144))</f>
        <v>0</v>
      </c>
      <c r="V144" s="45">
        <v>1.1999999999999999E-3</v>
      </c>
    </row>
    <row r="145" spans="1:22">
      <c r="A145" s="56">
        <v>60</v>
      </c>
      <c r="B145" s="351">
        <v>9.9999999999999995E-7</v>
      </c>
      <c r="C145" s="351">
        <v>9.9999999999999995E-7</v>
      </c>
      <c r="D145" s="351">
        <v>9.9999999999999995E-7</v>
      </c>
      <c r="E145" s="220">
        <f>0.5*(MAX(B145:D145)-MIN(B145:D145))</f>
        <v>0</v>
      </c>
      <c r="F145" s="45" t="s">
        <v>178</v>
      </c>
      <c r="I145" s="56">
        <v>60</v>
      </c>
      <c r="J145" s="351">
        <v>9.9999999999999995E-7</v>
      </c>
      <c r="K145" s="351">
        <v>9.9999999999999995E-7</v>
      </c>
      <c r="L145" s="351">
        <v>9.9999999999999995E-7</v>
      </c>
      <c r="M145" s="220">
        <f>0.5*(MAX(J145:L145)-MIN(J145:L145))</f>
        <v>0</v>
      </c>
      <c r="N145" s="45" t="s">
        <v>178</v>
      </c>
      <c r="Q145" s="56">
        <v>60</v>
      </c>
      <c r="R145" s="351">
        <v>9.9999999999999995E-7</v>
      </c>
      <c r="S145" s="351">
        <v>9.9999999999999995E-7</v>
      </c>
      <c r="T145" s="351">
        <v>9.9999999999999995E-7</v>
      </c>
      <c r="U145" s="220">
        <f>0.5*(MAX(R145:T145)-MIN(R145:T145))</f>
        <v>0</v>
      </c>
      <c r="V145" s="45" t="s">
        <v>178</v>
      </c>
    </row>
    <row r="146" spans="1:22">
      <c r="A146" s="56">
        <v>120</v>
      </c>
      <c r="B146" s="351">
        <v>9.9999999999999995E-7</v>
      </c>
      <c r="C146" s="351">
        <v>9.9999999999999995E-7</v>
      </c>
      <c r="D146" s="351">
        <v>9.9999999999999995E-7</v>
      </c>
      <c r="E146" s="220">
        <f>0.5*(MAX(B146:D146)-MIN(B146:D146))</f>
        <v>0</v>
      </c>
      <c r="F146" s="45" t="s">
        <v>179</v>
      </c>
      <c r="I146" s="56">
        <v>120</v>
      </c>
      <c r="J146" s="351">
        <v>9.9999999999999995E-7</v>
      </c>
      <c r="K146" s="351">
        <v>9.9999999999999995E-7</v>
      </c>
      <c r="L146" s="351">
        <v>9.9999999999999995E-7</v>
      </c>
      <c r="M146" s="220">
        <f>0.5*(MAX(J146:L146)-MIN(J146:L146))</f>
        <v>0</v>
      </c>
      <c r="N146" s="45" t="s">
        <v>179</v>
      </c>
      <c r="Q146" s="56">
        <v>120</v>
      </c>
      <c r="R146" s="351">
        <v>9.9999999999999995E-7</v>
      </c>
      <c r="S146" s="351">
        <v>9.9999999999999995E-7</v>
      </c>
      <c r="T146" s="351">
        <v>9.9999999999999995E-7</v>
      </c>
      <c r="U146" s="220">
        <f>0.5*(MAX(R146:T146)-MIN(R146:T146))</f>
        <v>0</v>
      </c>
      <c r="V146" s="45" t="s">
        <v>179</v>
      </c>
    </row>
    <row r="147" spans="1:22">
      <c r="A147" s="56">
        <v>180</v>
      </c>
      <c r="B147" s="351">
        <v>9.9999999999999995E-7</v>
      </c>
      <c r="C147" s="351">
        <v>9.9999999999999995E-7</v>
      </c>
      <c r="D147" s="351">
        <v>9.9999999999999995E-7</v>
      </c>
      <c r="E147" s="220">
        <f>0.5*(MAX(B147:D147)-MIN(B147:D147))</f>
        <v>0</v>
      </c>
      <c r="F147" s="45" t="s">
        <v>62</v>
      </c>
      <c r="I147" s="56">
        <v>180</v>
      </c>
      <c r="J147" s="351">
        <v>9.9999999999999995E-7</v>
      </c>
      <c r="K147" s="351">
        <v>9.9999999999999995E-7</v>
      </c>
      <c r="L147" s="351">
        <v>9.9999999999999995E-7</v>
      </c>
      <c r="M147" s="220">
        <f>0.5*(MAX(J147:L147)-MIN(J147:L147))</f>
        <v>0</v>
      </c>
      <c r="N147" s="45" t="s">
        <v>62</v>
      </c>
      <c r="Q147" s="56">
        <v>180</v>
      </c>
      <c r="R147" s="351">
        <v>9.9999999999999995E-7</v>
      </c>
      <c r="S147" s="351">
        <v>9.9999999999999995E-7</v>
      </c>
      <c r="T147" s="351">
        <v>9.9999999999999995E-7</v>
      </c>
      <c r="U147" s="220">
        <f>0.5*(MAX(R147:T147)-MIN(R147:T147))</f>
        <v>0</v>
      </c>
      <c r="V147" s="45" t="s">
        <v>62</v>
      </c>
    </row>
    <row r="150" spans="1:22" ht="28">
      <c r="A150" s="327" t="s">
        <v>304</v>
      </c>
      <c r="I150" s="328" t="s">
        <v>305</v>
      </c>
      <c r="Q150" s="329" t="s">
        <v>306</v>
      </c>
    </row>
    <row r="151" spans="1:22" ht="15.75" customHeight="1">
      <c r="A151" s="1414" t="s">
        <v>175</v>
      </c>
      <c r="B151" s="1414"/>
      <c r="C151" s="1414"/>
      <c r="D151" s="1414"/>
      <c r="E151" s="649" t="s">
        <v>74</v>
      </c>
      <c r="F151" s="650" t="s">
        <v>176</v>
      </c>
      <c r="I151" s="1414" t="s">
        <v>175</v>
      </c>
      <c r="J151" s="1414"/>
      <c r="K151" s="1414"/>
      <c r="L151" s="1414"/>
      <c r="M151" s="1415" t="s">
        <v>74</v>
      </c>
      <c r="N151" s="1417" t="s">
        <v>176</v>
      </c>
      <c r="Q151" s="1414" t="s">
        <v>175</v>
      </c>
      <c r="R151" s="1414"/>
      <c r="S151" s="1414"/>
      <c r="T151" s="1414"/>
      <c r="U151" s="1415" t="s">
        <v>74</v>
      </c>
      <c r="V151" s="1417" t="s">
        <v>176</v>
      </c>
    </row>
    <row r="152" spans="1:22" ht="13">
      <c r="A152" s="649" t="s">
        <v>177</v>
      </c>
      <c r="B152" s="1415" t="s">
        <v>75</v>
      </c>
      <c r="C152" s="1415"/>
      <c r="D152" s="1415"/>
      <c r="E152" s="649"/>
      <c r="F152" s="650"/>
      <c r="I152" s="649" t="s">
        <v>177</v>
      </c>
      <c r="J152" s="1415" t="s">
        <v>75</v>
      </c>
      <c r="K152" s="1415"/>
      <c r="L152" s="1415"/>
      <c r="M152" s="1415"/>
      <c r="N152" s="1417"/>
      <c r="Q152" s="649" t="s">
        <v>177</v>
      </c>
      <c r="R152" s="1415" t="s">
        <v>75</v>
      </c>
      <c r="S152" s="1415"/>
      <c r="T152" s="1415"/>
      <c r="U152" s="1415"/>
      <c r="V152" s="1417"/>
    </row>
    <row r="153" spans="1:22" ht="14">
      <c r="A153" s="647" t="s">
        <v>111</v>
      </c>
      <c r="B153" s="649">
        <v>2018</v>
      </c>
      <c r="C153" s="649">
        <v>2018</v>
      </c>
      <c r="D153" s="649">
        <v>2019</v>
      </c>
      <c r="E153" s="649"/>
      <c r="F153" s="650"/>
      <c r="I153" s="647" t="s">
        <v>111</v>
      </c>
      <c r="J153" s="649">
        <v>2018</v>
      </c>
      <c r="K153" s="649">
        <v>2018</v>
      </c>
      <c r="L153" s="649">
        <v>2019</v>
      </c>
      <c r="M153" s="1415"/>
      <c r="N153" s="1417"/>
      <c r="Q153" s="647" t="s">
        <v>111</v>
      </c>
      <c r="R153" s="649">
        <v>2018</v>
      </c>
      <c r="S153" s="649">
        <v>2018</v>
      </c>
      <c r="T153" s="649">
        <v>2019</v>
      </c>
      <c r="U153" s="1415"/>
      <c r="V153" s="1417"/>
    </row>
    <row r="154" spans="1:22">
      <c r="A154" s="343">
        <v>0.5</v>
      </c>
      <c r="B154" s="319" t="s">
        <v>62</v>
      </c>
      <c r="C154" s="319" t="s">
        <v>62</v>
      </c>
      <c r="D154" s="351">
        <v>9.9999999999999995E-7</v>
      </c>
      <c r="E154" s="342">
        <f>0.5*(MAX(B154:D154)-MIN(B154:D154))</f>
        <v>0</v>
      </c>
      <c r="F154" s="331">
        <v>5.4999999999999997E-3</v>
      </c>
      <c r="I154" s="343">
        <v>0.5</v>
      </c>
      <c r="J154" s="319" t="s">
        <v>62</v>
      </c>
      <c r="K154" s="319" t="s">
        <v>62</v>
      </c>
      <c r="L154" s="351">
        <v>9.9999999999999995E-7</v>
      </c>
      <c r="M154" s="342">
        <f>0.5*(MAX(J154:L154)-MIN(J154:L154))</f>
        <v>0</v>
      </c>
      <c r="N154" s="331">
        <v>5.4999999999999997E-3</v>
      </c>
      <c r="Q154" s="343">
        <v>0.5</v>
      </c>
      <c r="R154" s="319" t="s">
        <v>62</v>
      </c>
      <c r="S154" s="319" t="s">
        <v>62</v>
      </c>
      <c r="T154" s="351">
        <v>9.9999999999999995E-7</v>
      </c>
      <c r="U154" s="342">
        <f>0.5*(MAX(R154:T154)-MIN(R154:T154))</f>
        <v>0</v>
      </c>
      <c r="V154" s="331">
        <v>5.4999999999999997E-3</v>
      </c>
    </row>
    <row r="155" spans="1:22">
      <c r="A155" s="343">
        <v>1</v>
      </c>
      <c r="B155" s="319" t="s">
        <v>62</v>
      </c>
      <c r="C155" s="319" t="s">
        <v>62</v>
      </c>
      <c r="D155" s="351">
        <v>9.9999999999999995E-7</v>
      </c>
      <c r="E155" s="342">
        <f>0.5*(MAX(B155:D155)-MIN(B155:D155))</f>
        <v>0</v>
      </c>
      <c r="F155" s="331" t="s">
        <v>178</v>
      </c>
      <c r="I155" s="343">
        <v>1</v>
      </c>
      <c r="J155" s="319" t="s">
        <v>62</v>
      </c>
      <c r="K155" s="319" t="s">
        <v>62</v>
      </c>
      <c r="L155" s="351">
        <v>9.9999999999999995E-7</v>
      </c>
      <c r="M155" s="342">
        <f>0.5*(MAX(J155:L155)-MIN(J155:L155))</f>
        <v>0</v>
      </c>
      <c r="N155" s="331" t="s">
        <v>178</v>
      </c>
      <c r="Q155" s="343">
        <v>1</v>
      </c>
      <c r="R155" s="319" t="s">
        <v>62</v>
      </c>
      <c r="S155" s="319" t="s">
        <v>62</v>
      </c>
      <c r="T155" s="351">
        <v>9.9999999999999995E-7</v>
      </c>
      <c r="U155" s="342">
        <f>0.5*(MAX(R155:T155)-MIN(R155:T155))</f>
        <v>0</v>
      </c>
      <c r="V155" s="331" t="s">
        <v>178</v>
      </c>
    </row>
    <row r="156" spans="1:22">
      <c r="A156" s="343">
        <v>2</v>
      </c>
      <c r="B156" s="319" t="s">
        <v>62</v>
      </c>
      <c r="C156" s="319" t="s">
        <v>62</v>
      </c>
      <c r="D156" s="351">
        <v>9.9999999999999995E-7</v>
      </c>
      <c r="E156" s="342">
        <f>0.5*(MAX(B156:D156)-MIN(B156:D156))</f>
        <v>0</v>
      </c>
      <c r="F156" s="331" t="s">
        <v>179</v>
      </c>
      <c r="I156" s="343">
        <v>2</v>
      </c>
      <c r="J156" s="319" t="s">
        <v>62</v>
      </c>
      <c r="K156" s="319" t="s">
        <v>62</v>
      </c>
      <c r="L156" s="351">
        <v>9.9999999999999995E-7</v>
      </c>
      <c r="M156" s="342">
        <f>0.5*(MAX(J156:L156)-MIN(J156:L156))</f>
        <v>0</v>
      </c>
      <c r="N156" s="331" t="s">
        <v>179</v>
      </c>
      <c r="Q156" s="343">
        <v>2</v>
      </c>
      <c r="R156" s="319" t="s">
        <v>62</v>
      </c>
      <c r="S156" s="319" t="s">
        <v>62</v>
      </c>
      <c r="T156" s="351">
        <v>9.9999999999999995E-7</v>
      </c>
      <c r="U156" s="342">
        <f>0.5*(MAX(R156:T156)-MIN(R156:T156))</f>
        <v>0</v>
      </c>
      <c r="V156" s="331" t="s">
        <v>179</v>
      </c>
    </row>
    <row r="157" spans="1:22">
      <c r="A157" s="343">
        <v>3</v>
      </c>
      <c r="B157" s="319" t="s">
        <v>62</v>
      </c>
      <c r="C157" s="319" t="s">
        <v>62</v>
      </c>
      <c r="D157" s="351">
        <v>9.9999999999999995E-7</v>
      </c>
      <c r="E157" s="342">
        <f>0.5*(MAX(B157:D157)-MIN(B157:D157))</f>
        <v>0</v>
      </c>
      <c r="F157" s="331"/>
      <c r="I157" s="343">
        <v>3</v>
      </c>
      <c r="J157" s="319" t="s">
        <v>62</v>
      </c>
      <c r="K157" s="319" t="s">
        <v>62</v>
      </c>
      <c r="L157" s="351">
        <v>9.9999999999999995E-7</v>
      </c>
      <c r="M157" s="342">
        <f>0.5*(MAX(J157:L157)-MIN(J157:L157))</f>
        <v>0</v>
      </c>
      <c r="N157" s="331"/>
      <c r="Q157" s="343">
        <v>3</v>
      </c>
      <c r="R157" s="319" t="s">
        <v>62</v>
      </c>
      <c r="S157" s="319" t="s">
        <v>62</v>
      </c>
      <c r="T157" s="351">
        <v>9.9999999999999995E-7</v>
      </c>
      <c r="U157" s="342">
        <f>0.5*(MAX(R157:T157)-MIN(R157:T157))</f>
        <v>0</v>
      </c>
      <c r="V157" s="331"/>
    </row>
    <row r="158" spans="1:22" ht="26">
      <c r="A158" s="330" t="s">
        <v>287</v>
      </c>
      <c r="B158" s="649" t="s">
        <v>75</v>
      </c>
      <c r="C158" s="649" t="s">
        <v>75</v>
      </c>
      <c r="D158" s="649"/>
      <c r="E158" s="341" t="s">
        <v>74</v>
      </c>
      <c r="F158" s="345" t="s">
        <v>176</v>
      </c>
      <c r="I158" s="330" t="s">
        <v>287</v>
      </c>
      <c r="J158" s="649" t="s">
        <v>75</v>
      </c>
      <c r="K158" s="649" t="s">
        <v>75</v>
      </c>
      <c r="L158" s="649"/>
      <c r="M158" s="341" t="s">
        <v>74</v>
      </c>
      <c r="N158" s="345" t="s">
        <v>176</v>
      </c>
      <c r="Q158" s="330" t="s">
        <v>287</v>
      </c>
      <c r="R158" s="649" t="s">
        <v>75</v>
      </c>
      <c r="S158" s="649" t="s">
        <v>75</v>
      </c>
      <c r="T158" s="649"/>
      <c r="U158" s="341" t="s">
        <v>74</v>
      </c>
      <c r="V158" s="345" t="s">
        <v>176</v>
      </c>
    </row>
    <row r="159" spans="1:22" ht="13">
      <c r="A159" s="346" t="s">
        <v>288</v>
      </c>
      <c r="B159" s="649">
        <f>B153</f>
        <v>2018</v>
      </c>
      <c r="C159" s="649">
        <f>C153</f>
        <v>2018</v>
      </c>
      <c r="D159" s="649">
        <f>D153</f>
        <v>2019</v>
      </c>
      <c r="E159" s="342"/>
      <c r="F159" s="345"/>
      <c r="I159" s="346" t="s">
        <v>288</v>
      </c>
      <c r="J159" s="649">
        <f>J153</f>
        <v>2018</v>
      </c>
      <c r="K159" s="649">
        <f>K153</f>
        <v>2018</v>
      </c>
      <c r="L159" s="649">
        <f>L153</f>
        <v>2019</v>
      </c>
      <c r="M159" s="342"/>
      <c r="N159" s="345"/>
      <c r="Q159" s="346" t="s">
        <v>288</v>
      </c>
      <c r="R159" s="649">
        <f>R153</f>
        <v>2018</v>
      </c>
      <c r="S159" s="649">
        <f>S153</f>
        <v>2018</v>
      </c>
      <c r="T159" s="649">
        <f>T153</f>
        <v>2019</v>
      </c>
      <c r="U159" s="342"/>
      <c r="V159" s="345"/>
    </row>
    <row r="160" spans="1:22">
      <c r="A160" s="343">
        <v>0.5</v>
      </c>
      <c r="B160" s="351">
        <v>9.9999999999999995E-7</v>
      </c>
      <c r="C160" s="351">
        <v>9.9999999999999995E-7</v>
      </c>
      <c r="D160" s="351">
        <v>9.9999999999999995E-7</v>
      </c>
      <c r="E160" s="342">
        <f>0.5*(MAX(B160:D160)-MIN(B160:D160))</f>
        <v>0</v>
      </c>
      <c r="F160" s="348">
        <v>1E-4</v>
      </c>
      <c r="I160" s="343">
        <v>0.5</v>
      </c>
      <c r="J160" s="351">
        <v>9.9999999999999995E-7</v>
      </c>
      <c r="K160" s="351">
        <v>9.9999999999999995E-7</v>
      </c>
      <c r="L160" s="351">
        <v>9.9999999999999995E-7</v>
      </c>
      <c r="M160" s="351">
        <v>9.9999999999999995E-7</v>
      </c>
      <c r="N160" s="348">
        <v>1E-4</v>
      </c>
      <c r="Q160" s="343">
        <v>0.5</v>
      </c>
      <c r="R160" s="351">
        <v>9.9999999999999995E-7</v>
      </c>
      <c r="S160" s="351">
        <v>9.9999999999999995E-7</v>
      </c>
      <c r="T160" s="351">
        <v>9.9999999999999995E-7</v>
      </c>
      <c r="U160" s="342">
        <f>0.5*(MAX(R160:T160)-MIN(R160:T160))</f>
        <v>0</v>
      </c>
      <c r="V160" s="348">
        <v>1E-4</v>
      </c>
    </row>
    <row r="161" spans="1:22">
      <c r="A161" s="343">
        <v>1</v>
      </c>
      <c r="B161" s="351">
        <v>9.9999999999999995E-7</v>
      </c>
      <c r="C161" s="351">
        <v>9.9999999999999995E-7</v>
      </c>
      <c r="D161" s="351">
        <v>9.9999999999999995E-7</v>
      </c>
      <c r="E161" s="342">
        <f>0.5*(MAX(B161:D161)-MIN(B161:D161))</f>
        <v>0</v>
      </c>
      <c r="F161" s="348">
        <v>1E-4</v>
      </c>
      <c r="I161" s="343">
        <v>1</v>
      </c>
      <c r="J161" s="351">
        <v>9.9999999999999995E-7</v>
      </c>
      <c r="K161" s="351">
        <v>9.9999999999999995E-7</v>
      </c>
      <c r="L161" s="351">
        <v>9.9999999999999995E-7</v>
      </c>
      <c r="M161" s="351">
        <v>9.9999999999999995E-7</v>
      </c>
      <c r="N161" s="348">
        <v>1E-4</v>
      </c>
      <c r="Q161" s="343">
        <v>1</v>
      </c>
      <c r="R161" s="351">
        <v>9.9999999999999995E-7</v>
      </c>
      <c r="S161" s="351">
        <v>9.9999999999999995E-7</v>
      </c>
      <c r="T161" s="351">
        <v>9.9999999999999995E-7</v>
      </c>
      <c r="U161" s="342">
        <f>0.5*(MAX(R161:T161)-MIN(R161:T161))</f>
        <v>0</v>
      </c>
      <c r="V161" s="348">
        <v>1E-4</v>
      </c>
    </row>
    <row r="162" spans="1:22">
      <c r="A162" s="343">
        <v>2</v>
      </c>
      <c r="B162" s="351">
        <v>9.9999999999999995E-7</v>
      </c>
      <c r="C162" s="351">
        <v>9.9999999999999995E-7</v>
      </c>
      <c r="D162" s="351">
        <v>9.9999999999999995E-7</v>
      </c>
      <c r="E162" s="342">
        <f>0.5*(MAX(B162:D162)-MIN(B162:D162))</f>
        <v>0</v>
      </c>
      <c r="F162" s="348">
        <v>1E-4</v>
      </c>
      <c r="I162" s="343">
        <v>2</v>
      </c>
      <c r="J162" s="351">
        <v>9.9999999999999995E-7</v>
      </c>
      <c r="K162" s="351">
        <v>9.9999999999999995E-7</v>
      </c>
      <c r="L162" s="351">
        <v>9.9999999999999995E-7</v>
      </c>
      <c r="M162" s="351">
        <v>9.9999999999999995E-7</v>
      </c>
      <c r="N162" s="348">
        <v>1E-4</v>
      </c>
      <c r="Q162" s="343">
        <v>2</v>
      </c>
      <c r="R162" s="351">
        <v>9.9999999999999995E-7</v>
      </c>
      <c r="S162" s="351">
        <v>9.9999999999999995E-7</v>
      </c>
      <c r="T162" s="351">
        <v>9.9999999999999995E-7</v>
      </c>
      <c r="U162" s="342">
        <f>0.5*(MAX(R162:T162)-MIN(R162:T162))</f>
        <v>0</v>
      </c>
      <c r="V162" s="348">
        <v>1E-4</v>
      </c>
    </row>
    <row r="163" spans="1:22" ht="26">
      <c r="A163" s="330" t="s">
        <v>291</v>
      </c>
      <c r="B163" s="649" t="s">
        <v>75</v>
      </c>
      <c r="C163" s="649" t="s">
        <v>75</v>
      </c>
      <c r="D163" s="649"/>
      <c r="E163" s="341" t="s">
        <v>74</v>
      </c>
      <c r="F163" s="345" t="s">
        <v>176</v>
      </c>
      <c r="I163" s="330" t="s">
        <v>291</v>
      </c>
      <c r="J163" s="649" t="s">
        <v>75</v>
      </c>
      <c r="K163" s="649" t="s">
        <v>75</v>
      </c>
      <c r="L163" s="649"/>
      <c r="M163" s="341" t="s">
        <v>74</v>
      </c>
      <c r="N163" s="345" t="s">
        <v>176</v>
      </c>
      <c r="Q163" s="330" t="s">
        <v>291</v>
      </c>
      <c r="R163" s="649" t="s">
        <v>75</v>
      </c>
      <c r="S163" s="649" t="s">
        <v>75</v>
      </c>
      <c r="T163" s="649"/>
      <c r="U163" s="341" t="s">
        <v>74</v>
      </c>
      <c r="V163" s="345" t="s">
        <v>176</v>
      </c>
    </row>
    <row r="164" spans="1:22" ht="13">
      <c r="A164" s="330" t="s">
        <v>292</v>
      </c>
      <c r="B164" s="649">
        <f>B159</f>
        <v>2018</v>
      </c>
      <c r="C164" s="649">
        <f>C159</f>
        <v>2018</v>
      </c>
      <c r="D164" s="649">
        <f>D159</f>
        <v>2019</v>
      </c>
      <c r="E164" s="342"/>
      <c r="F164" s="345"/>
      <c r="I164" s="330" t="s">
        <v>292</v>
      </c>
      <c r="J164" s="649">
        <f>J159</f>
        <v>2018</v>
      </c>
      <c r="K164" s="649">
        <f>K159</f>
        <v>2018</v>
      </c>
      <c r="L164" s="649">
        <f>L159</f>
        <v>2019</v>
      </c>
      <c r="M164" s="342"/>
      <c r="N164" s="345"/>
      <c r="Q164" s="330" t="s">
        <v>292</v>
      </c>
      <c r="R164" s="649">
        <f>R159</f>
        <v>2018</v>
      </c>
      <c r="S164" s="649">
        <f>S159</f>
        <v>2018</v>
      </c>
      <c r="T164" s="649">
        <f>T159</f>
        <v>2019</v>
      </c>
      <c r="U164" s="342"/>
      <c r="V164" s="345"/>
    </row>
    <row r="165" spans="1:22">
      <c r="A165" s="343">
        <v>0.125</v>
      </c>
      <c r="B165" s="351">
        <v>9.9999999999999995E-7</v>
      </c>
      <c r="C165" s="351">
        <v>9.9999999999999995E-7</v>
      </c>
      <c r="D165" s="351">
        <v>9.9999999999999995E-7</v>
      </c>
      <c r="E165" s="342">
        <f>0.5*(MAX(B165:D165)-MIN(B165:D165))</f>
        <v>0</v>
      </c>
      <c r="F165" s="348">
        <v>2.5999999999999998E-5</v>
      </c>
      <c r="I165" s="343">
        <v>0.125</v>
      </c>
      <c r="J165" s="351">
        <v>9.9999999999999995E-7</v>
      </c>
      <c r="K165" s="351">
        <v>9.9999999999999995E-7</v>
      </c>
      <c r="L165" s="351">
        <v>9.9999999999999995E-7</v>
      </c>
      <c r="M165" s="342">
        <f>0.5*(MAX(J165:L165)-MIN(J165:L165))</f>
        <v>0</v>
      </c>
      <c r="N165" s="348">
        <v>2.5999999999999998E-5</v>
      </c>
      <c r="Q165" s="343">
        <v>0.125</v>
      </c>
      <c r="R165" s="351">
        <v>9.9999999999999995E-7</v>
      </c>
      <c r="S165" s="351">
        <v>9.9999999999999995E-7</v>
      </c>
      <c r="T165" s="351">
        <v>9.9999999999999995E-7</v>
      </c>
      <c r="U165" s="342">
        <f>0.5*(MAX(R165:T165)-MIN(R165:T165))</f>
        <v>0</v>
      </c>
      <c r="V165" s="348">
        <v>2.5999999999999998E-5</v>
      </c>
    </row>
    <row r="166" spans="1:22">
      <c r="A166" s="343">
        <v>2</v>
      </c>
      <c r="B166" s="351">
        <v>9.9999999999999995E-7</v>
      </c>
      <c r="C166" s="351">
        <v>9.9999999999999995E-7</v>
      </c>
      <c r="D166" s="351">
        <v>9.9999999999999995E-7</v>
      </c>
      <c r="E166" s="342">
        <f>0.5*(MAX(B166:D166)-MIN(B166:D166))</f>
        <v>0</v>
      </c>
      <c r="F166" s="348">
        <v>2.5999999999999998E-5</v>
      </c>
      <c r="I166" s="343">
        <v>2</v>
      </c>
      <c r="J166" s="351">
        <v>9.9999999999999995E-7</v>
      </c>
      <c r="K166" s="351">
        <v>9.9999999999999995E-7</v>
      </c>
      <c r="L166" s="351">
        <v>9.9999999999999995E-7</v>
      </c>
      <c r="M166" s="342">
        <f>0.5*(MAX(J166:L166)-MIN(J166:L166))</f>
        <v>0</v>
      </c>
      <c r="N166" s="348">
        <v>2.5999999999999998E-5</v>
      </c>
      <c r="Q166" s="343">
        <v>2</v>
      </c>
      <c r="R166" s="351">
        <v>9.9999999999999995E-7</v>
      </c>
      <c r="S166" s="351">
        <v>9.9999999999999995E-7</v>
      </c>
      <c r="T166" s="351">
        <v>9.9999999999999995E-7</v>
      </c>
      <c r="U166" s="342">
        <f>0.5*(MAX(R166:T166)-MIN(R166:T166))</f>
        <v>0</v>
      </c>
      <c r="V166" s="348">
        <v>2.5999999999999998E-5</v>
      </c>
    </row>
    <row r="167" spans="1:22" ht="26">
      <c r="A167" s="330" t="s">
        <v>294</v>
      </c>
      <c r="B167" s="649" t="s">
        <v>75</v>
      </c>
      <c r="C167" s="649" t="s">
        <v>75</v>
      </c>
      <c r="D167" s="649"/>
      <c r="E167" s="341" t="s">
        <v>74</v>
      </c>
      <c r="F167" s="345" t="s">
        <v>176</v>
      </c>
      <c r="I167" s="330" t="s">
        <v>294</v>
      </c>
      <c r="J167" s="649" t="s">
        <v>75</v>
      </c>
      <c r="K167" s="649" t="s">
        <v>75</v>
      </c>
      <c r="L167" s="649"/>
      <c r="M167" s="341" t="s">
        <v>74</v>
      </c>
      <c r="N167" s="345" t="s">
        <v>176</v>
      </c>
      <c r="Q167" s="330" t="s">
        <v>294</v>
      </c>
      <c r="R167" s="649" t="s">
        <v>75</v>
      </c>
      <c r="S167" s="649" t="s">
        <v>75</v>
      </c>
      <c r="T167" s="649"/>
      <c r="U167" s="341" t="s">
        <v>74</v>
      </c>
      <c r="V167" s="345" t="s">
        <v>176</v>
      </c>
    </row>
    <row r="168" spans="1:22" ht="13">
      <c r="A168" s="330" t="s">
        <v>292</v>
      </c>
      <c r="B168" s="649">
        <f>B164</f>
        <v>2018</v>
      </c>
      <c r="C168" s="649">
        <f>C164</f>
        <v>2018</v>
      </c>
      <c r="D168" s="649">
        <f>D164</f>
        <v>2019</v>
      </c>
      <c r="E168" s="342"/>
      <c r="F168" s="345"/>
      <c r="I168" s="330" t="s">
        <v>292</v>
      </c>
      <c r="J168" s="649">
        <f>J164</f>
        <v>2018</v>
      </c>
      <c r="K168" s="649">
        <f>K164</f>
        <v>2018</v>
      </c>
      <c r="L168" s="649">
        <f>L164</f>
        <v>2019</v>
      </c>
      <c r="M168" s="342"/>
      <c r="N168" s="345"/>
      <c r="Q168" s="330" t="s">
        <v>292</v>
      </c>
      <c r="R168" s="649">
        <f>R164</f>
        <v>2018</v>
      </c>
      <c r="S168" s="649">
        <f>S164</f>
        <v>2018</v>
      </c>
      <c r="T168" s="649">
        <f>T164</f>
        <v>2019</v>
      </c>
      <c r="U168" s="342"/>
      <c r="V168" s="345"/>
    </row>
    <row r="169" spans="1:22">
      <c r="A169" s="343">
        <v>10</v>
      </c>
      <c r="B169" s="351">
        <v>9.9999999999999995E-7</v>
      </c>
      <c r="C169" s="351">
        <v>9.9999999999999995E-7</v>
      </c>
      <c r="D169" s="351">
        <v>9.9999999999999995E-7</v>
      </c>
      <c r="E169" s="342">
        <f>0.5*(MAX(B169:D169)-MIN(B169:D169))</f>
        <v>0</v>
      </c>
      <c r="F169" s="348">
        <v>2.5999999999999998E-5</v>
      </c>
      <c r="I169" s="343">
        <v>10</v>
      </c>
      <c r="J169" s="351">
        <v>9.9999999999999995E-7</v>
      </c>
      <c r="K169" s="351">
        <v>9.9999999999999995E-7</v>
      </c>
      <c r="L169" s="351">
        <v>9.9999999999999995E-7</v>
      </c>
      <c r="M169" s="342">
        <f>0.5*(MAX(J169:L169)-MIN(J169:L169))</f>
        <v>0</v>
      </c>
      <c r="N169" s="348">
        <v>2.5999999999999998E-5</v>
      </c>
      <c r="Q169" s="343">
        <v>10</v>
      </c>
      <c r="R169" s="351">
        <v>9.9999999999999995E-7</v>
      </c>
      <c r="S169" s="351">
        <v>9.9999999999999995E-7</v>
      </c>
      <c r="T169" s="351">
        <v>9.9999999999999995E-7</v>
      </c>
      <c r="U169" s="342">
        <f>0.5*(MAX(R169:T169)-MIN(R169:T169))</f>
        <v>0</v>
      </c>
      <c r="V169" s="348">
        <v>2.5999999999999998E-5</v>
      </c>
    </row>
    <row r="170" spans="1:22" ht="13">
      <c r="A170" s="646" t="s">
        <v>180</v>
      </c>
      <c r="B170" s="646" t="s">
        <v>75</v>
      </c>
      <c r="C170" s="646" t="s">
        <v>75</v>
      </c>
      <c r="D170" s="646"/>
      <c r="E170" s="646" t="s">
        <v>74</v>
      </c>
      <c r="F170" s="648" t="s">
        <v>176</v>
      </c>
      <c r="I170" s="646" t="s">
        <v>180</v>
      </c>
      <c r="J170" s="646" t="s">
        <v>75</v>
      </c>
      <c r="K170" s="646" t="s">
        <v>75</v>
      </c>
      <c r="L170" s="646"/>
      <c r="M170" s="1403" t="s">
        <v>74</v>
      </c>
      <c r="N170" s="1422" t="s">
        <v>176</v>
      </c>
      <c r="Q170" s="646" t="s">
        <v>180</v>
      </c>
      <c r="R170" s="646" t="s">
        <v>75</v>
      </c>
      <c r="S170" s="646" t="s">
        <v>75</v>
      </c>
      <c r="T170" s="646"/>
      <c r="U170" s="1403" t="s">
        <v>74</v>
      </c>
      <c r="V170" s="1422" t="s">
        <v>176</v>
      </c>
    </row>
    <row r="171" spans="1:22" ht="14">
      <c r="A171" s="647" t="s">
        <v>338</v>
      </c>
      <c r="B171" s="646">
        <f>B168</f>
        <v>2018</v>
      </c>
      <c r="C171" s="646">
        <f>C168</f>
        <v>2018</v>
      </c>
      <c r="D171" s="646">
        <f>D168</f>
        <v>2019</v>
      </c>
      <c r="E171" s="646"/>
      <c r="F171" s="648"/>
      <c r="I171" s="647" t="s">
        <v>338</v>
      </c>
      <c r="J171" s="646">
        <f>J168</f>
        <v>2018</v>
      </c>
      <c r="K171" s="646">
        <f>K168</f>
        <v>2018</v>
      </c>
      <c r="L171" s="646">
        <f>L168</f>
        <v>2019</v>
      </c>
      <c r="M171" s="1403"/>
      <c r="N171" s="1422"/>
      <c r="Q171" s="647" t="s">
        <v>338</v>
      </c>
      <c r="R171" s="646">
        <f>R168</f>
        <v>2018</v>
      </c>
      <c r="S171" s="646">
        <f>S168</f>
        <v>2018</v>
      </c>
      <c r="T171" s="646">
        <f>T168</f>
        <v>2019</v>
      </c>
      <c r="U171" s="1403"/>
      <c r="V171" s="1422"/>
    </row>
    <row r="172" spans="1:22">
      <c r="A172" s="349">
        <v>15</v>
      </c>
      <c r="B172" s="351">
        <v>9.9999999999999995E-7</v>
      </c>
      <c r="C172" s="351">
        <v>9.9999999999999995E-7</v>
      </c>
      <c r="D172" s="351">
        <v>9.9999999999999995E-7</v>
      </c>
      <c r="E172" s="220">
        <f>0.5*(MAX(B172:D172)-MIN(B172:D172))</f>
        <v>0</v>
      </c>
      <c r="F172" s="350"/>
      <c r="I172" s="349">
        <v>15</v>
      </c>
      <c r="J172" s="351">
        <v>9.9999999999999995E-7</v>
      </c>
      <c r="K172" s="351">
        <v>9.9999999999999995E-7</v>
      </c>
      <c r="L172" s="351">
        <v>9.9999999999999995E-7</v>
      </c>
      <c r="M172" s="220">
        <f>0.5*(MAX(J172:L172)-MIN(J172:L172))</f>
        <v>0</v>
      </c>
      <c r="N172" s="350"/>
      <c r="Q172" s="349">
        <v>15</v>
      </c>
      <c r="R172" s="351">
        <v>9.9999999999999995E-7</v>
      </c>
      <c r="S172" s="351">
        <v>9.9999999999999995E-7</v>
      </c>
      <c r="T172" s="351">
        <v>9.9999999999999995E-7</v>
      </c>
      <c r="U172" s="220">
        <f>0.5*(MAX(R172:T172)-MIN(R172:T172))</f>
        <v>0</v>
      </c>
      <c r="V172" s="350"/>
    </row>
    <row r="173" spans="1:22">
      <c r="A173" s="56">
        <v>30</v>
      </c>
      <c r="B173" s="351">
        <v>9.9999999999999995E-7</v>
      </c>
      <c r="C173" s="351">
        <v>9.9999999999999995E-7</v>
      </c>
      <c r="D173" s="351">
        <v>9.9999999999999995E-7</v>
      </c>
      <c r="E173" s="220">
        <f>0.5*(MAX(B173:D173)-MIN(B173:D173))</f>
        <v>0</v>
      </c>
      <c r="F173" s="45">
        <v>1.1999999999999999E-3</v>
      </c>
      <c r="I173" s="56">
        <v>30</v>
      </c>
      <c r="J173" s="351">
        <v>9.9999999999999995E-7</v>
      </c>
      <c r="K173" s="351">
        <v>9.9999999999999995E-7</v>
      </c>
      <c r="L173" s="351">
        <v>9.9999999999999995E-7</v>
      </c>
      <c r="M173" s="220">
        <f>0.5*(MAX(J173:L173)-MIN(J173:L173))</f>
        <v>0</v>
      </c>
      <c r="N173" s="45">
        <v>1.1999999999999999E-3</v>
      </c>
      <c r="Q173" s="56">
        <v>30</v>
      </c>
      <c r="R173" s="351">
        <v>9.9999999999999995E-7</v>
      </c>
      <c r="S173" s="351">
        <v>9.9999999999999995E-7</v>
      </c>
      <c r="T173" s="351">
        <v>9.9999999999999995E-7</v>
      </c>
      <c r="U173" s="220">
        <f>0.5*(MAX(R173:T173)-MIN(R173:T173))</f>
        <v>0</v>
      </c>
      <c r="V173" s="45">
        <v>1.1999999999999999E-3</v>
      </c>
    </row>
    <row r="174" spans="1:22">
      <c r="A174" s="56">
        <v>60</v>
      </c>
      <c r="B174" s="351">
        <v>9.9999999999999995E-7</v>
      </c>
      <c r="C174" s="351">
        <v>9.9999999999999995E-7</v>
      </c>
      <c r="D174" s="351">
        <v>9.9999999999999995E-7</v>
      </c>
      <c r="E174" s="220">
        <f>0.5*(MAX(B174:D174)-MIN(B174:D174))</f>
        <v>0</v>
      </c>
      <c r="F174" s="45" t="s">
        <v>178</v>
      </c>
      <c r="I174" s="56">
        <v>60</v>
      </c>
      <c r="J174" s="351">
        <v>9.9999999999999995E-7</v>
      </c>
      <c r="K174" s="351">
        <v>9.9999999999999995E-7</v>
      </c>
      <c r="L174" s="351">
        <v>9.9999999999999995E-7</v>
      </c>
      <c r="M174" s="220">
        <f>0.5*(MAX(J174:L174)-MIN(J174:L174))</f>
        <v>0</v>
      </c>
      <c r="N174" s="45" t="s">
        <v>178</v>
      </c>
      <c r="Q174" s="56">
        <v>60</v>
      </c>
      <c r="R174" s="351">
        <v>9.9999999999999995E-7</v>
      </c>
      <c r="S174" s="351">
        <v>9.9999999999999995E-7</v>
      </c>
      <c r="T174" s="351">
        <v>9.9999999999999995E-7</v>
      </c>
      <c r="U174" s="220">
        <f>0.5*(MAX(R174:T174)-MIN(R174:T174))</f>
        <v>0</v>
      </c>
      <c r="V174" s="45" t="s">
        <v>178</v>
      </c>
    </row>
    <row r="175" spans="1:22">
      <c r="A175" s="56">
        <v>120</v>
      </c>
      <c r="B175" s="351">
        <v>9.9999999999999995E-7</v>
      </c>
      <c r="C175" s="351">
        <v>9.9999999999999995E-7</v>
      </c>
      <c r="D175" s="351">
        <v>9.9999999999999995E-7</v>
      </c>
      <c r="E175" s="220">
        <f>0.5*(MAX(B175:D175)-MIN(B175:D175))</f>
        <v>0</v>
      </c>
      <c r="F175" s="45" t="s">
        <v>179</v>
      </c>
      <c r="I175" s="56">
        <v>120</v>
      </c>
      <c r="J175" s="351">
        <v>9.9999999999999995E-7</v>
      </c>
      <c r="K175" s="351">
        <v>9.9999999999999995E-7</v>
      </c>
      <c r="L175" s="351">
        <v>9.9999999999999995E-7</v>
      </c>
      <c r="M175" s="220">
        <f>0.5*(MAX(J175:L175)-MIN(J175:L175))</f>
        <v>0</v>
      </c>
      <c r="N175" s="45" t="s">
        <v>179</v>
      </c>
      <c r="Q175" s="56">
        <v>120</v>
      </c>
      <c r="R175" s="351">
        <v>9.9999999999999995E-7</v>
      </c>
      <c r="S175" s="351">
        <v>9.9999999999999995E-7</v>
      </c>
      <c r="T175" s="351">
        <v>9.9999999999999995E-7</v>
      </c>
      <c r="U175" s="220">
        <f>0.5*(MAX(R175:T175)-MIN(R175:T175))</f>
        <v>0</v>
      </c>
      <c r="V175" s="45" t="s">
        <v>179</v>
      </c>
    </row>
    <row r="176" spans="1:22">
      <c r="A176" s="56">
        <v>180</v>
      </c>
      <c r="B176" s="351">
        <v>9.9999999999999995E-7</v>
      </c>
      <c r="C176" s="351">
        <v>9.9999999999999995E-7</v>
      </c>
      <c r="D176" s="351">
        <v>9.9999999999999995E-7</v>
      </c>
      <c r="E176" s="220">
        <f>0.5*(MAX(B176:D176)-MIN(B176:D176))</f>
        <v>0</v>
      </c>
      <c r="F176" s="45" t="s">
        <v>62</v>
      </c>
      <c r="I176" s="56">
        <v>180</v>
      </c>
      <c r="J176" s="351">
        <v>9.9999999999999995E-7</v>
      </c>
      <c r="K176" s="351">
        <v>9.9999999999999995E-7</v>
      </c>
      <c r="L176" s="351">
        <v>9.9999999999999995E-7</v>
      </c>
      <c r="M176" s="220">
        <f>0.5*(MAX(J176:L176)-MIN(J176:L176))</f>
        <v>0</v>
      </c>
      <c r="N176" s="45" t="s">
        <v>62</v>
      </c>
      <c r="Q176" s="56">
        <v>180</v>
      </c>
      <c r="R176" s="351">
        <v>9.9999999999999995E-7</v>
      </c>
      <c r="S176" s="351">
        <v>9.9999999999999995E-7</v>
      </c>
      <c r="T176" s="351">
        <v>9.9999999999999995E-7</v>
      </c>
      <c r="U176" s="220">
        <f>0.5*(MAX(R176:T176)-MIN(R176:T176))</f>
        <v>0</v>
      </c>
      <c r="V176" s="45" t="s">
        <v>62</v>
      </c>
    </row>
    <row r="179" spans="1:22" ht="28">
      <c r="A179" s="327" t="s">
        <v>307</v>
      </c>
      <c r="I179" s="328" t="s">
        <v>308</v>
      </c>
      <c r="Q179" s="329" t="s">
        <v>309</v>
      </c>
    </row>
    <row r="180" spans="1:22" ht="15.75" customHeight="1">
      <c r="A180" s="1414" t="s">
        <v>175</v>
      </c>
      <c r="B180" s="1414"/>
      <c r="C180" s="1414"/>
      <c r="D180" s="1414"/>
      <c r="E180" s="649" t="s">
        <v>74</v>
      </c>
      <c r="F180" s="650" t="s">
        <v>176</v>
      </c>
      <c r="I180" s="1414" t="s">
        <v>175</v>
      </c>
      <c r="J180" s="1414"/>
      <c r="K180" s="1414"/>
      <c r="L180" s="1414"/>
      <c r="M180" s="1415" t="s">
        <v>74</v>
      </c>
      <c r="N180" s="1417" t="s">
        <v>176</v>
      </c>
      <c r="Q180" s="1414" t="s">
        <v>175</v>
      </c>
      <c r="R180" s="1414"/>
      <c r="S180" s="1414"/>
      <c r="T180" s="1414"/>
      <c r="U180" s="1415" t="s">
        <v>74</v>
      </c>
      <c r="V180" s="1417" t="s">
        <v>176</v>
      </c>
    </row>
    <row r="181" spans="1:22" ht="13">
      <c r="A181" s="649" t="s">
        <v>177</v>
      </c>
      <c r="B181" s="1415" t="s">
        <v>75</v>
      </c>
      <c r="C181" s="1415"/>
      <c r="D181" s="1415"/>
      <c r="E181" s="649"/>
      <c r="F181" s="650"/>
      <c r="I181" s="649" t="s">
        <v>177</v>
      </c>
      <c r="J181" s="1415" t="s">
        <v>75</v>
      </c>
      <c r="K181" s="1415"/>
      <c r="L181" s="1415"/>
      <c r="M181" s="1415"/>
      <c r="N181" s="1417"/>
      <c r="Q181" s="649" t="s">
        <v>177</v>
      </c>
      <c r="R181" s="1415" t="s">
        <v>75</v>
      </c>
      <c r="S181" s="1415"/>
      <c r="T181" s="1415"/>
      <c r="U181" s="1415"/>
      <c r="V181" s="1417"/>
    </row>
    <row r="182" spans="1:22" ht="14">
      <c r="A182" s="647" t="s">
        <v>111</v>
      </c>
      <c r="B182" s="649">
        <v>2018</v>
      </c>
      <c r="C182" s="649">
        <v>2018</v>
      </c>
      <c r="D182" s="649">
        <v>2019</v>
      </c>
      <c r="E182" s="649"/>
      <c r="F182" s="650"/>
      <c r="I182" s="647" t="s">
        <v>111</v>
      </c>
      <c r="J182" s="649">
        <v>2018</v>
      </c>
      <c r="K182" s="649">
        <v>2018</v>
      </c>
      <c r="L182" s="649">
        <v>2019</v>
      </c>
      <c r="M182" s="1415"/>
      <c r="N182" s="1417"/>
      <c r="Q182" s="647" t="s">
        <v>111</v>
      </c>
      <c r="R182" s="649">
        <v>2018</v>
      </c>
      <c r="S182" s="649">
        <v>2018</v>
      </c>
      <c r="T182" s="649">
        <v>2019</v>
      </c>
      <c r="U182" s="1415"/>
      <c r="V182" s="1417"/>
    </row>
    <row r="183" spans="1:22">
      <c r="A183" s="343">
        <v>0.5</v>
      </c>
      <c r="B183" s="319" t="s">
        <v>62</v>
      </c>
      <c r="C183" s="319" t="s">
        <v>62</v>
      </c>
      <c r="D183" s="351">
        <v>9.9999999999999995E-7</v>
      </c>
      <c r="E183" s="342">
        <f>0.5*(MAX(B183:D183)-MIN(B183:D183))</f>
        <v>0</v>
      </c>
      <c r="F183" s="331">
        <v>5.4999999999999997E-3</v>
      </c>
      <c r="I183" s="343">
        <v>0.5</v>
      </c>
      <c r="J183" s="319" t="s">
        <v>62</v>
      </c>
      <c r="K183" s="319" t="s">
        <v>62</v>
      </c>
      <c r="L183" s="351">
        <v>9.9999999999999995E-7</v>
      </c>
      <c r="M183" s="342">
        <f>0.5*(MAX(J183:L183)-MIN(J183:L183))</f>
        <v>0</v>
      </c>
      <c r="N183" s="331">
        <v>5.4999999999999997E-3</v>
      </c>
      <c r="Q183" s="343">
        <v>0.5</v>
      </c>
      <c r="R183" s="319" t="s">
        <v>62</v>
      </c>
      <c r="S183" s="319" t="s">
        <v>62</v>
      </c>
      <c r="T183" s="351">
        <v>9.9999999999999995E-7</v>
      </c>
      <c r="U183" s="342">
        <f>0.5*(MAX(R183:T183)-MIN(R183:T183))</f>
        <v>0</v>
      </c>
      <c r="V183" s="331">
        <v>5.4999999999999997E-3</v>
      </c>
    </row>
    <row r="184" spans="1:22">
      <c r="A184" s="343">
        <v>1</v>
      </c>
      <c r="B184" s="319" t="s">
        <v>62</v>
      </c>
      <c r="C184" s="319" t="s">
        <v>62</v>
      </c>
      <c r="D184" s="351">
        <v>9.9999999999999995E-7</v>
      </c>
      <c r="E184" s="342">
        <f>0.5*(MAX(B184:D184)-MIN(B184:D184))</f>
        <v>0</v>
      </c>
      <c r="F184" s="331" t="s">
        <v>178</v>
      </c>
      <c r="I184" s="343">
        <v>1</v>
      </c>
      <c r="J184" s="319" t="s">
        <v>62</v>
      </c>
      <c r="K184" s="319" t="s">
        <v>62</v>
      </c>
      <c r="L184" s="351">
        <v>9.9999999999999995E-7</v>
      </c>
      <c r="M184" s="342">
        <f>0.5*(MAX(J184:L184)-MIN(J184:L184))</f>
        <v>0</v>
      </c>
      <c r="N184" s="331" t="s">
        <v>178</v>
      </c>
      <c r="Q184" s="343">
        <v>1</v>
      </c>
      <c r="R184" s="319" t="s">
        <v>62</v>
      </c>
      <c r="S184" s="319" t="s">
        <v>62</v>
      </c>
      <c r="T184" s="351">
        <v>9.9999999999999995E-7</v>
      </c>
      <c r="U184" s="342">
        <f>0.5*(MAX(R184:T184)-MIN(R184:T184))</f>
        <v>0</v>
      </c>
      <c r="V184" s="331" t="s">
        <v>178</v>
      </c>
    </row>
    <row r="185" spans="1:22">
      <c r="A185" s="343">
        <v>2</v>
      </c>
      <c r="B185" s="319" t="s">
        <v>62</v>
      </c>
      <c r="C185" s="319" t="s">
        <v>62</v>
      </c>
      <c r="D185" s="351">
        <v>9.9999999999999995E-7</v>
      </c>
      <c r="E185" s="342">
        <f>0.5*(MAX(B185:D185)-MIN(B185:D185))</f>
        <v>0</v>
      </c>
      <c r="F185" s="331" t="s">
        <v>179</v>
      </c>
      <c r="I185" s="343">
        <v>2</v>
      </c>
      <c r="J185" s="319" t="s">
        <v>62</v>
      </c>
      <c r="K185" s="319" t="s">
        <v>62</v>
      </c>
      <c r="L185" s="351">
        <v>9.9999999999999995E-7</v>
      </c>
      <c r="M185" s="342">
        <f>0.5*(MAX(J185:L185)-MIN(J185:L185))</f>
        <v>0</v>
      </c>
      <c r="N185" s="331" t="s">
        <v>179</v>
      </c>
      <c r="Q185" s="343">
        <v>2</v>
      </c>
      <c r="R185" s="319" t="s">
        <v>62</v>
      </c>
      <c r="S185" s="319" t="s">
        <v>62</v>
      </c>
      <c r="T185" s="351">
        <v>9.9999999999999995E-7</v>
      </c>
      <c r="U185" s="342">
        <f>0.5*(MAX(R185:T185)-MIN(R185:T185))</f>
        <v>0</v>
      </c>
      <c r="V185" s="331" t="s">
        <v>179</v>
      </c>
    </row>
    <row r="186" spans="1:22">
      <c r="A186" s="343">
        <v>3</v>
      </c>
      <c r="B186" s="319" t="s">
        <v>62</v>
      </c>
      <c r="C186" s="319" t="s">
        <v>62</v>
      </c>
      <c r="D186" s="351">
        <v>9.9999999999999995E-7</v>
      </c>
      <c r="E186" s="342">
        <f>0.5*(MAX(B186:D186)-MIN(B186:D186))</f>
        <v>0</v>
      </c>
      <c r="F186" s="331"/>
      <c r="I186" s="343">
        <v>3</v>
      </c>
      <c r="J186" s="319" t="s">
        <v>62</v>
      </c>
      <c r="K186" s="319" t="s">
        <v>62</v>
      </c>
      <c r="L186" s="351">
        <v>9.9999999999999995E-7</v>
      </c>
      <c r="M186" s="342">
        <f>0.5*(MAX(J186:L186)-MIN(J186:L186))</f>
        <v>0</v>
      </c>
      <c r="N186" s="331"/>
      <c r="Q186" s="343">
        <v>3</v>
      </c>
      <c r="R186" s="319" t="s">
        <v>62</v>
      </c>
      <c r="S186" s="319" t="s">
        <v>62</v>
      </c>
      <c r="T186" s="351">
        <v>9.9999999999999995E-7</v>
      </c>
      <c r="U186" s="342">
        <f>0.5*(MAX(R186:T186)-MIN(R186:T186))</f>
        <v>0</v>
      </c>
      <c r="V186" s="331"/>
    </row>
    <row r="187" spans="1:22" ht="36.75" customHeight="1">
      <c r="A187" s="330" t="s">
        <v>287</v>
      </c>
      <c r="B187" s="649" t="s">
        <v>75</v>
      </c>
      <c r="C187" s="649" t="s">
        <v>75</v>
      </c>
      <c r="D187" s="649"/>
      <c r="E187" s="341" t="s">
        <v>74</v>
      </c>
      <c r="F187" s="345" t="s">
        <v>176</v>
      </c>
      <c r="I187" s="330" t="s">
        <v>287</v>
      </c>
      <c r="J187" s="649" t="s">
        <v>75</v>
      </c>
      <c r="K187" s="649" t="s">
        <v>75</v>
      </c>
      <c r="L187" s="649"/>
      <c r="M187" s="341" t="s">
        <v>74</v>
      </c>
      <c r="N187" s="345" t="s">
        <v>176</v>
      </c>
      <c r="Q187" s="330" t="s">
        <v>287</v>
      </c>
      <c r="R187" s="649" t="s">
        <v>75</v>
      </c>
      <c r="S187" s="649" t="s">
        <v>75</v>
      </c>
      <c r="T187" s="649"/>
      <c r="U187" s="341" t="s">
        <v>74</v>
      </c>
      <c r="V187" s="345" t="s">
        <v>176</v>
      </c>
    </row>
    <row r="188" spans="1:22" ht="13">
      <c r="A188" s="346" t="s">
        <v>288</v>
      </c>
      <c r="B188" s="649">
        <f>B182</f>
        <v>2018</v>
      </c>
      <c r="C188" s="649">
        <f>C182</f>
        <v>2018</v>
      </c>
      <c r="D188" s="649">
        <f>D182</f>
        <v>2019</v>
      </c>
      <c r="E188" s="342"/>
      <c r="F188" s="345"/>
      <c r="I188" s="346" t="s">
        <v>288</v>
      </c>
      <c r="J188" s="649">
        <f>J182</f>
        <v>2018</v>
      </c>
      <c r="K188" s="649">
        <f>K182</f>
        <v>2018</v>
      </c>
      <c r="L188" s="649">
        <f>L182</f>
        <v>2019</v>
      </c>
      <c r="M188" s="342"/>
      <c r="N188" s="345"/>
      <c r="Q188" s="346" t="s">
        <v>288</v>
      </c>
      <c r="R188" s="649">
        <f>R182</f>
        <v>2018</v>
      </c>
      <c r="S188" s="649">
        <f>S182</f>
        <v>2018</v>
      </c>
      <c r="T188" s="649">
        <f>T182</f>
        <v>2019</v>
      </c>
      <c r="U188" s="342"/>
      <c r="V188" s="345"/>
    </row>
    <row r="189" spans="1:22">
      <c r="A189" s="343">
        <v>0.5</v>
      </c>
      <c r="B189" s="351">
        <v>9.9999999999999995E-7</v>
      </c>
      <c r="C189" s="351">
        <v>9.9999999999999995E-7</v>
      </c>
      <c r="D189" s="351">
        <v>9.9999999999999995E-7</v>
      </c>
      <c r="E189" s="342">
        <f>0.5*(MAX(B189:D189)-MIN(B189:D189))</f>
        <v>0</v>
      </c>
      <c r="F189" s="348">
        <v>1E-4</v>
      </c>
      <c r="I189" s="343">
        <v>0.5</v>
      </c>
      <c r="J189" s="351">
        <v>9.9999999999999995E-7</v>
      </c>
      <c r="K189" s="351">
        <v>9.9999999999999995E-7</v>
      </c>
      <c r="L189" s="351">
        <v>9.9999999999999995E-7</v>
      </c>
      <c r="M189" s="351">
        <v>9.9999999999999995E-7</v>
      </c>
      <c r="N189" s="348">
        <v>1E-4</v>
      </c>
      <c r="Q189" s="343">
        <v>0.5</v>
      </c>
      <c r="R189" s="351">
        <v>9.9999999999999995E-7</v>
      </c>
      <c r="S189" s="351">
        <v>9.9999999999999995E-7</v>
      </c>
      <c r="T189" s="351">
        <v>9.9999999999999995E-7</v>
      </c>
      <c r="U189" s="342">
        <f>0.5*(MAX(R189:T189)-MIN(R189:T189))</f>
        <v>0</v>
      </c>
      <c r="V189" s="348">
        <v>1E-4</v>
      </c>
    </row>
    <row r="190" spans="1:22">
      <c r="A190" s="343">
        <v>1</v>
      </c>
      <c r="B190" s="351">
        <v>9.9999999999999995E-7</v>
      </c>
      <c r="C190" s="351">
        <v>9.9999999999999995E-7</v>
      </c>
      <c r="D190" s="351">
        <v>9.9999999999999995E-7</v>
      </c>
      <c r="E190" s="342">
        <f>0.5*(MAX(B190:D190)-MIN(B190:D190))</f>
        <v>0</v>
      </c>
      <c r="F190" s="348">
        <v>1E-4</v>
      </c>
      <c r="I190" s="343">
        <v>1</v>
      </c>
      <c r="J190" s="351">
        <v>9.9999999999999995E-7</v>
      </c>
      <c r="K190" s="351">
        <v>9.9999999999999995E-7</v>
      </c>
      <c r="L190" s="351">
        <v>9.9999999999999995E-7</v>
      </c>
      <c r="M190" s="351">
        <v>9.9999999999999995E-7</v>
      </c>
      <c r="N190" s="348">
        <v>1E-4</v>
      </c>
      <c r="Q190" s="343">
        <v>1</v>
      </c>
      <c r="R190" s="351">
        <v>9.9999999999999995E-7</v>
      </c>
      <c r="S190" s="351">
        <v>9.9999999999999995E-7</v>
      </c>
      <c r="T190" s="351">
        <v>9.9999999999999995E-7</v>
      </c>
      <c r="U190" s="342">
        <f>0.5*(MAX(R190:T190)-MIN(R190:T190))</f>
        <v>0</v>
      </c>
      <c r="V190" s="348">
        <v>1E-4</v>
      </c>
    </row>
    <row r="191" spans="1:22">
      <c r="A191" s="343">
        <v>2</v>
      </c>
      <c r="B191" s="351">
        <v>9.9999999999999995E-7</v>
      </c>
      <c r="C191" s="351">
        <v>9.9999999999999995E-7</v>
      </c>
      <c r="D191" s="351">
        <v>9.9999999999999995E-7</v>
      </c>
      <c r="E191" s="342">
        <f>0.5*(MAX(B191:D191)-MIN(B191:D191))</f>
        <v>0</v>
      </c>
      <c r="F191" s="348">
        <v>1E-4</v>
      </c>
      <c r="I191" s="343">
        <v>2</v>
      </c>
      <c r="J191" s="351">
        <v>9.9999999999999995E-7</v>
      </c>
      <c r="K191" s="351">
        <v>9.9999999999999995E-7</v>
      </c>
      <c r="L191" s="351">
        <v>9.9999999999999995E-7</v>
      </c>
      <c r="M191" s="351">
        <v>9.9999999999999995E-7</v>
      </c>
      <c r="N191" s="348">
        <v>1E-4</v>
      </c>
      <c r="Q191" s="343">
        <v>2</v>
      </c>
      <c r="R191" s="351">
        <v>9.9999999999999995E-7</v>
      </c>
      <c r="S191" s="351">
        <v>9.9999999999999995E-7</v>
      </c>
      <c r="T191" s="351">
        <v>9.9999999999999995E-7</v>
      </c>
      <c r="U191" s="342">
        <f>0.5*(MAX(R191:T191)-MIN(R191:T191))</f>
        <v>0</v>
      </c>
      <c r="V191" s="348">
        <v>1E-4</v>
      </c>
    </row>
    <row r="192" spans="1:22" ht="26">
      <c r="A192" s="330" t="s">
        <v>291</v>
      </c>
      <c r="B192" s="649" t="s">
        <v>75</v>
      </c>
      <c r="C192" s="649" t="s">
        <v>75</v>
      </c>
      <c r="D192" s="649"/>
      <c r="E192" s="341" t="s">
        <v>74</v>
      </c>
      <c r="F192" s="345" t="s">
        <v>176</v>
      </c>
      <c r="I192" s="330" t="s">
        <v>291</v>
      </c>
      <c r="J192" s="649" t="s">
        <v>75</v>
      </c>
      <c r="K192" s="649" t="s">
        <v>75</v>
      </c>
      <c r="L192" s="649"/>
      <c r="M192" s="341" t="s">
        <v>74</v>
      </c>
      <c r="N192" s="345" t="s">
        <v>176</v>
      </c>
      <c r="Q192" s="330" t="s">
        <v>291</v>
      </c>
      <c r="R192" s="649" t="s">
        <v>75</v>
      </c>
      <c r="S192" s="649" t="s">
        <v>75</v>
      </c>
      <c r="T192" s="649"/>
      <c r="U192" s="341" t="s">
        <v>74</v>
      </c>
      <c r="V192" s="345" t="s">
        <v>176</v>
      </c>
    </row>
    <row r="193" spans="1:22" ht="13">
      <c r="A193" s="330" t="s">
        <v>292</v>
      </c>
      <c r="B193" s="649">
        <f>B188</f>
        <v>2018</v>
      </c>
      <c r="C193" s="649">
        <f>C188</f>
        <v>2018</v>
      </c>
      <c r="D193" s="649">
        <f>D188</f>
        <v>2019</v>
      </c>
      <c r="E193" s="342"/>
      <c r="F193" s="345"/>
      <c r="I193" s="330" t="s">
        <v>292</v>
      </c>
      <c r="J193" s="649">
        <f>J188</f>
        <v>2018</v>
      </c>
      <c r="K193" s="649">
        <f>K188</f>
        <v>2018</v>
      </c>
      <c r="L193" s="649">
        <f>L188</f>
        <v>2019</v>
      </c>
      <c r="M193" s="342"/>
      <c r="N193" s="345"/>
      <c r="Q193" s="330" t="s">
        <v>292</v>
      </c>
      <c r="R193" s="649">
        <f>R188</f>
        <v>2018</v>
      </c>
      <c r="S193" s="649">
        <f>S188</f>
        <v>2018</v>
      </c>
      <c r="T193" s="649">
        <f>T188</f>
        <v>2019</v>
      </c>
      <c r="U193" s="342"/>
      <c r="V193" s="345"/>
    </row>
    <row r="194" spans="1:22">
      <c r="A194" s="343">
        <v>0.125</v>
      </c>
      <c r="B194" s="351">
        <v>9.9999999999999995E-7</v>
      </c>
      <c r="C194" s="351">
        <v>9.9999999999999995E-7</v>
      </c>
      <c r="D194" s="351">
        <v>9.9999999999999995E-7</v>
      </c>
      <c r="E194" s="342">
        <f>0.5*(MAX(B194:D194)-MIN(B194:D194))</f>
        <v>0</v>
      </c>
      <c r="F194" s="348">
        <v>2.5999999999999998E-5</v>
      </c>
      <c r="I194" s="343">
        <v>0.125</v>
      </c>
      <c r="J194" s="351">
        <v>9.9999999999999995E-7</v>
      </c>
      <c r="K194" s="351">
        <v>9.9999999999999995E-7</v>
      </c>
      <c r="L194" s="351">
        <v>9.9999999999999995E-7</v>
      </c>
      <c r="M194" s="342">
        <f>0.5*(MAX(J194:L194)-MIN(J194:L194))</f>
        <v>0</v>
      </c>
      <c r="N194" s="348">
        <v>2.5999999999999998E-5</v>
      </c>
      <c r="Q194" s="343">
        <v>0.125</v>
      </c>
      <c r="R194" s="351">
        <v>9.9999999999999995E-7</v>
      </c>
      <c r="S194" s="351">
        <v>9.9999999999999995E-7</v>
      </c>
      <c r="T194" s="351">
        <v>9.9999999999999995E-7</v>
      </c>
      <c r="U194" s="342">
        <f>0.5*(MAX(R194:T194)-MIN(R194:T194))</f>
        <v>0</v>
      </c>
      <c r="V194" s="348">
        <v>2.5999999999999998E-5</v>
      </c>
    </row>
    <row r="195" spans="1:22">
      <c r="A195" s="343">
        <v>2</v>
      </c>
      <c r="B195" s="351">
        <v>9.9999999999999995E-7</v>
      </c>
      <c r="C195" s="351">
        <v>9.9999999999999995E-7</v>
      </c>
      <c r="D195" s="351">
        <v>9.9999999999999995E-7</v>
      </c>
      <c r="E195" s="342">
        <f>0.5*(MAX(B195:D195)-MIN(B195:D195))</f>
        <v>0</v>
      </c>
      <c r="F195" s="348">
        <v>2.5999999999999998E-5</v>
      </c>
      <c r="I195" s="343">
        <v>2</v>
      </c>
      <c r="J195" s="351">
        <v>9.9999999999999995E-7</v>
      </c>
      <c r="K195" s="351">
        <v>9.9999999999999995E-7</v>
      </c>
      <c r="L195" s="351">
        <v>9.9999999999999995E-7</v>
      </c>
      <c r="M195" s="342">
        <f>0.5*(MAX(J195:L195)-MIN(J195:L195))</f>
        <v>0</v>
      </c>
      <c r="N195" s="348">
        <v>2.5999999999999998E-5</v>
      </c>
      <c r="Q195" s="343">
        <v>2</v>
      </c>
      <c r="R195" s="351">
        <v>9.9999999999999995E-7</v>
      </c>
      <c r="S195" s="351">
        <v>9.9999999999999995E-7</v>
      </c>
      <c r="T195" s="351">
        <v>9.9999999999999995E-7</v>
      </c>
      <c r="U195" s="342">
        <f>0.5*(MAX(R195:T195)-MIN(R195:T195))</f>
        <v>0</v>
      </c>
      <c r="V195" s="348">
        <v>2.5999999999999998E-5</v>
      </c>
    </row>
    <row r="196" spans="1:22" ht="26">
      <c r="A196" s="330" t="s">
        <v>294</v>
      </c>
      <c r="B196" s="649" t="s">
        <v>75</v>
      </c>
      <c r="C196" s="649" t="s">
        <v>75</v>
      </c>
      <c r="D196" s="649"/>
      <c r="E196" s="341" t="s">
        <v>74</v>
      </c>
      <c r="F196" s="345" t="s">
        <v>176</v>
      </c>
      <c r="I196" s="330" t="s">
        <v>294</v>
      </c>
      <c r="J196" s="649" t="s">
        <v>75</v>
      </c>
      <c r="K196" s="649" t="s">
        <v>75</v>
      </c>
      <c r="L196" s="649"/>
      <c r="M196" s="341" t="s">
        <v>74</v>
      </c>
      <c r="N196" s="345" t="s">
        <v>176</v>
      </c>
      <c r="Q196" s="330" t="s">
        <v>294</v>
      </c>
      <c r="R196" s="649" t="s">
        <v>75</v>
      </c>
      <c r="S196" s="649" t="s">
        <v>75</v>
      </c>
      <c r="T196" s="649"/>
      <c r="U196" s="341" t="s">
        <v>74</v>
      </c>
      <c r="V196" s="345" t="s">
        <v>176</v>
      </c>
    </row>
    <row r="197" spans="1:22" ht="13">
      <c r="A197" s="330" t="s">
        <v>292</v>
      </c>
      <c r="B197" s="649">
        <f>B193</f>
        <v>2018</v>
      </c>
      <c r="C197" s="649">
        <f>C193</f>
        <v>2018</v>
      </c>
      <c r="D197" s="649">
        <f>D193</f>
        <v>2019</v>
      </c>
      <c r="E197" s="342"/>
      <c r="F197" s="345"/>
      <c r="I197" s="330" t="s">
        <v>292</v>
      </c>
      <c r="J197" s="649">
        <f>J193</f>
        <v>2018</v>
      </c>
      <c r="K197" s="649">
        <f>K193</f>
        <v>2018</v>
      </c>
      <c r="L197" s="649">
        <f>L193</f>
        <v>2019</v>
      </c>
      <c r="M197" s="342"/>
      <c r="N197" s="345"/>
      <c r="Q197" s="330" t="s">
        <v>292</v>
      </c>
      <c r="R197" s="649">
        <f>R193</f>
        <v>2018</v>
      </c>
      <c r="S197" s="649">
        <f>S193</f>
        <v>2018</v>
      </c>
      <c r="T197" s="649">
        <f>T193</f>
        <v>2019</v>
      </c>
      <c r="U197" s="342"/>
      <c r="V197" s="345"/>
    </row>
    <row r="198" spans="1:22">
      <c r="A198" s="343">
        <v>10</v>
      </c>
      <c r="B198" s="351">
        <v>9.9999999999999995E-7</v>
      </c>
      <c r="C198" s="351">
        <v>9.9999999999999995E-7</v>
      </c>
      <c r="D198" s="351">
        <v>9.9999999999999995E-7</v>
      </c>
      <c r="E198" s="342">
        <f>0.5*(MAX(B198:D198)-MIN(B198:D198))</f>
        <v>0</v>
      </c>
      <c r="F198" s="348">
        <v>2.5999999999999998E-5</v>
      </c>
      <c r="I198" s="343">
        <v>10</v>
      </c>
      <c r="J198" s="351">
        <v>9.9999999999999995E-7</v>
      </c>
      <c r="K198" s="351">
        <v>9.9999999999999995E-7</v>
      </c>
      <c r="L198" s="351">
        <v>9.9999999999999995E-7</v>
      </c>
      <c r="M198" s="342">
        <f>0.5*(MAX(J198:L198)-MIN(J198:L198))</f>
        <v>0</v>
      </c>
      <c r="N198" s="348">
        <v>2.5999999999999998E-5</v>
      </c>
      <c r="Q198" s="343">
        <v>10</v>
      </c>
      <c r="R198" s="351">
        <v>9.9999999999999995E-7</v>
      </c>
      <c r="S198" s="351">
        <v>9.9999999999999995E-7</v>
      </c>
      <c r="T198" s="351">
        <v>9.9999999999999995E-7</v>
      </c>
      <c r="U198" s="342">
        <f>0.5*(MAX(R198:T198)-MIN(R198:T198))</f>
        <v>0</v>
      </c>
      <c r="V198" s="348">
        <v>2.5999999999999998E-5</v>
      </c>
    </row>
    <row r="199" spans="1:22" ht="12.75" customHeight="1">
      <c r="A199" s="646" t="s">
        <v>180</v>
      </c>
      <c r="B199" s="646" t="s">
        <v>75</v>
      </c>
      <c r="C199" s="646" t="s">
        <v>75</v>
      </c>
      <c r="D199" s="646"/>
      <c r="E199" s="646" t="s">
        <v>74</v>
      </c>
      <c r="F199" s="648" t="s">
        <v>176</v>
      </c>
      <c r="I199" s="646" t="s">
        <v>180</v>
      </c>
      <c r="J199" s="646" t="s">
        <v>75</v>
      </c>
      <c r="K199" s="646" t="s">
        <v>75</v>
      </c>
      <c r="L199" s="646"/>
      <c r="M199" s="1403" t="s">
        <v>74</v>
      </c>
      <c r="N199" s="1422" t="s">
        <v>176</v>
      </c>
      <c r="Q199" s="646" t="s">
        <v>180</v>
      </c>
      <c r="R199" s="646" t="s">
        <v>75</v>
      </c>
      <c r="S199" s="646" t="s">
        <v>75</v>
      </c>
      <c r="T199" s="646"/>
      <c r="U199" s="1403" t="s">
        <v>74</v>
      </c>
      <c r="V199" s="1422" t="s">
        <v>176</v>
      </c>
    </row>
    <row r="200" spans="1:22" ht="14">
      <c r="A200" s="647" t="s">
        <v>338</v>
      </c>
      <c r="B200" s="646">
        <f>B197</f>
        <v>2018</v>
      </c>
      <c r="C200" s="646">
        <f>C197</f>
        <v>2018</v>
      </c>
      <c r="D200" s="646">
        <f>D197</f>
        <v>2019</v>
      </c>
      <c r="E200" s="646"/>
      <c r="F200" s="648"/>
      <c r="I200" s="647" t="s">
        <v>338</v>
      </c>
      <c r="J200" s="646">
        <f>J197</f>
        <v>2018</v>
      </c>
      <c r="K200" s="646">
        <f>K197</f>
        <v>2018</v>
      </c>
      <c r="L200" s="646">
        <f>L197</f>
        <v>2019</v>
      </c>
      <c r="M200" s="1403"/>
      <c r="N200" s="1422"/>
      <c r="Q200" s="647" t="s">
        <v>338</v>
      </c>
      <c r="R200" s="646">
        <f>R197</f>
        <v>2018</v>
      </c>
      <c r="S200" s="646">
        <f>S197</f>
        <v>2018</v>
      </c>
      <c r="T200" s="646">
        <f>T197</f>
        <v>2019</v>
      </c>
      <c r="U200" s="1403"/>
      <c r="V200" s="1422"/>
    </row>
    <row r="201" spans="1:22">
      <c r="A201" s="349">
        <v>15</v>
      </c>
      <c r="B201" s="351">
        <v>9.9999999999999995E-7</v>
      </c>
      <c r="C201" s="351">
        <v>9.9999999999999995E-7</v>
      </c>
      <c r="D201" s="351">
        <v>9.9999999999999995E-7</v>
      </c>
      <c r="E201" s="220">
        <f>0.5*(MAX(B201:D201)-MIN(B201:D201))</f>
        <v>0</v>
      </c>
      <c r="F201" s="350"/>
      <c r="I201" s="349">
        <v>15</v>
      </c>
      <c r="J201" s="351">
        <v>9.9999999999999995E-7</v>
      </c>
      <c r="K201" s="351">
        <v>9.9999999999999995E-7</v>
      </c>
      <c r="L201" s="351">
        <v>9.9999999999999995E-7</v>
      </c>
      <c r="M201" s="220">
        <f>0.5*(MAX(J201:L201)-MIN(J201:L201))</f>
        <v>0</v>
      </c>
      <c r="N201" s="350"/>
      <c r="Q201" s="349">
        <v>15</v>
      </c>
      <c r="R201" s="351">
        <v>9.9999999999999995E-7</v>
      </c>
      <c r="S201" s="351">
        <v>9.9999999999999995E-7</v>
      </c>
      <c r="T201" s="351">
        <v>9.9999999999999995E-7</v>
      </c>
      <c r="U201" s="220">
        <f>0.5*(MAX(R201:T201)-MIN(R201:T201))</f>
        <v>0</v>
      </c>
      <c r="V201" s="350"/>
    </row>
    <row r="202" spans="1:22">
      <c r="A202" s="56">
        <v>30</v>
      </c>
      <c r="B202" s="351">
        <v>9.9999999999999995E-7</v>
      </c>
      <c r="C202" s="351">
        <v>9.9999999999999995E-7</v>
      </c>
      <c r="D202" s="351">
        <v>9.9999999999999995E-7</v>
      </c>
      <c r="E202" s="220">
        <f>0.5*(MAX(B202:D202)-MIN(B202:D202))</f>
        <v>0</v>
      </c>
      <c r="F202" s="45">
        <v>1.1999999999999999E-3</v>
      </c>
      <c r="I202" s="56">
        <v>30</v>
      </c>
      <c r="J202" s="351">
        <v>9.9999999999999995E-7</v>
      </c>
      <c r="K202" s="351">
        <v>9.9999999999999995E-7</v>
      </c>
      <c r="L202" s="351">
        <v>9.9999999999999995E-7</v>
      </c>
      <c r="M202" s="220">
        <f>0.5*(MAX(J202:L202)-MIN(J202:L202))</f>
        <v>0</v>
      </c>
      <c r="N202" s="45">
        <v>1.1999999999999999E-3</v>
      </c>
      <c r="Q202" s="56">
        <v>30</v>
      </c>
      <c r="R202" s="351">
        <v>9.9999999999999995E-7</v>
      </c>
      <c r="S202" s="351">
        <v>9.9999999999999995E-7</v>
      </c>
      <c r="T202" s="351">
        <v>9.9999999999999995E-7</v>
      </c>
      <c r="U202" s="220">
        <f>0.5*(MAX(R202:T202)-MIN(R202:T202))</f>
        <v>0</v>
      </c>
      <c r="V202" s="45">
        <v>1.1999999999999999E-3</v>
      </c>
    </row>
    <row r="203" spans="1:22">
      <c r="A203" s="56">
        <v>60</v>
      </c>
      <c r="B203" s="351">
        <v>9.9999999999999995E-7</v>
      </c>
      <c r="C203" s="351">
        <v>9.9999999999999995E-7</v>
      </c>
      <c r="D203" s="351">
        <v>9.9999999999999995E-7</v>
      </c>
      <c r="E203" s="220">
        <f>0.5*(MAX(B203:D203)-MIN(B203:D203))</f>
        <v>0</v>
      </c>
      <c r="F203" s="45" t="s">
        <v>178</v>
      </c>
      <c r="I203" s="56">
        <v>60</v>
      </c>
      <c r="J203" s="351">
        <v>9.9999999999999995E-7</v>
      </c>
      <c r="K203" s="351">
        <v>9.9999999999999995E-7</v>
      </c>
      <c r="L203" s="351">
        <v>9.9999999999999995E-7</v>
      </c>
      <c r="M203" s="220">
        <f>0.5*(MAX(J203:L203)-MIN(J203:L203))</f>
        <v>0</v>
      </c>
      <c r="N203" s="45" t="s">
        <v>178</v>
      </c>
      <c r="Q203" s="56">
        <v>60</v>
      </c>
      <c r="R203" s="351">
        <v>9.9999999999999995E-7</v>
      </c>
      <c r="S203" s="351">
        <v>9.9999999999999995E-7</v>
      </c>
      <c r="T203" s="351">
        <v>9.9999999999999995E-7</v>
      </c>
      <c r="U203" s="220">
        <f>0.5*(MAX(R203:T203)-MIN(R203:T203))</f>
        <v>0</v>
      </c>
      <c r="V203" s="45" t="s">
        <v>178</v>
      </c>
    </row>
    <row r="204" spans="1:22">
      <c r="A204" s="56">
        <v>120</v>
      </c>
      <c r="B204" s="351">
        <v>9.9999999999999995E-7</v>
      </c>
      <c r="C204" s="351">
        <v>9.9999999999999995E-7</v>
      </c>
      <c r="D204" s="351">
        <v>9.9999999999999995E-7</v>
      </c>
      <c r="E204" s="220">
        <f>0.5*(MAX(B204:D204)-MIN(B204:D204))</f>
        <v>0</v>
      </c>
      <c r="F204" s="45" t="s">
        <v>179</v>
      </c>
      <c r="I204" s="56">
        <v>120</v>
      </c>
      <c r="J204" s="351">
        <v>9.9999999999999995E-7</v>
      </c>
      <c r="K204" s="351">
        <v>9.9999999999999995E-7</v>
      </c>
      <c r="L204" s="351">
        <v>9.9999999999999995E-7</v>
      </c>
      <c r="M204" s="220">
        <f>0.5*(MAX(J204:L204)-MIN(J204:L204))</f>
        <v>0</v>
      </c>
      <c r="N204" s="45" t="s">
        <v>179</v>
      </c>
      <c r="Q204" s="56">
        <v>120</v>
      </c>
      <c r="R204" s="351">
        <v>9.9999999999999995E-7</v>
      </c>
      <c r="S204" s="351">
        <v>9.9999999999999995E-7</v>
      </c>
      <c r="T204" s="351">
        <v>9.9999999999999995E-7</v>
      </c>
      <c r="U204" s="220">
        <f>0.5*(MAX(R204:T204)-MIN(R204:T204))</f>
        <v>0</v>
      </c>
      <c r="V204" s="45" t="s">
        <v>179</v>
      </c>
    </row>
    <row r="205" spans="1:22">
      <c r="A205" s="56">
        <v>180</v>
      </c>
      <c r="B205" s="351">
        <v>9.9999999999999995E-7</v>
      </c>
      <c r="C205" s="351">
        <v>9.9999999999999995E-7</v>
      </c>
      <c r="D205" s="351">
        <v>9.9999999999999995E-7</v>
      </c>
      <c r="E205" s="220">
        <f>0.5*(MAX(B205:D205)-MIN(B205:D205))</f>
        <v>0</v>
      </c>
      <c r="F205" s="45" t="s">
        <v>62</v>
      </c>
      <c r="I205" s="56">
        <v>180</v>
      </c>
      <c r="J205" s="351">
        <v>9.9999999999999995E-7</v>
      </c>
      <c r="K205" s="351">
        <v>9.9999999999999995E-7</v>
      </c>
      <c r="L205" s="351">
        <v>9.9999999999999995E-7</v>
      </c>
      <c r="M205" s="220">
        <f>0.5*(MAX(J205:L205)-MIN(J205:L205))</f>
        <v>0</v>
      </c>
      <c r="N205" s="45" t="s">
        <v>62</v>
      </c>
      <c r="Q205" s="56">
        <v>180</v>
      </c>
      <c r="R205" s="351">
        <v>9.9999999999999995E-7</v>
      </c>
      <c r="S205" s="351">
        <v>9.9999999999999995E-7</v>
      </c>
      <c r="T205" s="351">
        <v>9.9999999999999995E-7</v>
      </c>
      <c r="U205" s="220">
        <f>0.5*(MAX(R205:T205)-MIN(R205:T205))</f>
        <v>0</v>
      </c>
      <c r="V205" s="45" t="s">
        <v>62</v>
      </c>
    </row>
    <row r="208" spans="1:22" ht="30.75" customHeight="1">
      <c r="A208" s="327" t="s">
        <v>310</v>
      </c>
      <c r="I208" s="328" t="s">
        <v>311</v>
      </c>
      <c r="Q208" s="329" t="s">
        <v>312</v>
      </c>
    </row>
    <row r="209" spans="1:22" ht="15.75" customHeight="1">
      <c r="A209" s="1414" t="s">
        <v>175</v>
      </c>
      <c r="B209" s="1414"/>
      <c r="C209" s="1414"/>
      <c r="D209" s="1414"/>
      <c r="E209" s="649" t="s">
        <v>74</v>
      </c>
      <c r="F209" s="650" t="s">
        <v>176</v>
      </c>
      <c r="I209" s="1414" t="s">
        <v>175</v>
      </c>
      <c r="J209" s="1414"/>
      <c r="K209" s="1414"/>
      <c r="L209" s="1414"/>
      <c r="M209" s="1415" t="s">
        <v>74</v>
      </c>
      <c r="N209" s="1417" t="s">
        <v>176</v>
      </c>
      <c r="Q209" s="1414" t="s">
        <v>175</v>
      </c>
      <c r="R209" s="1414"/>
      <c r="S209" s="1414"/>
      <c r="T209" s="1414"/>
      <c r="U209" s="1415" t="s">
        <v>74</v>
      </c>
      <c r="V209" s="1417" t="s">
        <v>176</v>
      </c>
    </row>
    <row r="210" spans="1:22" ht="13">
      <c r="A210" s="649" t="s">
        <v>177</v>
      </c>
      <c r="B210" s="1415" t="s">
        <v>75</v>
      </c>
      <c r="C210" s="1415"/>
      <c r="D210" s="1415"/>
      <c r="E210" s="649"/>
      <c r="F210" s="650"/>
      <c r="I210" s="649" t="s">
        <v>177</v>
      </c>
      <c r="J210" s="1415" t="s">
        <v>75</v>
      </c>
      <c r="K210" s="1415"/>
      <c r="L210" s="1415"/>
      <c r="M210" s="1415"/>
      <c r="N210" s="1417"/>
      <c r="Q210" s="649" t="s">
        <v>177</v>
      </c>
      <c r="R210" s="1415" t="s">
        <v>75</v>
      </c>
      <c r="S210" s="1415"/>
      <c r="T210" s="1415"/>
      <c r="U210" s="1415"/>
      <c r="V210" s="1417"/>
    </row>
    <row r="211" spans="1:22" ht="15.75" customHeight="1">
      <c r="A211" s="647" t="s">
        <v>111</v>
      </c>
      <c r="B211" s="649">
        <v>2018</v>
      </c>
      <c r="C211" s="649">
        <v>2018</v>
      </c>
      <c r="D211" s="649">
        <v>2019</v>
      </c>
      <c r="E211" s="649"/>
      <c r="F211" s="650"/>
      <c r="I211" s="647" t="s">
        <v>111</v>
      </c>
      <c r="J211" s="649">
        <v>2018</v>
      </c>
      <c r="K211" s="649">
        <v>2018</v>
      </c>
      <c r="L211" s="649">
        <v>2019</v>
      </c>
      <c r="M211" s="1415"/>
      <c r="N211" s="1417"/>
      <c r="Q211" s="647" t="s">
        <v>111</v>
      </c>
      <c r="R211" s="649">
        <v>2018</v>
      </c>
      <c r="S211" s="649">
        <v>2018</v>
      </c>
      <c r="T211" s="649">
        <v>2019</v>
      </c>
      <c r="U211" s="1415"/>
      <c r="V211" s="1417"/>
    </row>
    <row r="212" spans="1:22">
      <c r="A212" s="343">
        <v>0.5</v>
      </c>
      <c r="B212" s="319" t="s">
        <v>62</v>
      </c>
      <c r="C212" s="319" t="s">
        <v>62</v>
      </c>
      <c r="D212" s="351">
        <v>9.9999999999999995E-7</v>
      </c>
      <c r="E212" s="342">
        <f>0.5*(MAX(B212:D212)-MIN(B212:D212))</f>
        <v>0</v>
      </c>
      <c r="F212" s="331">
        <v>5.4999999999999997E-3</v>
      </c>
      <c r="I212" s="343">
        <v>0.5</v>
      </c>
      <c r="J212" s="319" t="s">
        <v>62</v>
      </c>
      <c r="K212" s="319" t="s">
        <v>62</v>
      </c>
      <c r="L212" s="351">
        <v>9.9999999999999995E-7</v>
      </c>
      <c r="M212" s="342">
        <f>0.5*(MAX(J212:L212)-MIN(J212:L212))</f>
        <v>0</v>
      </c>
      <c r="N212" s="331">
        <v>5.4999999999999997E-3</v>
      </c>
      <c r="Q212" s="343">
        <v>0.5</v>
      </c>
      <c r="R212" s="319" t="s">
        <v>62</v>
      </c>
      <c r="S212" s="319" t="s">
        <v>62</v>
      </c>
      <c r="T212" s="351">
        <v>9.9999999999999995E-7</v>
      </c>
      <c r="U212" s="342">
        <f>0.5*(MAX(R212:T212)-MIN(R212:T212))</f>
        <v>0</v>
      </c>
      <c r="V212" s="331">
        <v>5.4999999999999997E-3</v>
      </c>
    </row>
    <row r="213" spans="1:22">
      <c r="A213" s="343">
        <v>1</v>
      </c>
      <c r="B213" s="319" t="s">
        <v>62</v>
      </c>
      <c r="C213" s="319" t="s">
        <v>62</v>
      </c>
      <c r="D213" s="351">
        <v>9.9999999999999995E-7</v>
      </c>
      <c r="E213" s="342">
        <f>0.5*(MAX(B213:D213)-MIN(B213:D213))</f>
        <v>0</v>
      </c>
      <c r="F213" s="331" t="s">
        <v>178</v>
      </c>
      <c r="I213" s="343">
        <v>1</v>
      </c>
      <c r="J213" s="319" t="s">
        <v>62</v>
      </c>
      <c r="K213" s="319" t="s">
        <v>62</v>
      </c>
      <c r="L213" s="351">
        <v>9.9999999999999995E-7</v>
      </c>
      <c r="M213" s="342">
        <f>0.5*(MAX(J213:L213)-MIN(J213:L213))</f>
        <v>0</v>
      </c>
      <c r="N213" s="331" t="s">
        <v>178</v>
      </c>
      <c r="Q213" s="343">
        <v>1</v>
      </c>
      <c r="R213" s="319" t="s">
        <v>62</v>
      </c>
      <c r="S213" s="319" t="s">
        <v>62</v>
      </c>
      <c r="T213" s="351">
        <v>9.9999999999999995E-7</v>
      </c>
      <c r="U213" s="342">
        <f>0.5*(MAX(R213:T213)-MIN(R213:T213))</f>
        <v>0</v>
      </c>
      <c r="V213" s="331" t="s">
        <v>178</v>
      </c>
    </row>
    <row r="214" spans="1:22">
      <c r="A214" s="343">
        <v>2</v>
      </c>
      <c r="B214" s="319" t="s">
        <v>62</v>
      </c>
      <c r="C214" s="319" t="s">
        <v>62</v>
      </c>
      <c r="D214" s="351">
        <v>9.9999999999999995E-7</v>
      </c>
      <c r="E214" s="342">
        <f>0.5*(MAX(B214:D214)-MIN(B214:D214))</f>
        <v>0</v>
      </c>
      <c r="F214" s="331" t="s">
        <v>179</v>
      </c>
      <c r="I214" s="343">
        <v>2</v>
      </c>
      <c r="J214" s="319" t="s">
        <v>62</v>
      </c>
      <c r="K214" s="319" t="s">
        <v>62</v>
      </c>
      <c r="L214" s="351">
        <v>9.9999999999999995E-7</v>
      </c>
      <c r="M214" s="342">
        <f>0.5*(MAX(J214:L214)-MIN(J214:L214))</f>
        <v>0</v>
      </c>
      <c r="N214" s="331" t="s">
        <v>179</v>
      </c>
      <c r="Q214" s="343">
        <v>2</v>
      </c>
      <c r="R214" s="319" t="s">
        <v>62</v>
      </c>
      <c r="S214" s="319" t="s">
        <v>62</v>
      </c>
      <c r="T214" s="351">
        <v>9.9999999999999995E-7</v>
      </c>
      <c r="U214" s="342">
        <f>0.5*(MAX(R214:T214)-MIN(R214:T214))</f>
        <v>0</v>
      </c>
      <c r="V214" s="331" t="s">
        <v>179</v>
      </c>
    </row>
    <row r="215" spans="1:22">
      <c r="A215" s="343">
        <v>3</v>
      </c>
      <c r="B215" s="319" t="s">
        <v>62</v>
      </c>
      <c r="C215" s="319" t="s">
        <v>62</v>
      </c>
      <c r="D215" s="351">
        <v>9.9999999999999995E-7</v>
      </c>
      <c r="E215" s="342">
        <f>0.5*(MAX(B215:D215)-MIN(B215:D215))</f>
        <v>0</v>
      </c>
      <c r="F215" s="331"/>
      <c r="I215" s="343">
        <v>3</v>
      </c>
      <c r="J215" s="319" t="s">
        <v>62</v>
      </c>
      <c r="K215" s="319" t="s">
        <v>62</v>
      </c>
      <c r="L215" s="351">
        <v>9.9999999999999995E-7</v>
      </c>
      <c r="M215" s="342">
        <f>0.5*(MAX(J215:L215)-MIN(J215:L215))</f>
        <v>0</v>
      </c>
      <c r="N215" s="331"/>
      <c r="Q215" s="343">
        <v>3</v>
      </c>
      <c r="R215" s="319" t="s">
        <v>62</v>
      </c>
      <c r="S215" s="319" t="s">
        <v>62</v>
      </c>
      <c r="T215" s="351">
        <v>9.9999999999999995E-7</v>
      </c>
      <c r="U215" s="342">
        <f>0.5*(MAX(R215:T215)-MIN(R215:T215))</f>
        <v>0</v>
      </c>
      <c r="V215" s="331"/>
    </row>
    <row r="216" spans="1:22" ht="26">
      <c r="A216" s="330" t="s">
        <v>287</v>
      </c>
      <c r="B216" s="649" t="s">
        <v>75</v>
      </c>
      <c r="C216" s="649" t="s">
        <v>75</v>
      </c>
      <c r="D216" s="649"/>
      <c r="E216" s="341" t="s">
        <v>74</v>
      </c>
      <c r="F216" s="345" t="s">
        <v>176</v>
      </c>
      <c r="I216" s="330" t="s">
        <v>287</v>
      </c>
      <c r="J216" s="649" t="s">
        <v>75</v>
      </c>
      <c r="K216" s="649" t="s">
        <v>75</v>
      </c>
      <c r="L216" s="649"/>
      <c r="M216" s="341" t="s">
        <v>74</v>
      </c>
      <c r="N216" s="345" t="s">
        <v>176</v>
      </c>
      <c r="Q216" s="330" t="s">
        <v>287</v>
      </c>
      <c r="R216" s="649" t="s">
        <v>75</v>
      </c>
      <c r="S216" s="649" t="s">
        <v>75</v>
      </c>
      <c r="T216" s="649"/>
      <c r="U216" s="341" t="s">
        <v>74</v>
      </c>
      <c r="V216" s="345" t="s">
        <v>176</v>
      </c>
    </row>
    <row r="217" spans="1:22" ht="13">
      <c r="A217" s="346" t="s">
        <v>288</v>
      </c>
      <c r="B217" s="649">
        <f>B211</f>
        <v>2018</v>
      </c>
      <c r="C217" s="649">
        <f>C211</f>
        <v>2018</v>
      </c>
      <c r="D217" s="649">
        <f>D211</f>
        <v>2019</v>
      </c>
      <c r="E217" s="342"/>
      <c r="F217" s="345"/>
      <c r="I217" s="346" t="s">
        <v>288</v>
      </c>
      <c r="J217" s="649">
        <f>J211</f>
        <v>2018</v>
      </c>
      <c r="K217" s="649">
        <f>K211</f>
        <v>2018</v>
      </c>
      <c r="L217" s="649">
        <f>L211</f>
        <v>2019</v>
      </c>
      <c r="M217" s="342"/>
      <c r="N217" s="345"/>
      <c r="Q217" s="346" t="s">
        <v>288</v>
      </c>
      <c r="R217" s="649">
        <f>R211</f>
        <v>2018</v>
      </c>
      <c r="S217" s="649">
        <f>S211</f>
        <v>2018</v>
      </c>
      <c r="T217" s="649">
        <f>T211</f>
        <v>2019</v>
      </c>
      <c r="U217" s="342"/>
      <c r="V217" s="345"/>
    </row>
    <row r="218" spans="1:22">
      <c r="A218" s="343">
        <v>0.5</v>
      </c>
      <c r="B218" s="351">
        <v>9.9999999999999995E-7</v>
      </c>
      <c r="C218" s="351">
        <v>9.9999999999999995E-7</v>
      </c>
      <c r="D218" s="351">
        <v>9.9999999999999995E-7</v>
      </c>
      <c r="E218" s="342">
        <f>0.5*(MAX(B218:D218)-MIN(B218:D218))</f>
        <v>0</v>
      </c>
      <c r="F218" s="348">
        <v>1E-4</v>
      </c>
      <c r="I218" s="343">
        <v>0.5</v>
      </c>
      <c r="J218" s="351">
        <v>9.9999999999999995E-7</v>
      </c>
      <c r="K218" s="351">
        <v>9.9999999999999995E-7</v>
      </c>
      <c r="L218" s="351">
        <v>9.9999999999999995E-7</v>
      </c>
      <c r="M218" s="351">
        <v>9.9999999999999995E-7</v>
      </c>
      <c r="N218" s="348">
        <v>1E-4</v>
      </c>
      <c r="Q218" s="343">
        <v>0.5</v>
      </c>
      <c r="R218" s="351">
        <v>9.9999999999999995E-7</v>
      </c>
      <c r="S218" s="351">
        <v>9.9999999999999995E-7</v>
      </c>
      <c r="T218" s="351">
        <v>9.9999999999999995E-7</v>
      </c>
      <c r="U218" s="342">
        <f>0.5*(MAX(R218:T218)-MIN(R218:T218))</f>
        <v>0</v>
      </c>
      <c r="V218" s="348">
        <v>1E-4</v>
      </c>
    </row>
    <row r="219" spans="1:22">
      <c r="A219" s="343">
        <v>1</v>
      </c>
      <c r="B219" s="351">
        <v>9.9999999999999995E-7</v>
      </c>
      <c r="C219" s="351">
        <v>9.9999999999999995E-7</v>
      </c>
      <c r="D219" s="351">
        <v>9.9999999999999995E-7</v>
      </c>
      <c r="E219" s="342">
        <f>0.5*(MAX(B219:D219)-MIN(B219:D219))</f>
        <v>0</v>
      </c>
      <c r="F219" s="348">
        <v>1E-4</v>
      </c>
      <c r="I219" s="343">
        <v>1</v>
      </c>
      <c r="J219" s="351">
        <v>9.9999999999999995E-7</v>
      </c>
      <c r="K219" s="351">
        <v>9.9999999999999995E-7</v>
      </c>
      <c r="L219" s="351">
        <v>9.9999999999999995E-7</v>
      </c>
      <c r="M219" s="351">
        <v>9.9999999999999995E-7</v>
      </c>
      <c r="N219" s="348">
        <v>1E-4</v>
      </c>
      <c r="Q219" s="343">
        <v>1</v>
      </c>
      <c r="R219" s="351">
        <v>9.9999999999999995E-7</v>
      </c>
      <c r="S219" s="351">
        <v>9.9999999999999995E-7</v>
      </c>
      <c r="T219" s="351">
        <v>9.9999999999999995E-7</v>
      </c>
      <c r="U219" s="342">
        <f>0.5*(MAX(R219:T219)-MIN(R219:T219))</f>
        <v>0</v>
      </c>
      <c r="V219" s="348">
        <v>1E-4</v>
      </c>
    </row>
    <row r="220" spans="1:22">
      <c r="A220" s="343">
        <v>2</v>
      </c>
      <c r="B220" s="351">
        <v>9.9999999999999995E-7</v>
      </c>
      <c r="C220" s="351">
        <v>9.9999999999999995E-7</v>
      </c>
      <c r="D220" s="351">
        <v>9.9999999999999995E-7</v>
      </c>
      <c r="E220" s="342">
        <f>0.5*(MAX(B220:D220)-MIN(B220:D220))</f>
        <v>0</v>
      </c>
      <c r="F220" s="348">
        <v>1E-4</v>
      </c>
      <c r="I220" s="343">
        <v>2</v>
      </c>
      <c r="J220" s="351">
        <v>9.9999999999999995E-7</v>
      </c>
      <c r="K220" s="351">
        <v>9.9999999999999995E-7</v>
      </c>
      <c r="L220" s="351">
        <v>9.9999999999999995E-7</v>
      </c>
      <c r="M220" s="351">
        <v>9.9999999999999995E-7</v>
      </c>
      <c r="N220" s="348">
        <v>1E-4</v>
      </c>
      <c r="Q220" s="343">
        <v>2</v>
      </c>
      <c r="R220" s="351">
        <v>9.9999999999999995E-7</v>
      </c>
      <c r="S220" s="351">
        <v>9.9999999999999995E-7</v>
      </c>
      <c r="T220" s="351">
        <v>9.9999999999999995E-7</v>
      </c>
      <c r="U220" s="342">
        <f>0.5*(MAX(R220:T220)-MIN(R220:T220))</f>
        <v>0</v>
      </c>
      <c r="V220" s="348">
        <v>1E-4</v>
      </c>
    </row>
    <row r="221" spans="1:22" ht="26">
      <c r="A221" s="330" t="s">
        <v>291</v>
      </c>
      <c r="B221" s="649" t="s">
        <v>75</v>
      </c>
      <c r="C221" s="649" t="s">
        <v>75</v>
      </c>
      <c r="D221" s="649"/>
      <c r="E221" s="341" t="s">
        <v>74</v>
      </c>
      <c r="F221" s="345" t="s">
        <v>176</v>
      </c>
      <c r="I221" s="330" t="s">
        <v>291</v>
      </c>
      <c r="J221" s="649" t="s">
        <v>75</v>
      </c>
      <c r="K221" s="649" t="s">
        <v>75</v>
      </c>
      <c r="L221" s="649"/>
      <c r="M221" s="341" t="s">
        <v>74</v>
      </c>
      <c r="N221" s="345" t="s">
        <v>176</v>
      </c>
      <c r="Q221" s="330" t="s">
        <v>291</v>
      </c>
      <c r="R221" s="649" t="s">
        <v>75</v>
      </c>
      <c r="S221" s="649" t="s">
        <v>75</v>
      </c>
      <c r="T221" s="649"/>
      <c r="U221" s="341" t="s">
        <v>74</v>
      </c>
      <c r="V221" s="345" t="s">
        <v>176</v>
      </c>
    </row>
    <row r="222" spans="1:22" ht="13">
      <c r="A222" s="330" t="s">
        <v>292</v>
      </c>
      <c r="B222" s="649">
        <f>B217</f>
        <v>2018</v>
      </c>
      <c r="C222" s="649">
        <f>C217</f>
        <v>2018</v>
      </c>
      <c r="D222" s="649">
        <f>D217</f>
        <v>2019</v>
      </c>
      <c r="E222" s="342"/>
      <c r="F222" s="345"/>
      <c r="I222" s="330" t="s">
        <v>292</v>
      </c>
      <c r="J222" s="649">
        <f>J217</f>
        <v>2018</v>
      </c>
      <c r="K222" s="649">
        <f>K217</f>
        <v>2018</v>
      </c>
      <c r="L222" s="649">
        <f>L217</f>
        <v>2019</v>
      </c>
      <c r="M222" s="342"/>
      <c r="N222" s="345"/>
      <c r="Q222" s="330" t="s">
        <v>292</v>
      </c>
      <c r="R222" s="649">
        <f>R217</f>
        <v>2018</v>
      </c>
      <c r="S222" s="649">
        <f>S217</f>
        <v>2018</v>
      </c>
      <c r="T222" s="649">
        <f>T217</f>
        <v>2019</v>
      </c>
      <c r="U222" s="342"/>
      <c r="V222" s="345"/>
    </row>
    <row r="223" spans="1:22">
      <c r="A223" s="343">
        <v>0.125</v>
      </c>
      <c r="B223" s="351">
        <v>9.9999999999999995E-7</v>
      </c>
      <c r="C223" s="351">
        <v>9.9999999999999995E-7</v>
      </c>
      <c r="D223" s="351">
        <v>9.9999999999999995E-7</v>
      </c>
      <c r="E223" s="342">
        <f>0.5*(MAX(B223:D223)-MIN(B223:D223))</f>
        <v>0</v>
      </c>
      <c r="F223" s="348">
        <v>2.5999999999999998E-5</v>
      </c>
      <c r="I223" s="343">
        <v>0.125</v>
      </c>
      <c r="J223" s="351">
        <v>9.9999999999999995E-7</v>
      </c>
      <c r="K223" s="351">
        <v>9.9999999999999995E-7</v>
      </c>
      <c r="L223" s="351">
        <v>9.9999999999999995E-7</v>
      </c>
      <c r="M223" s="342">
        <f>0.5*(MAX(J223:L223)-MIN(J223:L223))</f>
        <v>0</v>
      </c>
      <c r="N223" s="348">
        <v>2.5999999999999998E-5</v>
      </c>
      <c r="Q223" s="343">
        <v>0.125</v>
      </c>
      <c r="R223" s="351">
        <v>9.9999999999999995E-7</v>
      </c>
      <c r="S223" s="351">
        <v>9.9999999999999995E-7</v>
      </c>
      <c r="T223" s="351">
        <v>9.9999999999999995E-7</v>
      </c>
      <c r="U223" s="342">
        <f>0.5*(MAX(R223:T223)-MIN(R223:T223))</f>
        <v>0</v>
      </c>
      <c r="V223" s="348">
        <v>2.5999999999999998E-5</v>
      </c>
    </row>
    <row r="224" spans="1:22" ht="12.75" customHeight="1">
      <c r="A224" s="343">
        <v>2</v>
      </c>
      <c r="B224" s="351">
        <v>9.9999999999999995E-7</v>
      </c>
      <c r="C224" s="351">
        <v>9.9999999999999995E-7</v>
      </c>
      <c r="D224" s="351">
        <v>9.9999999999999995E-7</v>
      </c>
      <c r="E224" s="342">
        <f>0.5*(MAX(B224:D224)-MIN(B224:D224))</f>
        <v>0</v>
      </c>
      <c r="F224" s="348">
        <v>2.5999999999999998E-5</v>
      </c>
      <c r="I224" s="343">
        <v>2</v>
      </c>
      <c r="J224" s="351">
        <v>9.9999999999999995E-7</v>
      </c>
      <c r="K224" s="351">
        <v>9.9999999999999995E-7</v>
      </c>
      <c r="L224" s="351">
        <v>9.9999999999999995E-7</v>
      </c>
      <c r="M224" s="342">
        <f>0.5*(MAX(J224:L224)-MIN(J224:L224))</f>
        <v>0</v>
      </c>
      <c r="N224" s="348">
        <v>2.5999999999999998E-5</v>
      </c>
      <c r="Q224" s="343">
        <v>2</v>
      </c>
      <c r="R224" s="351">
        <v>9.9999999999999995E-7</v>
      </c>
      <c r="S224" s="351">
        <v>9.9999999999999995E-7</v>
      </c>
      <c r="T224" s="351">
        <v>9.9999999999999995E-7</v>
      </c>
      <c r="U224" s="342">
        <f>0.5*(MAX(R224:T224)-MIN(R224:T224))</f>
        <v>0</v>
      </c>
      <c r="V224" s="348">
        <v>2.5999999999999998E-5</v>
      </c>
    </row>
    <row r="225" spans="1:25" ht="12.75" customHeight="1">
      <c r="A225" s="330" t="s">
        <v>294</v>
      </c>
      <c r="B225" s="649" t="s">
        <v>75</v>
      </c>
      <c r="C225" s="649" t="s">
        <v>75</v>
      </c>
      <c r="D225" s="649"/>
      <c r="E225" s="341" t="s">
        <v>74</v>
      </c>
      <c r="F225" s="345" t="s">
        <v>176</v>
      </c>
      <c r="I225" s="330" t="s">
        <v>294</v>
      </c>
      <c r="J225" s="649" t="s">
        <v>75</v>
      </c>
      <c r="K225" s="649" t="s">
        <v>75</v>
      </c>
      <c r="L225" s="649"/>
      <c r="M225" s="341" t="s">
        <v>74</v>
      </c>
      <c r="N225" s="345" t="s">
        <v>176</v>
      </c>
      <c r="Q225" s="330" t="s">
        <v>294</v>
      </c>
      <c r="R225" s="649" t="s">
        <v>75</v>
      </c>
      <c r="S225" s="649" t="s">
        <v>75</v>
      </c>
      <c r="T225" s="649"/>
      <c r="U225" s="341" t="s">
        <v>74</v>
      </c>
      <c r="V225" s="345" t="s">
        <v>176</v>
      </c>
    </row>
    <row r="226" spans="1:25" ht="13">
      <c r="A226" s="330" t="s">
        <v>292</v>
      </c>
      <c r="B226" s="649">
        <f>B222</f>
        <v>2018</v>
      </c>
      <c r="C226" s="649">
        <f>C222</f>
        <v>2018</v>
      </c>
      <c r="D226" s="649">
        <f>D222</f>
        <v>2019</v>
      </c>
      <c r="E226" s="342"/>
      <c r="F226" s="345"/>
      <c r="I226" s="330" t="s">
        <v>292</v>
      </c>
      <c r="J226" s="649">
        <f>J222</f>
        <v>2018</v>
      </c>
      <c r="K226" s="649">
        <f>K222</f>
        <v>2018</v>
      </c>
      <c r="L226" s="649">
        <f>L222</f>
        <v>2019</v>
      </c>
      <c r="M226" s="342"/>
      <c r="N226" s="345"/>
      <c r="Q226" s="330" t="s">
        <v>292</v>
      </c>
      <c r="R226" s="649">
        <f>R222</f>
        <v>2018</v>
      </c>
      <c r="S226" s="649">
        <f>S222</f>
        <v>2018</v>
      </c>
      <c r="T226" s="649">
        <f>T222</f>
        <v>2019</v>
      </c>
      <c r="U226" s="342"/>
      <c r="V226" s="345"/>
    </row>
    <row r="227" spans="1:25">
      <c r="A227" s="343">
        <v>10</v>
      </c>
      <c r="B227" s="351">
        <v>9.9999999999999995E-7</v>
      </c>
      <c r="C227" s="351">
        <v>9.9999999999999995E-7</v>
      </c>
      <c r="D227" s="351">
        <v>9.9999999999999995E-7</v>
      </c>
      <c r="E227" s="342">
        <f>0.5*(MAX(B227:D227)-MIN(B227:D227))</f>
        <v>0</v>
      </c>
      <c r="F227" s="348">
        <v>2.5999999999999998E-5</v>
      </c>
      <c r="I227" s="343">
        <v>10</v>
      </c>
      <c r="J227" s="351">
        <v>9.9999999999999995E-7</v>
      </c>
      <c r="K227" s="351">
        <v>9.9999999999999995E-7</v>
      </c>
      <c r="L227" s="351">
        <v>9.9999999999999995E-7</v>
      </c>
      <c r="M227" s="342">
        <f>0.5*(MAX(J227:L227)-MIN(J227:L227))</f>
        <v>0</v>
      </c>
      <c r="N227" s="348">
        <v>2.5999999999999998E-5</v>
      </c>
      <c r="Q227" s="343">
        <v>10</v>
      </c>
      <c r="R227" s="351">
        <v>9.9999999999999995E-7</v>
      </c>
      <c r="S227" s="351">
        <v>9.9999999999999995E-7</v>
      </c>
      <c r="T227" s="351">
        <v>9.9999999999999995E-7</v>
      </c>
      <c r="U227" s="342">
        <f>0.5*(MAX(R227:T227)-MIN(R227:T227))</f>
        <v>0</v>
      </c>
      <c r="V227" s="348">
        <v>2.5999999999999998E-5</v>
      </c>
    </row>
    <row r="228" spans="1:25" ht="12.75" customHeight="1">
      <c r="A228" s="646" t="s">
        <v>180</v>
      </c>
      <c r="B228" s="646" t="s">
        <v>75</v>
      </c>
      <c r="C228" s="646" t="s">
        <v>75</v>
      </c>
      <c r="D228" s="646"/>
      <c r="E228" s="646" t="s">
        <v>74</v>
      </c>
      <c r="F228" s="648" t="s">
        <v>176</v>
      </c>
      <c r="I228" s="646" t="s">
        <v>180</v>
      </c>
      <c r="J228" s="646" t="s">
        <v>75</v>
      </c>
      <c r="K228" s="646" t="s">
        <v>75</v>
      </c>
      <c r="L228" s="646"/>
      <c r="M228" s="1403" t="s">
        <v>74</v>
      </c>
      <c r="N228" s="1422" t="s">
        <v>176</v>
      </c>
      <c r="Q228" s="646" t="s">
        <v>180</v>
      </c>
      <c r="R228" s="646" t="s">
        <v>75</v>
      </c>
      <c r="S228" s="646" t="s">
        <v>75</v>
      </c>
      <c r="T228" s="646"/>
      <c r="U228" s="1403" t="s">
        <v>74</v>
      </c>
      <c r="V228" s="1422" t="s">
        <v>176</v>
      </c>
    </row>
    <row r="229" spans="1:25" ht="14">
      <c r="A229" s="647" t="s">
        <v>338</v>
      </c>
      <c r="B229" s="646">
        <f>B226</f>
        <v>2018</v>
      </c>
      <c r="C229" s="646">
        <f>C226</f>
        <v>2018</v>
      </c>
      <c r="D229" s="646">
        <f>D226</f>
        <v>2019</v>
      </c>
      <c r="E229" s="646"/>
      <c r="F229" s="648"/>
      <c r="I229" s="647" t="s">
        <v>338</v>
      </c>
      <c r="J229" s="646">
        <f>J226</f>
        <v>2018</v>
      </c>
      <c r="K229" s="646">
        <f>K226</f>
        <v>2018</v>
      </c>
      <c r="L229" s="646">
        <f>L226</f>
        <v>2019</v>
      </c>
      <c r="M229" s="1403"/>
      <c r="N229" s="1422"/>
      <c r="Q229" s="647" t="s">
        <v>338</v>
      </c>
      <c r="R229" s="646">
        <f>R226</f>
        <v>2018</v>
      </c>
      <c r="S229" s="646">
        <f>S226</f>
        <v>2018</v>
      </c>
      <c r="T229" s="646">
        <f>T226</f>
        <v>2019</v>
      </c>
      <c r="U229" s="1403"/>
      <c r="V229" s="1422"/>
    </row>
    <row r="230" spans="1:25">
      <c r="A230" s="349">
        <v>15</v>
      </c>
      <c r="B230" s="351">
        <v>9.9999999999999995E-7</v>
      </c>
      <c r="C230" s="351">
        <v>9.9999999999999995E-7</v>
      </c>
      <c r="D230" s="351">
        <v>9.9999999999999995E-7</v>
      </c>
      <c r="E230" s="220">
        <f>0.5*(MAX(B230:D230)-MIN(B230:D230))</f>
        <v>0</v>
      </c>
      <c r="F230" s="350"/>
      <c r="I230" s="349">
        <v>15</v>
      </c>
      <c r="J230" s="351">
        <v>9.9999999999999995E-7</v>
      </c>
      <c r="K230" s="351">
        <v>9.9999999999999995E-7</v>
      </c>
      <c r="L230" s="351">
        <v>9.9999999999999995E-7</v>
      </c>
      <c r="M230" s="220">
        <f>0.5*(MAX(J230:L230)-MIN(J230:L230))</f>
        <v>0</v>
      </c>
      <c r="N230" s="350"/>
      <c r="Q230" s="349">
        <v>15</v>
      </c>
      <c r="R230" s="351">
        <v>9.9999999999999995E-7</v>
      </c>
      <c r="S230" s="351">
        <v>9.9999999999999995E-7</v>
      </c>
      <c r="T230" s="351">
        <v>9.9999999999999995E-7</v>
      </c>
      <c r="U230" s="220">
        <f>0.5*(MAX(R230:T230)-MIN(R230:T230))</f>
        <v>0</v>
      </c>
      <c r="V230" s="350"/>
    </row>
    <row r="231" spans="1:25">
      <c r="A231" s="56">
        <v>30</v>
      </c>
      <c r="B231" s="351">
        <v>9.9999999999999995E-7</v>
      </c>
      <c r="C231" s="351">
        <v>9.9999999999999995E-7</v>
      </c>
      <c r="D231" s="351">
        <v>9.9999999999999995E-7</v>
      </c>
      <c r="E231" s="220">
        <f>0.5*(MAX(B231:D231)-MIN(B231:D231))</f>
        <v>0</v>
      </c>
      <c r="F231" s="45">
        <v>1.1999999999999999E-3</v>
      </c>
      <c r="I231" s="56">
        <v>30</v>
      </c>
      <c r="J231" s="351">
        <v>9.9999999999999995E-7</v>
      </c>
      <c r="K231" s="351">
        <v>9.9999999999999995E-7</v>
      </c>
      <c r="L231" s="351">
        <v>9.9999999999999995E-7</v>
      </c>
      <c r="M231" s="220">
        <f>0.5*(MAX(J231:L231)-MIN(J231:L231))</f>
        <v>0</v>
      </c>
      <c r="N231" s="45">
        <v>1.1999999999999999E-3</v>
      </c>
      <c r="Q231" s="56">
        <v>30</v>
      </c>
      <c r="R231" s="351">
        <v>9.9999999999999995E-7</v>
      </c>
      <c r="S231" s="351">
        <v>9.9999999999999995E-7</v>
      </c>
      <c r="T231" s="351">
        <v>9.9999999999999995E-7</v>
      </c>
      <c r="U231" s="220">
        <f>0.5*(MAX(R231:T231)-MIN(R231:T231))</f>
        <v>0</v>
      </c>
      <c r="V231" s="45">
        <v>1.1999999999999999E-3</v>
      </c>
    </row>
    <row r="232" spans="1:25">
      <c r="A232" s="56">
        <v>60</v>
      </c>
      <c r="B232" s="351">
        <v>9.9999999999999995E-7</v>
      </c>
      <c r="C232" s="351">
        <v>9.9999999999999995E-7</v>
      </c>
      <c r="D232" s="351">
        <v>9.9999999999999995E-7</v>
      </c>
      <c r="E232" s="220">
        <f>0.5*(MAX(B232:D232)-MIN(B232:D232))</f>
        <v>0</v>
      </c>
      <c r="F232" s="45" t="s">
        <v>178</v>
      </c>
      <c r="I232" s="56">
        <v>60</v>
      </c>
      <c r="J232" s="351">
        <v>9.9999999999999995E-7</v>
      </c>
      <c r="K232" s="351">
        <v>9.9999999999999995E-7</v>
      </c>
      <c r="L232" s="351">
        <v>9.9999999999999995E-7</v>
      </c>
      <c r="M232" s="220">
        <f>0.5*(MAX(J232:L232)-MIN(J232:L232))</f>
        <v>0</v>
      </c>
      <c r="N232" s="45" t="s">
        <v>178</v>
      </c>
      <c r="Q232" s="56">
        <v>60</v>
      </c>
      <c r="R232" s="351">
        <v>9.9999999999999995E-7</v>
      </c>
      <c r="S232" s="351">
        <v>9.9999999999999995E-7</v>
      </c>
      <c r="T232" s="351">
        <v>9.9999999999999995E-7</v>
      </c>
      <c r="U232" s="220">
        <f>0.5*(MAX(R232:T232)-MIN(R232:T232))</f>
        <v>0</v>
      </c>
      <c r="V232" s="45" t="s">
        <v>178</v>
      </c>
    </row>
    <row r="233" spans="1:25">
      <c r="A233" s="56">
        <v>120</v>
      </c>
      <c r="B233" s="351">
        <v>9.9999999999999995E-7</v>
      </c>
      <c r="C233" s="351">
        <v>9.9999999999999995E-7</v>
      </c>
      <c r="D233" s="351">
        <v>9.9999999999999995E-7</v>
      </c>
      <c r="E233" s="220">
        <f>0.5*(MAX(B233:D233)-MIN(B233:D233))</f>
        <v>0</v>
      </c>
      <c r="F233" s="45" t="s">
        <v>179</v>
      </c>
      <c r="I233" s="56">
        <v>120</v>
      </c>
      <c r="J233" s="351">
        <v>9.9999999999999995E-7</v>
      </c>
      <c r="K233" s="351">
        <v>9.9999999999999995E-7</v>
      </c>
      <c r="L233" s="351">
        <v>9.9999999999999995E-7</v>
      </c>
      <c r="M233" s="220">
        <f>0.5*(MAX(J233:L233)-MIN(J233:L233))</f>
        <v>0</v>
      </c>
      <c r="N233" s="45" t="s">
        <v>179</v>
      </c>
      <c r="Q233" s="56">
        <v>120</v>
      </c>
      <c r="R233" s="351">
        <v>9.9999999999999995E-7</v>
      </c>
      <c r="S233" s="351">
        <v>9.9999999999999995E-7</v>
      </c>
      <c r="T233" s="351">
        <v>9.9999999999999995E-7</v>
      </c>
      <c r="U233" s="220">
        <f>0.5*(MAX(R233:T233)-MIN(R233:T233))</f>
        <v>0</v>
      </c>
      <c r="V233" s="45" t="s">
        <v>179</v>
      </c>
    </row>
    <row r="234" spans="1:25">
      <c r="A234" s="56">
        <v>180</v>
      </c>
      <c r="B234" s="351">
        <v>9.9999999999999995E-7</v>
      </c>
      <c r="C234" s="351">
        <v>9.9999999999999995E-7</v>
      </c>
      <c r="D234" s="351">
        <v>9.9999999999999995E-7</v>
      </c>
      <c r="E234" s="220">
        <f>0.5*(MAX(B234:D234)-MIN(B234:D234))</f>
        <v>0</v>
      </c>
      <c r="F234" s="45" t="s">
        <v>62</v>
      </c>
      <c r="I234" s="56">
        <v>180</v>
      </c>
      <c r="J234" s="351">
        <v>9.9999999999999995E-7</v>
      </c>
      <c r="K234" s="351">
        <v>9.9999999999999995E-7</v>
      </c>
      <c r="L234" s="351">
        <v>9.9999999999999995E-7</v>
      </c>
      <c r="M234" s="220">
        <f>0.5*(MAX(J234:L234)-MIN(J234:L234))</f>
        <v>0</v>
      </c>
      <c r="N234" s="45" t="s">
        <v>62</v>
      </c>
      <c r="Q234" s="56">
        <v>180</v>
      </c>
      <c r="R234" s="351">
        <v>9.9999999999999995E-7</v>
      </c>
      <c r="S234" s="351">
        <v>9.9999999999999995E-7</v>
      </c>
      <c r="T234" s="351">
        <v>9.9999999999999995E-7</v>
      </c>
      <c r="U234" s="220">
        <f>0.5*(MAX(R234:T234)-MIN(R234:T234))</f>
        <v>0</v>
      </c>
      <c r="V234" s="45" t="s">
        <v>62</v>
      </c>
    </row>
    <row r="238" spans="1:25" ht="13" thickBot="1">
      <c r="A238" s="1424" t="str">
        <f>IF($A$288=$A$289,A5,IF($A$288=$A$290,I5,IF($A$288=$A$291,Q5,IF($A$288=$A$292,A34,IF($A$288=$A$293,I34,IF($A$288=$A$294,Q34,IF($A$288=$A$295,A63,IF($A$288=$A$296,I63,IF($A$288=$A$297,Q63,IF($A$288=$A$298,A92,IF($A$288=$A$299,I92,IF($A$288=$A$300,Q92,IF($A$288=$A$301,A121,IF($A$288=$A$302,I121,IF($A$288=$A$303,Q121,IF($A$288=$A$304,A150,IF($A$288=$A$305,I150,IF($A$288=$A$306,Q150,IF($A$288=$A$307,A179,IF($A$288=$A$308,I179,IF($A$288=$A$309,Q179,IF($A$288=$A$310,A208,IF($A$288=$A$311,I208,Q208)))))))))))))))))))))))</f>
        <v>RIGEL  PatSim200, SN : 15L-0684</v>
      </c>
      <c r="B238" s="1424"/>
      <c r="C238" s="1424"/>
      <c r="D238" s="1424"/>
      <c r="E238" s="1424"/>
      <c r="F238" s="1424"/>
    </row>
    <row r="239" spans="1:25" ht="13" thickBot="1">
      <c r="A239" s="1424" t="str">
        <f t="shared" ref="A239:A245" si="1">IF($A$288=$A$289,A6,IF($A$288=$A$290,I6,IF($A$288=$A$291,Q6,IF($A$288=$A$292,A35,IF($A$288=$A$293,I35,IF($A$288=$A$294,Q35,IF($A$288=$A$295,A64,IF($A$288=$A$296,I64,IF($A$288=$A$297,Q64,IF($A$288=$A$298,A93,IF($A$288=$A$299,I93,IF($A$288=$A$300,Q93,IF($A$288=$A$301,A122,IF($A$288=$A$302,I122,IF($A$288=$A$303,Q122,IF($A$288=$A$304,A151,IF($A$288=$A$305,I151,IF($A$288=$A$306,Q151,IF($A$288=$A$307,A180,IF($A$288=$A$308,I180,IF($A$288=$A$309,Q180,IF($A$288=$A$310,A209,IF($A$288=$A$311,I209,Q209)))))))))))))))))))))))</f>
        <v xml:space="preserve"> KOREKSI ECG SIMULATOR</v>
      </c>
      <c r="B239" s="1424"/>
      <c r="C239" s="1424"/>
      <c r="D239" s="1424"/>
      <c r="E239" s="352" t="str">
        <f>IF($A$288=$A$289,E6,IF($A$288=$A$290,M6,IF($A$288=$A$291,U6,IF($A$288=$A$292,E35,IF($A$288=$A$293,M35,IF($A$288=$A$294,U35,IF($A$288=$A$295,E64,IF($A$288=$A$296,M64,IF($A$288=$A$297,U64,IF($A$288=$A$298,E93,IF($A$288=$A$299,M93,IF($A$288=$A$300,U93,IF($A$288=$A$301,E122,IF($A$288=$A$302,M122,IF($A$288=$A$303,U122,IF($A$288=$A$304,E151,IF($A$288=$A$305,M151,IF($A$288=$A$306,U151,IF($A$288=$A$307,E180,IF($A$288=$A$308,M180,IF($A$288=$A$309,U180,IF($A$288=$A$310,E209,IF($A$288=$A$311,M209,U209)))))))))))))))))))))))</f>
        <v>DRIFT</v>
      </c>
      <c r="F239" s="352" t="str">
        <f>IF($A$288=$A$289,F6,IF($A$288=$A$290,N6,IF($A$288=$A$291,V6,IF($A$288=$A$292,F35,IF($A$288=$A$293,N35,IF($A$288=$A$294,V35,IF($A$288=$A$295,F64,IF($A$288=$A$296,N64,IF($A$288=$A$297,V64,IF($A$288=$A$298,F93,IF($A$288=$A$299,N93,IF($A$288=$A$300,V93,IF($A$288=$A$301,F122,IF($A$288=$A$302,N122,IF($A$288=$A$303,V122,IF($A$288=$A$304,F151,IF($A$288=$A$305,N151,IF($A$288=$A$306,V151,IF($A$288=$A$307,F180,IF($A$288=$A$308,N180,IF($A$288=$A$309,V180,IF($A$288=$A$310,F209,IF($A$288=$A$311,N209,V209)))))))))))))))))))))))</f>
        <v>U95    STD</v>
      </c>
      <c r="H239" s="356"/>
      <c r="I239" s="356" t="s">
        <v>587</v>
      </c>
      <c r="J239" s="356"/>
      <c r="K239" s="356"/>
      <c r="L239" s="356"/>
      <c r="Q239" s="1428" t="s">
        <v>112</v>
      </c>
      <c r="R239" s="1426"/>
      <c r="S239" s="1426"/>
      <c r="T239" s="1427"/>
      <c r="U239" s="1425" t="s">
        <v>113</v>
      </c>
      <c r="V239" s="1426"/>
      <c r="W239" s="1426"/>
      <c r="X239" s="1427"/>
      <c r="Y239" s="423" t="s">
        <v>77</v>
      </c>
    </row>
    <row r="240" spans="1:25" ht="13">
      <c r="A240" s="352" t="str">
        <f t="shared" si="1"/>
        <v>Setting Heart Rate</v>
      </c>
      <c r="B240" s="1419" t="str">
        <f t="shared" ref="B240:B245" si="2">IF($A$288=$A$289,B7,IF($A$288=$A$290,J7,IF($A$288=$A$291,R7,IF($A$288=$A$292,B36,IF($A$288=$A$293,J36,IF($A$288=$A$294,R36,IF($A$288=$A$295,B65,IF($A$288=$A$296,J65,IF($A$288=$A$297,R65,IF($A$288=$A$298,B94,IF($A$288=$A$299,J94,IF($A$288=$A$300,R94,IF($A$288=$A$301,B123,IF($A$288=$A$302,J123,IF($A$288=$A$303,R123,IF($A$288=$A$304,B152,IF($A$288=$A$305,J152,IF($A$288=$A$306,R152,IF($A$288=$A$307,B181,IF($A$288=$A$308,J181,IF($A$288=$A$309,R181,IF($A$288=$A$310,B210,IF($A$288=$A$311,J210,R210)))))))))))))))))))))))</f>
        <v>Tahun</v>
      </c>
      <c r="C240" s="1420"/>
      <c r="D240" s="1421"/>
      <c r="E240" s="352"/>
      <c r="F240" s="352">
        <f t="shared" ref="F240:F245" si="3">IF($A$288=$A$289,F7,IF($A$288=$A$290,N7,IF($A$288=$A$291,V7,IF($A$288=$A$292,F36,IF($A$288=$A$293,N36,IF($A$288=$A$294,V36,IF($A$288=$A$295,F65,IF($A$288=$A$296,N65,IF($A$288=$A$297,V65,IF($A$288=$A$298,F94,IF($A$288=$A$299,N94,IF($A$288=$A$300,V94,IF($A$288=$A$301,F123,IF($A$288=$A$302,N123,IF($A$288=$A$303,V123,IF($A$288=$A$304,F152,IF($A$288=$A$305,N152,IF($A$288=$A$306,V152,IF($A$288=$A$307,F181,IF($A$288=$A$308,N181,IF($A$288=$A$309,V181,IF($A$288=$A$310,F210,IF($A$288=$A$311,N210,V210)))))))))))))))))))))))</f>
        <v>0</v>
      </c>
      <c r="H240" s="353"/>
      <c r="I240" s="64"/>
      <c r="J240" s="64"/>
      <c r="K240" s="64"/>
      <c r="L240" s="65"/>
      <c r="Q240" s="413"/>
      <c r="R240" s="414"/>
      <c r="S240" s="901"/>
      <c r="T240" s="415"/>
      <c r="U240" s="413"/>
      <c r="V240" s="414"/>
      <c r="W240" s="901"/>
      <c r="X240" s="415"/>
      <c r="Y240" s="372"/>
    </row>
    <row r="241" spans="1:25" ht="14">
      <c r="A241" s="352" t="str">
        <f t="shared" si="1"/>
        <v>( BPM )</v>
      </c>
      <c r="B241" s="352">
        <f t="shared" si="2"/>
        <v>2018</v>
      </c>
      <c r="C241" s="352">
        <f t="shared" ref="C241:E245" si="4">IF($A$288=$A$289,C8,IF($A$288=$A$290,K8,IF($A$288=$A$291,S8,IF($A$288=$A$292,C37,IF($A$288=$A$293,K37,IF($A$288=$A$294,S37,IF($A$288=$A$295,C66,IF($A$288=$A$296,K66,IF($A$288=$A$297,S66,IF($A$288=$A$298,C95,IF($A$288=$A$299,K95,IF($A$288=$A$300,S95,IF($A$288=$A$301,C124,IF($A$288=$A$302,K124,IF($A$288=$A$303,S124,IF($A$288=$A$304,C153,IF($A$288=$A$305,K153,IF($A$288=$A$306,S153,IF($A$288=$A$307,C182,IF($A$288=$A$308,K182,IF($A$288=$A$309,S182,IF($A$288=$A$310,C211,IF($A$288=$A$311,K211,S211)))))))))))))))))))))))</f>
        <v>2018</v>
      </c>
      <c r="D241" s="352">
        <f t="shared" si="4"/>
        <v>2019</v>
      </c>
      <c r="E241" s="352">
        <f t="shared" si="4"/>
        <v>0</v>
      </c>
      <c r="F241" s="352">
        <f t="shared" si="3"/>
        <v>0</v>
      </c>
      <c r="H241" s="354"/>
      <c r="I241" s="64"/>
      <c r="J241" s="16"/>
      <c r="K241" s="64"/>
      <c r="L241" s="65"/>
      <c r="Q241" s="416">
        <f>ID!K35</f>
        <v>28.666666666666668</v>
      </c>
      <c r="R241" s="414"/>
      <c r="S241" s="421">
        <f>FORECAST(Q241,D242:D246,G242:G246)</f>
        <v>1.1582926829268293E-6</v>
      </c>
      <c r="T241" s="417"/>
      <c r="U241" s="416">
        <f>'DB ECG SIM'!S271</f>
        <v>28.666667824959351</v>
      </c>
      <c r="V241" s="414"/>
      <c r="W241" s="421">
        <f>FORECAST(U241,I242:I246,G242:G246)</f>
        <v>9.9999999999999995E-7</v>
      </c>
      <c r="X241" s="417"/>
      <c r="Y241" s="422">
        <f>U241*'DB ECG SIM'!$F$242</f>
        <v>0.15766667303727641</v>
      </c>
    </row>
    <row r="242" spans="1:25" ht="13.5" thickBot="1">
      <c r="A242" s="352">
        <f t="shared" si="1"/>
        <v>0.5</v>
      </c>
      <c r="B242" s="352" t="str">
        <f t="shared" si="2"/>
        <v>-</v>
      </c>
      <c r="C242" s="352" t="str">
        <f t="shared" si="4"/>
        <v>-</v>
      </c>
      <c r="D242" s="352">
        <f t="shared" si="4"/>
        <v>9.9999999999999995E-7</v>
      </c>
      <c r="E242" s="352">
        <f>IF($A$288=$A$289,E9,IF($A$288=$A$290,M9,IF($A$288=$A$291,U9,IF($A$288=$A$292,E38,IF($A$288=$A$293,M38,IF($A$288=$A$294,U38,IF($A$288=$A$295,E67,IF($A$288=$A$296,M67,IF($A$288=$A$297,U67,IF($A$288=$A$298,E96,IF($A$288=$A$299,M96,IF($A$288=$A$300,U96,IF($A$288=$A$301,E125,IF($A$288=$A$302,M125,IF($A$288=$A$303,U125,IF($A$288=$A$304,E154,IF($A$288=$A$305,M154,IF($A$288=$A$306,U154,IF($A$288=$A$307,E183,IF($A$288=$A$308,M183,IF($A$288=$A$309,U183,IF($A$288=$A$310,E212,IF($A$288=$A$311,M212,U212)))))))))))))))))))))))</f>
        <v>0</v>
      </c>
      <c r="F242" s="352">
        <f t="shared" si="3"/>
        <v>5.4999999999999997E-3</v>
      </c>
      <c r="G242" s="897">
        <f>A242*60</f>
        <v>30</v>
      </c>
      <c r="H242" s="16"/>
      <c r="I242" s="64">
        <f>IF(E242&gt;=0.000001,E242,0.000001)</f>
        <v>9.9999999999999995E-7</v>
      </c>
      <c r="J242" s="61"/>
      <c r="K242" s="63"/>
      <c r="L242" s="355"/>
      <c r="Q242" s="418"/>
      <c r="R242" s="419"/>
      <c r="S242" s="419"/>
      <c r="T242" s="420"/>
      <c r="U242" s="418"/>
      <c r="V242" s="419"/>
      <c r="W242" s="419"/>
      <c r="X242" s="420"/>
      <c r="Y242" s="373"/>
    </row>
    <row r="243" spans="1:25" ht="13">
      <c r="A243" s="352">
        <f t="shared" si="1"/>
        <v>1</v>
      </c>
      <c r="B243" s="352" t="str">
        <f t="shared" si="2"/>
        <v>-</v>
      </c>
      <c r="C243" s="352" t="str">
        <f t="shared" si="4"/>
        <v>-</v>
      </c>
      <c r="D243" s="352">
        <f t="shared" si="4"/>
        <v>9.9999999999999995E-7</v>
      </c>
      <c r="E243" s="352">
        <f t="shared" si="4"/>
        <v>0</v>
      </c>
      <c r="F243" s="352" t="str">
        <f t="shared" si="3"/>
        <v>of</v>
      </c>
      <c r="G243" s="897">
        <f>A243*60</f>
        <v>60</v>
      </c>
      <c r="H243" s="16"/>
      <c r="I243" s="64">
        <f t="shared" ref="I243:I245" si="5">IF(E243&gt;=0.000001,E243,0.000001)</f>
        <v>9.9999999999999995E-7</v>
      </c>
      <c r="J243" s="61"/>
      <c r="K243" s="63"/>
      <c r="L243" s="355"/>
      <c r="Q243" s="413"/>
      <c r="R243" s="414"/>
      <c r="S243" s="901"/>
      <c r="T243" s="415"/>
      <c r="U243" s="413"/>
      <c r="V243" s="414"/>
      <c r="W243" s="902"/>
      <c r="X243" s="415"/>
      <c r="Y243" s="374"/>
    </row>
    <row r="244" spans="1:25" ht="13">
      <c r="A244" s="352">
        <f t="shared" si="1"/>
        <v>2</v>
      </c>
      <c r="B244" s="352" t="str">
        <f t="shared" si="2"/>
        <v>-</v>
      </c>
      <c r="C244" s="352" t="str">
        <f t="shared" si="4"/>
        <v>-</v>
      </c>
      <c r="D244" s="352">
        <f t="shared" si="4"/>
        <v>9.9999999999999995E-7</v>
      </c>
      <c r="E244" s="352">
        <f t="shared" si="4"/>
        <v>0</v>
      </c>
      <c r="F244" s="352" t="str">
        <f t="shared" si="3"/>
        <v>reading</v>
      </c>
      <c r="G244" s="897">
        <f>A244*60</f>
        <v>120</v>
      </c>
      <c r="H244" s="16"/>
      <c r="I244" s="64">
        <f t="shared" si="5"/>
        <v>9.9999999999999995E-7</v>
      </c>
      <c r="J244" s="61"/>
      <c r="K244" s="63"/>
      <c r="L244" s="355"/>
      <c r="Q244" s="416">
        <f>ID!K36</f>
        <v>59.833333333333336</v>
      </c>
      <c r="R244" s="414"/>
      <c r="S244" s="421">
        <f>FORECAST(Q244,D242:D246,G242:G246)</f>
        <v>1.0499695121951219E-6</v>
      </c>
      <c r="T244" s="417"/>
      <c r="U244" s="416">
        <f>'DB ECG SIM'!R272</f>
        <v>59.833333333333336</v>
      </c>
      <c r="V244" s="414"/>
      <c r="W244" s="421">
        <f>FORECAST(U244,I242:I246,G242:G246)</f>
        <v>9.9999999999999995E-7</v>
      </c>
      <c r="X244" s="417"/>
      <c r="Y244" s="422">
        <f>U244*'DB ECG SIM'!$F$242</f>
        <v>0.32908333333333334</v>
      </c>
    </row>
    <row r="245" spans="1:25" ht="13.5" thickBot="1">
      <c r="A245" s="352">
        <f t="shared" si="1"/>
        <v>3</v>
      </c>
      <c r="B245" s="352" t="str">
        <f t="shared" si="2"/>
        <v>-</v>
      </c>
      <c r="C245" s="352" t="str">
        <f t="shared" si="4"/>
        <v>-</v>
      </c>
      <c r="D245" s="352">
        <f t="shared" si="4"/>
        <v>9.9999999999999995E-7</v>
      </c>
      <c r="E245" s="352">
        <f t="shared" si="4"/>
        <v>0</v>
      </c>
      <c r="F245" s="352">
        <f t="shared" si="3"/>
        <v>0</v>
      </c>
      <c r="G245" s="897">
        <f>A245*60</f>
        <v>180</v>
      </c>
      <c r="H245" s="16"/>
      <c r="I245" s="64">
        <f t="shared" si="5"/>
        <v>9.9999999999999995E-7</v>
      </c>
      <c r="J245" s="61"/>
      <c r="K245" s="63"/>
      <c r="L245" s="355"/>
      <c r="Q245" s="418"/>
      <c r="R245" s="419"/>
      <c r="S245" s="419"/>
      <c r="T245" s="420"/>
      <c r="U245" s="418"/>
      <c r="V245" s="419"/>
      <c r="W245" s="419"/>
      <c r="X245" s="420"/>
      <c r="Y245" s="373"/>
    </row>
    <row r="246" spans="1:25" ht="13.5" thickBot="1">
      <c r="A246" s="1171">
        <v>4</v>
      </c>
      <c r="B246" s="1171">
        <v>0</v>
      </c>
      <c r="C246" s="1171">
        <v>0</v>
      </c>
      <c r="D246" s="1173">
        <v>9.9999999999999995E-8</v>
      </c>
      <c r="E246" s="1171">
        <v>0</v>
      </c>
      <c r="F246" s="1171">
        <v>0</v>
      </c>
      <c r="G246" s="1172">
        <f>4*60</f>
        <v>240</v>
      </c>
      <c r="I246" s="64">
        <f>IF(E246&gt;=0.000001,E246,0.000001)</f>
        <v>9.9999999999999995E-7</v>
      </c>
    </row>
    <row r="247" spans="1:25" ht="13">
      <c r="A247" s="352" t="str">
        <f t="shared" ref="A247:A267" si="6">IF($A$288=$A$289,A13,IF($A$288=$A$290,I13,IF($A$288=$A$291,Q13,IF($A$288=$A$292,A42,IF($A$288=$A$293,I42,IF($A$288=$A$294,Q42,IF($A$288=$A$295,A71,IF($A$288=$A$296,I71,IF($A$288=$A$297,Q71,IF($A$288=$A$298,A100,IF($A$288=$A$299,I100,IF($A$288=$A$300,Q100,IF($A$288=$A$301,A129,IF($A$288=$A$302,I129,IF($A$288=$A$303,Q129,IF($A$288=$A$304,A158,IF($A$288=$A$305,I158,IF($A$288=$A$306,Q158,IF($A$288=$A$307,A187,IF($A$288=$A$308,I187,IF($A$288=$A$309,Q187,IF($A$288=$A$310,A216,IF($A$288=$A$311,I216,Q216)))))))))))))))))))))))</f>
        <v>Setting Amplitude</v>
      </c>
      <c r="B247" s="1419" t="str">
        <f t="shared" ref="B247:B267" si="7">IF($A$288=$A$289,B13,IF($A$288=$A$290,J13,IF($A$288=$A$291,R13,IF($A$288=$A$292,B42,IF($A$288=$A$293,J42,IF($A$288=$A$294,R42,IF($A$288=$A$295,B71,IF($A$288=$A$296,J71,IF($A$288=$A$297,R71,IF($A$288=$A$298,B100,IF($A$288=$A$299,J100,IF($A$288=$A$300,R100,IF($A$288=$A$301,B129,IF($A$288=$A$302,J129,IF($A$288=$A$303,R129,IF($A$288=$A$304,B158,IF($A$288=$A$305,J158,IF($A$288=$A$306,R158,IF($A$288=$A$307,B187,IF($A$288=$A$308,J187,IF($A$288=$A$309,R187,IF($A$288=$A$310,B216,IF($A$288=$A$311,J216,R216)))))))))))))))))))))))</f>
        <v>Tahun</v>
      </c>
      <c r="C247" s="1420"/>
      <c r="D247" s="1421"/>
      <c r="E247" s="352" t="str">
        <f t="shared" ref="E247:E267" si="8">IF($A$288=$A$289,E13,IF($A$288=$A$290,M13,IF($A$288=$A$291,U13,IF($A$288=$A$292,E42,IF($A$288=$A$293,M42,IF($A$288=$A$294,U42,IF($A$288=$A$295,E71,IF($A$288=$A$296,M71,IF($A$288=$A$297,U71,IF($A$288=$A$298,E100,IF($A$288=$A$299,M100,IF($A$288=$A$300,U100,IF($A$288=$A$301,E129,IF($A$288=$A$302,M129,IF($A$288=$A$303,U129,IF($A$288=$A$304,E158,IF($A$288=$A$305,M158,IF($A$288=$A$306,U158,IF($A$288=$A$307,E187,IF($A$288=$A$308,M187,IF($A$288=$A$309,U187,IF($A$288=$A$310,E216,IF($A$288=$A$311,M216,U216)))))))))))))))))))))))</f>
        <v>DRIFT</v>
      </c>
      <c r="F247" s="352" t="str">
        <f t="shared" ref="F247:F267" si="9">IF($A$288=$A$289,F13,IF($A$288=$A$290,N13,IF($A$288=$A$291,V13,IF($A$288=$A$292,F42,IF($A$288=$A$293,N42,IF($A$288=$A$294,V42,IF($A$288=$A$295,F71,IF($A$288=$A$296,N71,IF($A$288=$A$297,V71,IF($A$288=$A$298,F100,IF($A$288=$A$299,N100,IF($A$288=$A$300,V100,IF($A$288=$A$301,F129,IF($A$288=$A$302,N129,IF($A$288=$A$303,V129,IF($A$288=$A$304,F158,IF($A$288=$A$305,N158,IF($A$288=$A$306,V158,IF($A$288=$A$307,F187,IF($A$288=$A$308,N187,IF($A$288=$A$309,V187,IF($A$288=$A$310,F216,IF($A$288=$A$311,N216,V216)))))))))))))))))))))))</f>
        <v>U95    STD</v>
      </c>
      <c r="H247" s="16"/>
      <c r="I247" s="1430"/>
      <c r="J247" s="1430"/>
      <c r="K247" s="1429"/>
      <c r="L247" s="1423"/>
      <c r="Q247" s="413"/>
      <c r="R247" s="414"/>
      <c r="S247" s="901"/>
      <c r="T247" s="415"/>
      <c r="U247" s="413"/>
      <c r="V247" s="414"/>
      <c r="W247" s="902"/>
      <c r="X247" s="415"/>
      <c r="Y247" s="374"/>
    </row>
    <row r="248" spans="1:25" ht="14">
      <c r="A248" s="352" t="str">
        <f t="shared" si="6"/>
        <v>( mV )</v>
      </c>
      <c r="B248" s="352">
        <f t="shared" si="7"/>
        <v>2018</v>
      </c>
      <c r="C248" s="352">
        <f t="shared" ref="C248:D251" si="10">IF($A$288=$A$289,C14,IF($A$288=$A$290,K14,IF($A$288=$A$291,S14,IF($A$288=$A$292,C43,IF($A$288=$A$293,K43,IF($A$288=$A$294,S43,IF($A$288=$A$295,C72,IF($A$288=$A$296,K72,IF($A$288=$A$297,S72,IF($A$288=$A$298,C101,IF($A$288=$A$299,K101,IF($A$288=$A$300,S101,IF($A$288=$A$301,C130,IF($A$288=$A$302,K130,IF($A$288=$A$303,S130,IF($A$288=$A$304,C159,IF($A$288=$A$305,K159,IF($A$288=$A$306,S159,IF($A$288=$A$307,C188,IF($A$288=$A$308,K188,IF($A$288=$A$309,S188,IF($A$288=$A$310,C217,IF($A$288=$A$311,K217,S217)))))))))))))))))))))))</f>
        <v>2018</v>
      </c>
      <c r="D248" s="352">
        <f t="shared" si="10"/>
        <v>2019</v>
      </c>
      <c r="E248" s="352">
        <f t="shared" si="8"/>
        <v>0</v>
      </c>
      <c r="F248" s="352">
        <f t="shared" si="9"/>
        <v>0</v>
      </c>
      <c r="H248" s="354"/>
      <c r="I248" s="355"/>
      <c r="J248" s="355"/>
      <c r="K248" s="1429"/>
      <c r="L248" s="1423"/>
      <c r="Q248" s="416">
        <f>ID!K37</f>
        <v>119.83333333333333</v>
      </c>
      <c r="R248" s="414"/>
      <c r="S248" s="421">
        <f>FORECAST(Q248,D242:D246,G242:G246)</f>
        <v>8.4143292682926824E-7</v>
      </c>
      <c r="T248" s="417"/>
      <c r="U248" s="416">
        <f>'DB ECG SIM'!R273</f>
        <v>119.83333333333333</v>
      </c>
      <c r="V248" s="414"/>
      <c r="W248" s="421">
        <f>FORECAST(U248,I242:I246,G242:G246)</f>
        <v>9.9999999999999995E-7</v>
      </c>
      <c r="X248" s="417"/>
      <c r="Y248" s="422">
        <f>U248*'DB ECG SIM'!$F$242</f>
        <v>0.65908333333333324</v>
      </c>
    </row>
    <row r="249" spans="1:25" ht="13.5" thickBot="1">
      <c r="A249" s="352">
        <f t="shared" si="6"/>
        <v>0.5</v>
      </c>
      <c r="B249" s="352">
        <f t="shared" si="7"/>
        <v>9.9999999999999995E-7</v>
      </c>
      <c r="C249" s="352">
        <f t="shared" si="10"/>
        <v>9.9999999999999995E-7</v>
      </c>
      <c r="D249" s="352">
        <f t="shared" si="10"/>
        <v>9.9999999999999995E-7</v>
      </c>
      <c r="E249" s="352">
        <f t="shared" si="8"/>
        <v>0</v>
      </c>
      <c r="F249" s="352">
        <f t="shared" si="9"/>
        <v>1E-4</v>
      </c>
      <c r="H249" s="63"/>
      <c r="I249" s="64">
        <f>IF(E249&gt;=0.000001,E249,0.000001)</f>
        <v>9.9999999999999995E-7</v>
      </c>
      <c r="J249" s="63"/>
      <c r="K249" s="63"/>
      <c r="L249" s="355"/>
      <c r="Q249" s="418"/>
      <c r="R249" s="419"/>
      <c r="S249" s="419"/>
      <c r="T249" s="420"/>
      <c r="U249" s="418"/>
      <c r="V249" s="419"/>
      <c r="W249" s="419"/>
      <c r="X249" s="420"/>
      <c r="Y249" s="373"/>
    </row>
    <row r="250" spans="1:25" ht="13">
      <c r="A250" s="352">
        <f t="shared" si="6"/>
        <v>1</v>
      </c>
      <c r="B250" s="352">
        <f t="shared" si="7"/>
        <v>9.9999999999999995E-7</v>
      </c>
      <c r="C250" s="352">
        <f t="shared" si="10"/>
        <v>9.9999999999999995E-7</v>
      </c>
      <c r="D250" s="352">
        <f t="shared" si="10"/>
        <v>9.9999999999999995E-7</v>
      </c>
      <c r="E250" s="352">
        <f t="shared" si="8"/>
        <v>0</v>
      </c>
      <c r="F250" s="352">
        <f t="shared" si="9"/>
        <v>1E-4</v>
      </c>
      <c r="H250" s="63"/>
      <c r="I250" s="64">
        <f t="shared" ref="I250:I267" si="11">IF(E250&gt;=0.000001,E250,0.000001)</f>
        <v>9.9999999999999995E-7</v>
      </c>
      <c r="J250" s="63"/>
      <c r="K250" s="63"/>
      <c r="L250" s="355"/>
      <c r="Q250" s="413"/>
      <c r="R250" s="414"/>
      <c r="S250" s="902"/>
      <c r="T250" s="415"/>
      <c r="U250" s="413"/>
      <c r="V250" s="414"/>
      <c r="W250" s="902"/>
      <c r="X250" s="415"/>
      <c r="Y250" s="374"/>
    </row>
    <row r="251" spans="1:25" ht="13">
      <c r="A251" s="352">
        <f t="shared" si="6"/>
        <v>2</v>
      </c>
      <c r="B251" s="352">
        <f t="shared" si="7"/>
        <v>9.9999999999999995E-7</v>
      </c>
      <c r="C251" s="352">
        <f t="shared" si="10"/>
        <v>9.9999999999999995E-7</v>
      </c>
      <c r="D251" s="352">
        <f t="shared" si="10"/>
        <v>9.9999999999999995E-7</v>
      </c>
      <c r="E251" s="352">
        <f t="shared" si="8"/>
        <v>0</v>
      </c>
      <c r="F251" s="352">
        <f t="shared" si="9"/>
        <v>1E-4</v>
      </c>
      <c r="H251" s="63"/>
      <c r="I251" s="64">
        <f t="shared" si="11"/>
        <v>9.9999999999999995E-7</v>
      </c>
      <c r="J251" s="63"/>
      <c r="K251" s="63"/>
      <c r="L251" s="355"/>
      <c r="Q251" s="416">
        <f>ID!K38</f>
        <v>181.66666666666666</v>
      </c>
      <c r="R251" s="414"/>
      <c r="S251" s="421">
        <f>FORECAST(Q251,D242:D246,G242:G246)</f>
        <v>6.2652439024390241E-7</v>
      </c>
      <c r="T251" s="417"/>
      <c r="U251" s="416">
        <f>'DB ECG SIM'!R274</f>
        <v>181.66666666666666</v>
      </c>
      <c r="V251" s="414"/>
      <c r="W251" s="421">
        <f>FORECAST(U251,I242:I246,G242:G246)</f>
        <v>9.9999999999999995E-7</v>
      </c>
      <c r="X251" s="417"/>
      <c r="Y251" s="422">
        <f>U251*'DB ECG SIM'!$F$242</f>
        <v>0.99916666666666654</v>
      </c>
    </row>
    <row r="252" spans="1:25" ht="13.5" thickBot="1">
      <c r="A252" s="352" t="str">
        <f t="shared" si="6"/>
        <v>Setting Square</v>
      </c>
      <c r="B252" s="1419" t="str">
        <f t="shared" si="7"/>
        <v>Tahun</v>
      </c>
      <c r="C252" s="1420"/>
      <c r="D252" s="1421"/>
      <c r="E252" s="352" t="str">
        <f t="shared" si="8"/>
        <v>DRIFT</v>
      </c>
      <c r="F252" s="352" t="str">
        <f t="shared" si="9"/>
        <v>U95    STD</v>
      </c>
      <c r="H252" s="63"/>
      <c r="I252" s="64"/>
      <c r="J252" s="63"/>
      <c r="K252" s="63"/>
      <c r="L252" s="355"/>
      <c r="Q252" s="418"/>
      <c r="R252" s="419"/>
      <c r="S252" s="419"/>
      <c r="T252" s="420"/>
      <c r="U252" s="418"/>
      <c r="V252" s="419"/>
      <c r="W252" s="419"/>
      <c r="X252" s="420"/>
      <c r="Y252" s="373"/>
    </row>
    <row r="253" spans="1:25" ht="13">
      <c r="A253" s="352" t="str">
        <f t="shared" si="6"/>
        <v>( Hz )</v>
      </c>
      <c r="B253" s="352">
        <f t="shared" si="7"/>
        <v>2018</v>
      </c>
      <c r="C253" s="352">
        <f t="shared" ref="C253:D255" si="12">IF($A$288=$A$289,C19,IF($A$288=$A$290,K19,IF($A$288=$A$291,S19,IF($A$288=$A$292,C48,IF($A$288=$A$293,K48,IF($A$288=$A$294,S48,IF($A$288=$A$295,C77,IF($A$288=$A$296,K77,IF($A$288=$A$297,S77,IF($A$288=$A$298,C106,IF($A$288=$A$299,K106,IF($A$288=$A$300,S106,IF($A$288=$A$301,C135,IF($A$288=$A$302,K135,IF($A$288=$A$303,S135,IF($A$288=$A$304,C164,IF($A$288=$A$305,K164,IF($A$288=$A$306,S164,IF($A$288=$A$307,C193,IF($A$288=$A$308,K193,IF($A$288=$A$309,S193,IF($A$288=$A$310,C222,IF($A$288=$A$311,K222,S222)))))))))))))))))))))))</f>
        <v>2018</v>
      </c>
      <c r="D253" s="352">
        <f t="shared" si="12"/>
        <v>2019</v>
      </c>
      <c r="E253" s="352">
        <f t="shared" si="8"/>
        <v>0</v>
      </c>
      <c r="F253" s="352">
        <f t="shared" si="9"/>
        <v>0</v>
      </c>
      <c r="I253" s="64">
        <f t="shared" si="11"/>
        <v>9.9999999999999995E-7</v>
      </c>
      <c r="Q253" s="413"/>
      <c r="R253" s="414"/>
      <c r="S253" s="902"/>
      <c r="T253" s="415"/>
      <c r="U253" s="413"/>
      <c r="V253" s="414"/>
      <c r="W253" s="902"/>
      <c r="X253" s="415"/>
      <c r="Y253" s="374"/>
    </row>
    <row r="254" spans="1:25" ht="13">
      <c r="A254" s="352">
        <f t="shared" si="6"/>
        <v>0.125</v>
      </c>
      <c r="B254" s="352">
        <f t="shared" si="7"/>
        <v>9.9999999999999995E-7</v>
      </c>
      <c r="C254" s="352">
        <f t="shared" si="12"/>
        <v>9.9999999999999995E-7</v>
      </c>
      <c r="D254" s="352">
        <f t="shared" si="12"/>
        <v>9.9999999999999995E-7</v>
      </c>
      <c r="E254" s="352">
        <f t="shared" si="8"/>
        <v>0</v>
      </c>
      <c r="F254" s="352">
        <f t="shared" si="9"/>
        <v>2.5999999999999998E-5</v>
      </c>
      <c r="I254" s="64">
        <f t="shared" si="11"/>
        <v>9.9999999999999995E-7</v>
      </c>
      <c r="Q254" s="416">
        <f>ID!K70</f>
        <v>19.333333333333332</v>
      </c>
      <c r="R254" s="414"/>
      <c r="S254" s="421">
        <f>FORECAST(Q254,D242:D246,G242:G246)</f>
        <v>1.1907317073170733E-6</v>
      </c>
      <c r="T254" s="417"/>
      <c r="U254" s="416">
        <f>Q254</f>
        <v>19.333333333333332</v>
      </c>
      <c r="V254" s="414"/>
      <c r="W254" s="421">
        <f>FORECAST(U254,I242:I246,G242:G246)</f>
        <v>9.9999999999999995E-7</v>
      </c>
      <c r="X254" s="417"/>
      <c r="Y254" s="422">
        <f>U254*'DB ECG SIM'!$F$262</f>
        <v>2.3199999999999995E-2</v>
      </c>
    </row>
    <row r="255" spans="1:25" ht="13.5" thickBot="1">
      <c r="A255" s="352">
        <f t="shared" si="6"/>
        <v>2</v>
      </c>
      <c r="B255" s="352">
        <f t="shared" si="7"/>
        <v>9.9999999999999995E-7</v>
      </c>
      <c r="C255" s="352">
        <f t="shared" si="12"/>
        <v>9.9999999999999995E-7</v>
      </c>
      <c r="D255" s="352">
        <f t="shared" si="12"/>
        <v>9.9999999999999995E-7</v>
      </c>
      <c r="E255" s="352">
        <f t="shared" si="8"/>
        <v>0</v>
      </c>
      <c r="F255" s="352">
        <f t="shared" si="9"/>
        <v>2.5999999999999998E-5</v>
      </c>
      <c r="I255" s="64">
        <f t="shared" si="11"/>
        <v>9.9999999999999995E-7</v>
      </c>
      <c r="Q255" s="418"/>
      <c r="R255" s="419"/>
      <c r="S255" s="419"/>
      <c r="T255" s="420"/>
      <c r="U255" s="418"/>
      <c r="V255" s="419"/>
      <c r="W255" s="419"/>
      <c r="X255" s="420"/>
      <c r="Y255" s="373"/>
    </row>
    <row r="256" spans="1:25" ht="13">
      <c r="A256" s="352" t="str">
        <f t="shared" si="6"/>
        <v>Setting Sine</v>
      </c>
      <c r="B256" s="1419" t="str">
        <f t="shared" si="7"/>
        <v>Tahun</v>
      </c>
      <c r="C256" s="1420"/>
      <c r="D256" s="1421"/>
      <c r="E256" s="352" t="str">
        <f t="shared" si="8"/>
        <v>DRIFT</v>
      </c>
      <c r="F256" s="352" t="str">
        <f t="shared" si="9"/>
        <v>U95    STD</v>
      </c>
      <c r="I256" s="64"/>
      <c r="Q256" s="413"/>
      <c r="R256" s="414"/>
      <c r="S256" s="902"/>
      <c r="T256" s="415"/>
      <c r="U256" s="413"/>
      <c r="V256" s="414"/>
      <c r="W256" s="902"/>
      <c r="X256" s="415"/>
      <c r="Y256" s="374"/>
    </row>
    <row r="257" spans="1:25" ht="13">
      <c r="A257" s="352" t="str">
        <f t="shared" si="6"/>
        <v>( Hz )</v>
      </c>
      <c r="B257" s="352">
        <f t="shared" si="7"/>
        <v>2018</v>
      </c>
      <c r="C257" s="352">
        <f>IF($A$288=$A$289,C23,IF($A$288=$A$290,K23,IF($A$288=$A$291,S23,IF($A$288=$A$292,C52,IF($A$288=$A$293,K52,IF($A$288=$A$294,S52,IF($A$288=$A$295,C81,IF($A$288=$A$296,K81,IF($A$288=$A$297,S81,IF($A$288=$A$298,C110,IF($A$288=$A$299,K110,IF($A$288=$A$300,S110,IF($A$288=$A$301,C139,IF($A$288=$A$302,K139,IF($A$288=$A$303,S139,IF($A$288=$A$304,C168,IF($A$288=$A$305,K168,IF($A$288=$A$306,S168,IF($A$288=$A$307,C197,IF($A$288=$A$308,K197,IF($A$288=$A$309,S197,IF($A$288=$A$310,C226,IF($A$288=$A$311,K226,S226)))))))))))))))))))))))</f>
        <v>2018</v>
      </c>
      <c r="D257" s="352">
        <f>IF($A$288=$A$289,D23,IF($A$288=$A$290,L23,IF($A$288=$A$291,T23,IF($A$288=$A$292,D52,IF($A$288=$A$293,L52,IF($A$288=$A$294,T52,IF($A$288=$A$295,D81,IF($A$288=$A$296,L81,IF($A$288=$A$297,T81,IF($A$288=$A$298,D110,IF($A$288=$A$299,L110,IF($A$288=$A$300,T110,IF($A$288=$A$301,D139,IF($A$288=$A$302,L139,IF($A$288=$A$303,T139,IF($A$288=$A$304,D168,IF($A$288=$A$305,L168,IF($A$288=$A$306,T168,IF($A$288=$A$307,D197,IF($A$288=$A$308,L197,IF($A$288=$A$309,T197,IF($A$288=$A$310,D226,IF($A$288=$A$311,L226,T226)))))))))))))))))))))))</f>
        <v>2019</v>
      </c>
      <c r="E257" s="352">
        <f t="shared" si="8"/>
        <v>0</v>
      </c>
      <c r="F257" s="352">
        <f t="shared" si="9"/>
        <v>0</v>
      </c>
      <c r="I257" s="64">
        <f t="shared" si="11"/>
        <v>9.9999999999999995E-7</v>
      </c>
      <c r="Q257" s="416">
        <f>ID!K71</f>
        <v>30</v>
      </c>
      <c r="R257" s="414"/>
      <c r="S257" s="421">
        <f>FORECAST(Q257,D242:D246,G242:G246)</f>
        <v>1.1536585365853658E-6</v>
      </c>
      <c r="T257" s="417"/>
      <c r="U257" s="416">
        <f>Q257</f>
        <v>30</v>
      </c>
      <c r="V257" s="414"/>
      <c r="W257" s="421">
        <f>FORECAST(U257,I242:I246,G242:G246)</f>
        <v>9.9999999999999995E-7</v>
      </c>
      <c r="X257" s="417"/>
      <c r="Y257" s="422">
        <f>U257*'DB ECG SIM'!$F$262</f>
        <v>3.5999999999999997E-2</v>
      </c>
    </row>
    <row r="258" spans="1:25" ht="13.5" thickBot="1">
      <c r="A258" s="352">
        <f t="shared" si="6"/>
        <v>10</v>
      </c>
      <c r="B258" s="352">
        <f t="shared" si="7"/>
        <v>9.9999999999999995E-7</v>
      </c>
      <c r="C258" s="352">
        <f>IF($A$288=$A$289,C24,IF($A$288=$A$290,K24,IF($A$288=$A$291,S24,IF($A$288=$A$292,C53,IF($A$288=$A$293,K53,IF($A$288=$A$294,S53,IF($A$288=$A$295,C82,IF($A$288=$A$296,K82,IF($A$288=$A$297,S82,IF($A$288=$A$298,C111,IF($A$288=$A$299,K111,IF($A$288=$A$300,S111,IF($A$288=$A$301,C140,IF($A$288=$A$302,K140,IF($A$288=$A$303,S140,IF($A$288=$A$304,C169,IF($A$288=$A$305,K169,IF($A$288=$A$306,S169,IF($A$288=$A$307,C198,IF($A$288=$A$308,K198,IF($A$288=$A$309,S198,IF($A$288=$A$310,C227,IF($A$288=$A$311,K227,S227)))))))))))))))))))))))</f>
        <v>9.9999999999999995E-7</v>
      </c>
      <c r="D258" s="352">
        <f>IF($A$288=$A$289,D24,IF($A$288=$A$290,L24,IF($A$288=$A$291,T24,IF($A$288=$A$292,D53,IF($A$288=$A$293,L53,IF($A$288=$A$294,T53,IF($A$288=$A$295,D82,IF($A$288=$A$296,L82,IF($A$288=$A$297,T82,IF($A$288=$A$298,D111,IF($A$288=$A$299,L111,IF($A$288=$A$300,T111,IF($A$288=$A$301,D140,IF($A$288=$A$302,L140,IF($A$288=$A$303,T140,IF($A$288=$A$304,D169,IF($A$288=$A$305,L169,IF($A$288=$A$306,T169,IF($A$288=$A$307,D198,IF($A$288=$A$308,L198,IF($A$288=$A$309,T198,IF($A$288=$A$310,D227,IF($A$288=$A$311,L227,T227)))))))))))))))))))))))</f>
        <v>9.9999999999999995E-7</v>
      </c>
      <c r="E258" s="352">
        <f t="shared" si="8"/>
        <v>0</v>
      </c>
      <c r="F258" s="352">
        <f t="shared" si="9"/>
        <v>2.5999999999999998E-5</v>
      </c>
      <c r="I258" s="64">
        <f t="shared" si="11"/>
        <v>9.9999999999999995E-7</v>
      </c>
      <c r="Q258" s="418"/>
      <c r="R258" s="419"/>
      <c r="S258" s="419"/>
      <c r="T258" s="420"/>
      <c r="U258" s="418"/>
      <c r="V258" s="419"/>
      <c r="W258" s="419"/>
      <c r="X258" s="420"/>
      <c r="Y258" s="373"/>
    </row>
    <row r="259" spans="1:25" ht="13">
      <c r="A259" s="352" t="str">
        <f t="shared" si="6"/>
        <v>Setting Respiration</v>
      </c>
      <c r="B259" s="1419" t="str">
        <f t="shared" si="7"/>
        <v>Tahun</v>
      </c>
      <c r="C259" s="1420"/>
      <c r="D259" s="1421"/>
      <c r="E259" s="352" t="str">
        <f t="shared" si="8"/>
        <v>DRIFT</v>
      </c>
      <c r="F259" s="352" t="str">
        <f t="shared" si="9"/>
        <v>U95    STD</v>
      </c>
      <c r="I259" s="64"/>
      <c r="Q259" s="413"/>
      <c r="R259" s="414"/>
      <c r="S259" s="902"/>
      <c r="T259" s="415"/>
      <c r="U259" s="413"/>
      <c r="V259" s="414"/>
      <c r="W259" s="902"/>
      <c r="X259" s="415"/>
      <c r="Y259" s="374"/>
    </row>
    <row r="260" spans="1:25" ht="13">
      <c r="A260" s="352" t="str">
        <f t="shared" si="6"/>
        <v>( BrPM )</v>
      </c>
      <c r="B260" s="352">
        <f t="shared" si="7"/>
        <v>2018</v>
      </c>
      <c r="C260" s="352">
        <f t="shared" ref="C260:D267" si="13">IF($A$288=$A$289,C26,IF($A$288=$A$290,K26,IF($A$288=$A$291,S26,IF($A$288=$A$292,C55,IF($A$288=$A$293,K55,IF($A$288=$A$294,S55,IF($A$288=$A$295,C84,IF($A$288=$A$296,K84,IF($A$288=$A$297,S84,IF($A$288=$A$298,C113,IF($A$288=$A$299,K113,IF($A$288=$A$300,S113,IF($A$288=$A$301,C142,IF($A$288=$A$302,K142,IF($A$288=$A$303,S142,IF($A$288=$A$304,C171,IF($A$288=$A$305,K171,IF($A$288=$A$306,S171,IF($A$288=$A$307,C200,IF($A$288=$A$308,K200,IF($A$288=$A$309,S200,IF($A$288=$A$310,C229,IF($A$288=$A$311,K229,S229)))))))))))))))))))))))</f>
        <v>2018</v>
      </c>
      <c r="D260" s="352">
        <f t="shared" si="13"/>
        <v>2019</v>
      </c>
      <c r="E260" s="352">
        <f t="shared" si="8"/>
        <v>0</v>
      </c>
      <c r="F260" s="352">
        <f t="shared" si="9"/>
        <v>0</v>
      </c>
      <c r="I260" s="64">
        <f t="shared" si="11"/>
        <v>9.9999999999999995E-7</v>
      </c>
      <c r="Q260" s="416">
        <f>ID!K72</f>
        <v>41</v>
      </c>
      <c r="R260" s="414"/>
      <c r="S260" s="421">
        <f>FORECAST(Q260,D242:D246,G242:G246)</f>
        <v>1.1154268292682928E-6</v>
      </c>
      <c r="T260" s="417"/>
      <c r="U260" s="416">
        <f>Q260</f>
        <v>41</v>
      </c>
      <c r="V260" s="414"/>
      <c r="W260" s="421">
        <f>FORECAST(U260,I242:I246,G242:G246)</f>
        <v>9.9999999999999995E-7</v>
      </c>
      <c r="X260" s="417"/>
      <c r="Y260" s="422">
        <f>U260*'DB ECG SIM'!$F$262</f>
        <v>4.9199999999999994E-2</v>
      </c>
    </row>
    <row r="261" spans="1:25" ht="13.5" thickBot="1">
      <c r="A261" s="352">
        <f t="shared" si="6"/>
        <v>15</v>
      </c>
      <c r="B261" s="352">
        <f t="shared" si="7"/>
        <v>9.9999999999999995E-7</v>
      </c>
      <c r="C261" s="352">
        <f t="shared" si="13"/>
        <v>9.9999999999999995E-7</v>
      </c>
      <c r="D261" s="352">
        <f t="shared" si="13"/>
        <v>9.9999999999999995E-7</v>
      </c>
      <c r="E261" s="352">
        <f t="shared" si="8"/>
        <v>0</v>
      </c>
      <c r="F261" s="352">
        <f t="shared" si="9"/>
        <v>0</v>
      </c>
      <c r="I261" s="64">
        <f t="shared" si="11"/>
        <v>9.9999999999999995E-7</v>
      </c>
      <c r="Q261" s="418"/>
      <c r="R261" s="419"/>
      <c r="S261" s="419"/>
      <c r="T261" s="420"/>
      <c r="U261" s="418"/>
      <c r="V261" s="419"/>
      <c r="W261" s="419"/>
      <c r="X261" s="420"/>
      <c r="Y261" s="373"/>
    </row>
    <row r="262" spans="1:25" ht="13">
      <c r="A262" s="352">
        <f t="shared" si="6"/>
        <v>30</v>
      </c>
      <c r="B262" s="352">
        <f t="shared" si="7"/>
        <v>9.9999999999999995E-7</v>
      </c>
      <c r="C262" s="352">
        <f t="shared" si="13"/>
        <v>9.9999999999999995E-7</v>
      </c>
      <c r="D262" s="352">
        <f t="shared" si="13"/>
        <v>9.9999999999999995E-7</v>
      </c>
      <c r="E262" s="352">
        <f t="shared" si="8"/>
        <v>0</v>
      </c>
      <c r="F262" s="352">
        <f t="shared" si="9"/>
        <v>1.1999999999999999E-3</v>
      </c>
      <c r="I262" s="64">
        <f t="shared" si="11"/>
        <v>9.9999999999999995E-7</v>
      </c>
      <c r="Q262" s="413"/>
      <c r="R262" s="414"/>
      <c r="S262" s="902"/>
      <c r="T262" s="415"/>
      <c r="U262" s="413"/>
      <c r="V262" s="414"/>
      <c r="W262" s="902"/>
      <c r="X262" s="415"/>
      <c r="Y262" s="374"/>
    </row>
    <row r="263" spans="1:25" ht="13">
      <c r="A263" s="352">
        <f t="shared" si="6"/>
        <v>60</v>
      </c>
      <c r="B263" s="352">
        <f t="shared" si="7"/>
        <v>9.9999999999999995E-7</v>
      </c>
      <c r="C263" s="352">
        <f t="shared" si="13"/>
        <v>9.9999999999999995E-7</v>
      </c>
      <c r="D263" s="352">
        <f t="shared" si="13"/>
        <v>9.9999999999999995E-7</v>
      </c>
      <c r="E263" s="352">
        <f t="shared" si="8"/>
        <v>0</v>
      </c>
      <c r="F263" s="352" t="str">
        <f t="shared" si="9"/>
        <v>of</v>
      </c>
      <c r="I263" s="64">
        <f t="shared" si="11"/>
        <v>9.9999999999999995E-7</v>
      </c>
      <c r="Q263" s="416">
        <f>ID!K73</f>
        <v>60</v>
      </c>
      <c r="R263" s="414"/>
      <c r="S263" s="421">
        <f>FORECAST(Q263,D242:D246,G242:G246)</f>
        <v>1.049390243902439E-6</v>
      </c>
      <c r="T263" s="417"/>
      <c r="U263" s="416">
        <f>Q263</f>
        <v>60</v>
      </c>
      <c r="V263" s="414"/>
      <c r="W263" s="421">
        <f>FORECAST(U263,I242:I246,G242:G246)</f>
        <v>9.9999999999999995E-7</v>
      </c>
      <c r="X263" s="417"/>
      <c r="Y263" s="422">
        <f>U263*'DB ECG SIM'!$F$262</f>
        <v>7.1999999999999995E-2</v>
      </c>
    </row>
    <row r="264" spans="1:25" ht="13.5" thickBot="1">
      <c r="A264" s="352">
        <f t="shared" si="6"/>
        <v>120</v>
      </c>
      <c r="B264" s="352">
        <f t="shared" si="7"/>
        <v>9.9999999999999995E-7</v>
      </c>
      <c r="C264" s="352">
        <f t="shared" si="13"/>
        <v>9.9999999999999995E-7</v>
      </c>
      <c r="D264" s="352">
        <f t="shared" si="13"/>
        <v>9.9999999999999995E-7</v>
      </c>
      <c r="E264" s="352">
        <f t="shared" si="8"/>
        <v>0</v>
      </c>
      <c r="F264" s="352" t="str">
        <f t="shared" si="9"/>
        <v>reading</v>
      </c>
      <c r="I264" s="64">
        <f t="shared" si="11"/>
        <v>9.9999999999999995E-7</v>
      </c>
      <c r="Q264" s="418"/>
      <c r="R264" s="419"/>
      <c r="S264" s="419"/>
      <c r="T264" s="420"/>
      <c r="U264" s="418"/>
      <c r="V264" s="419"/>
      <c r="W264" s="419"/>
      <c r="X264" s="420"/>
      <c r="Y264" s="373"/>
    </row>
    <row r="265" spans="1:25" ht="13">
      <c r="A265" s="352">
        <f t="shared" si="6"/>
        <v>180</v>
      </c>
      <c r="B265" s="352">
        <f t="shared" si="7"/>
        <v>9.9999999999999995E-7</v>
      </c>
      <c r="C265" s="352">
        <f t="shared" si="13"/>
        <v>9.9999999999999995E-7</v>
      </c>
      <c r="D265" s="352">
        <f t="shared" si="13"/>
        <v>9.9999999999999995E-7</v>
      </c>
      <c r="E265" s="352">
        <f t="shared" si="8"/>
        <v>0</v>
      </c>
      <c r="F265" s="352" t="str">
        <f t="shared" si="9"/>
        <v>-</v>
      </c>
      <c r="I265" s="64">
        <f t="shared" si="11"/>
        <v>9.9999999999999995E-7</v>
      </c>
      <c r="Q265"/>
      <c r="R265"/>
      <c r="S265"/>
      <c r="T265"/>
      <c r="U265"/>
      <c r="V265"/>
      <c r="W265"/>
      <c r="X265"/>
      <c r="Y265"/>
    </row>
    <row r="266" spans="1:25" ht="13">
      <c r="A266" s="352">
        <f t="shared" si="6"/>
        <v>0</v>
      </c>
      <c r="B266" s="352">
        <f t="shared" si="7"/>
        <v>0</v>
      </c>
      <c r="C266" s="352">
        <f t="shared" si="13"/>
        <v>0</v>
      </c>
      <c r="D266" s="352">
        <f t="shared" si="13"/>
        <v>0</v>
      </c>
      <c r="E266" s="352">
        <f t="shared" si="8"/>
        <v>0</v>
      </c>
      <c r="F266" s="352">
        <f t="shared" si="9"/>
        <v>0</v>
      </c>
      <c r="I266" s="64">
        <f t="shared" si="11"/>
        <v>9.9999999999999995E-7</v>
      </c>
      <c r="Y266"/>
    </row>
    <row r="267" spans="1:25" ht="13">
      <c r="A267" s="352">
        <f t="shared" si="6"/>
        <v>0</v>
      </c>
      <c r="B267" s="352">
        <f t="shared" si="7"/>
        <v>0</v>
      </c>
      <c r="C267" s="352">
        <f t="shared" si="13"/>
        <v>0</v>
      </c>
      <c r="D267" s="352">
        <f t="shared" si="13"/>
        <v>0</v>
      </c>
      <c r="E267" s="352">
        <f t="shared" si="8"/>
        <v>0</v>
      </c>
      <c r="F267" s="352">
        <f t="shared" si="9"/>
        <v>0</v>
      </c>
      <c r="I267" s="64">
        <f t="shared" si="11"/>
        <v>9.9999999999999995E-7</v>
      </c>
      <c r="Y267"/>
    </row>
    <row r="268" spans="1:25" ht="12.75" customHeight="1">
      <c r="Q268" s="375" t="s">
        <v>343</v>
      </c>
      <c r="R268" s="320"/>
      <c r="S268" s="320"/>
      <c r="T268" s="320"/>
      <c r="U268" s="320"/>
      <c r="V268" s="320"/>
      <c r="W268" s="320"/>
      <c r="X268" s="320"/>
      <c r="Y268"/>
    </row>
    <row r="269" spans="1:25" ht="13" thickBot="1">
      <c r="Q269" s="320"/>
      <c r="R269" s="320"/>
      <c r="S269" s="320"/>
      <c r="T269" s="320"/>
      <c r="U269" s="320"/>
      <c r="V269" s="320"/>
      <c r="W269" s="320"/>
      <c r="X269" s="320"/>
      <c r="Y269"/>
    </row>
    <row r="270" spans="1:25" ht="31.5">
      <c r="Q270" s="376" t="s">
        <v>345</v>
      </c>
      <c r="R270" s="377" t="s">
        <v>347</v>
      </c>
      <c r="S270" s="377" t="s">
        <v>349</v>
      </c>
      <c r="T270" s="377" t="s">
        <v>28</v>
      </c>
      <c r="U270" s="377" t="s">
        <v>25</v>
      </c>
      <c r="V270" s="378" t="s">
        <v>339</v>
      </c>
      <c r="W270" s="377" t="s">
        <v>340</v>
      </c>
      <c r="X270" s="379" t="s">
        <v>341</v>
      </c>
      <c r="Y270"/>
    </row>
    <row r="271" spans="1:25" ht="25.5" customHeight="1">
      <c r="Q271" s="380">
        <f>ID!D35</f>
        <v>30</v>
      </c>
      <c r="R271" s="381">
        <f>ID!K35</f>
        <v>28.666666666666668</v>
      </c>
      <c r="S271" s="382">
        <f>R271+'DB ECG SIM'!S241</f>
        <v>28.666667824959351</v>
      </c>
      <c r="T271" s="382">
        <f>ID!M35</f>
        <v>1.0327955589886446</v>
      </c>
      <c r="U271" s="382">
        <f>Q271-S271</f>
        <v>1.333332175040649</v>
      </c>
      <c r="V271" s="383">
        <f>(U271/Q271)*100</f>
        <v>4.4444405834688308</v>
      </c>
      <c r="W271" s="383">
        <f>Budget!J15</f>
        <v>1.1372622222264168</v>
      </c>
      <c r="X271" s="394">
        <f>(W271/Q271)*100</f>
        <v>3.7908740740880562</v>
      </c>
      <c r="Y271"/>
    </row>
    <row r="272" spans="1:25">
      <c r="Q272" s="380">
        <f>ID!D36</f>
        <v>60</v>
      </c>
      <c r="R272" s="381">
        <f>ID!K36</f>
        <v>59.833333333333336</v>
      </c>
      <c r="S272" s="382">
        <f>R272+'DB ECG SIM'!S244</f>
        <v>59.833334383302848</v>
      </c>
      <c r="T272" s="382">
        <f>ID!M36</f>
        <v>0.40824829046386302</v>
      </c>
      <c r="U272" s="382">
        <f t="shared" ref="U272:U274" si="14">Q272-S272</f>
        <v>0.16666561669715207</v>
      </c>
      <c r="V272" s="383">
        <f>(U272/Q272)*100</f>
        <v>0.27777602782858679</v>
      </c>
      <c r="W272" s="383">
        <f>Budget!J27</f>
        <v>0.74308304247564883</v>
      </c>
      <c r="X272" s="394">
        <f>(W272/Q272)*100</f>
        <v>1.2384717374594147</v>
      </c>
      <c r="Y272"/>
    </row>
    <row r="273" spans="1:26">
      <c r="Q273" s="380">
        <f>ID!D37</f>
        <v>120</v>
      </c>
      <c r="R273" s="381">
        <f>ID!K37</f>
        <v>119.83333333333333</v>
      </c>
      <c r="S273" s="382">
        <f>R273+'DB ECG SIM'!S248</f>
        <v>119.83333417476625</v>
      </c>
      <c r="T273" s="382">
        <f>ID!M37</f>
        <v>0.40824829046386302</v>
      </c>
      <c r="U273" s="382">
        <f t="shared" si="14"/>
        <v>0.16666582523374984</v>
      </c>
      <c r="V273" s="383">
        <f>(U273/Q273)*100</f>
        <v>0.13888818769479153</v>
      </c>
      <c r="W273" s="383">
        <f>Budget!J39</f>
        <v>0.93104855799269004</v>
      </c>
      <c r="X273" s="394">
        <f>(W273/Q273)*100</f>
        <v>0.77587379832724179</v>
      </c>
      <c r="Y273"/>
    </row>
    <row r="274" spans="1:26" ht="13" thickBot="1">
      <c r="Q274" s="384">
        <f>ID!D38</f>
        <v>180</v>
      </c>
      <c r="R274" s="385">
        <f>ID!K38</f>
        <v>181.66666666666666</v>
      </c>
      <c r="S274" s="386">
        <f>R274+'DB ECG SIM'!S251</f>
        <v>181.66666729319104</v>
      </c>
      <c r="T274" s="386">
        <f>ID!M38</f>
        <v>1.9663841605003503</v>
      </c>
      <c r="U274" s="386">
        <f t="shared" si="14"/>
        <v>-1.6666672931910398</v>
      </c>
      <c r="V274" s="387">
        <f>(U274/Q274)*100</f>
        <v>-0.92592627399502214</v>
      </c>
      <c r="W274" s="387">
        <f>Budget!J51</f>
        <v>2.1687165872233458</v>
      </c>
      <c r="X274" s="395">
        <f>(W274/Q274)*100</f>
        <v>1.2048425484574143</v>
      </c>
      <c r="Y274"/>
    </row>
    <row r="275" spans="1:26">
      <c r="Q275" s="320"/>
      <c r="R275" s="320"/>
      <c r="S275" s="320"/>
      <c r="T275" s="320"/>
      <c r="U275" s="320"/>
      <c r="V275" s="320"/>
      <c r="W275" s="396"/>
      <c r="X275" s="396"/>
      <c r="Y275"/>
    </row>
    <row r="276" spans="1:26">
      <c r="Q276" s="320"/>
      <c r="R276" s="320"/>
      <c r="S276" s="320"/>
      <c r="T276" s="320"/>
      <c r="U276" s="320"/>
      <c r="V276" s="320"/>
      <c r="W276" s="396"/>
      <c r="X276" s="396"/>
      <c r="Y276"/>
    </row>
    <row r="277" spans="1:26">
      <c r="Q277" s="375" t="s">
        <v>344</v>
      </c>
      <c r="R277" s="320"/>
      <c r="S277" s="320"/>
      <c r="T277" s="320"/>
      <c r="U277" s="320"/>
      <c r="V277" s="320"/>
      <c r="W277" s="396"/>
      <c r="X277" s="396"/>
    </row>
    <row r="278" spans="1:26" ht="13" thickBot="1">
      <c r="Q278" s="320"/>
      <c r="R278" s="320"/>
      <c r="S278" s="320"/>
      <c r="T278" s="320"/>
      <c r="U278" s="320"/>
      <c r="V278" s="320"/>
      <c r="W278" s="396"/>
      <c r="X278" s="396"/>
    </row>
    <row r="279" spans="1:26" ht="31.5">
      <c r="Q279" s="376" t="s">
        <v>346</v>
      </c>
      <c r="R279" s="377" t="s">
        <v>347</v>
      </c>
      <c r="S279" s="377" t="s">
        <v>349</v>
      </c>
      <c r="T279" s="377" t="s">
        <v>28</v>
      </c>
      <c r="U279" s="377" t="s">
        <v>25</v>
      </c>
      <c r="V279" s="378" t="s">
        <v>339</v>
      </c>
      <c r="W279" s="397" t="s">
        <v>340</v>
      </c>
      <c r="X279" s="398" t="s">
        <v>341</v>
      </c>
    </row>
    <row r="280" spans="1:26">
      <c r="Q280" s="388">
        <f>ID!D70</f>
        <v>20</v>
      </c>
      <c r="R280" s="389">
        <f>ID!K70</f>
        <v>19.333333333333332</v>
      </c>
      <c r="S280" s="390">
        <f>S254+R280</f>
        <v>19.333334524065041</v>
      </c>
      <c r="T280" s="390">
        <f>ID!M70</f>
        <v>0.5163977794943222</v>
      </c>
      <c r="U280" s="390">
        <f>Q280-S280</f>
        <v>0.66666547593495906</v>
      </c>
      <c r="V280" s="383">
        <f>(U280/Q280)*100</f>
        <v>3.3333273796747958</v>
      </c>
      <c r="W280" s="399">
        <f>Budget!J63</f>
        <v>0.72978586996810701</v>
      </c>
      <c r="X280" s="394">
        <f>(W280/Q280)*100</f>
        <v>3.6489293498405351</v>
      </c>
    </row>
    <row r="281" spans="1:26">
      <c r="Q281" s="388">
        <f>ID!D71</f>
        <v>30</v>
      </c>
      <c r="R281" s="389">
        <f>ID!K71</f>
        <v>30</v>
      </c>
      <c r="S281" s="390">
        <f>S257+R281</f>
        <v>30.000001153658538</v>
      </c>
      <c r="T281" s="390">
        <f>ID!M71</f>
        <v>0</v>
      </c>
      <c r="U281" s="390">
        <f t="shared" ref="U281:U282" si="15">Q281-S281</f>
        <v>-1.1536585375893083E-6</v>
      </c>
      <c r="V281" s="383">
        <f>(U281/Q281)*100</f>
        <v>-3.8455284586310281E-6</v>
      </c>
      <c r="W281" s="399">
        <f>Budget!V15</f>
        <v>0.58084191252176132</v>
      </c>
      <c r="X281" s="394">
        <f>(W281/Q281)*100</f>
        <v>1.9361397084058711</v>
      </c>
    </row>
    <row r="282" spans="1:26">
      <c r="Q282" s="388">
        <f>ID!D72</f>
        <v>40</v>
      </c>
      <c r="R282" s="389">
        <f>ID!K72</f>
        <v>41</v>
      </c>
      <c r="S282" s="390">
        <f>S260+R282</f>
        <v>41.000001115426826</v>
      </c>
      <c r="T282" s="390">
        <f>ID!M72</f>
        <v>1.0954451150103321</v>
      </c>
      <c r="U282" s="390">
        <f t="shared" si="15"/>
        <v>-1.0000011154268265</v>
      </c>
      <c r="V282" s="383">
        <f>(U282/Q282)*100</f>
        <v>-2.5000027885670661</v>
      </c>
      <c r="W282" s="399">
        <f>Budget!V27</f>
        <v>1.188866830356226</v>
      </c>
      <c r="X282" s="394">
        <f>(W282/Q282)*100</f>
        <v>2.9721670758905647</v>
      </c>
    </row>
    <row r="283" spans="1:26" ht="13" thickBot="1">
      <c r="Q283" s="391">
        <f>ID!D73</f>
        <v>60</v>
      </c>
      <c r="R283" s="392">
        <f>ID!K73</f>
        <v>60</v>
      </c>
      <c r="S283" s="393">
        <f>S263+R283</f>
        <v>60.000001049390242</v>
      </c>
      <c r="T283" s="393">
        <f>ID!M73</f>
        <v>0</v>
      </c>
      <c r="U283" s="393">
        <f>Q283-S283</f>
        <v>-1.0493902422581414E-6</v>
      </c>
      <c r="V283" s="387">
        <f>(U283/Q283)*100</f>
        <v>-1.7489837370969021E-6</v>
      </c>
      <c r="W283" s="400">
        <f>Budget!V39</f>
        <v>0.583881750858259</v>
      </c>
      <c r="X283" s="395">
        <f>(W283/Q283)*100</f>
        <v>0.9731362514304317</v>
      </c>
    </row>
    <row r="287" spans="1:26" ht="13" thickBot="1"/>
    <row r="288" spans="1:26" ht="13" thickBot="1">
      <c r="A288" s="332" t="str">
        <f>ID!B90</f>
        <v>Multiparameter Simulator, Merek : RIGEL , Model : PatSim200, SN : 15L-0684</v>
      </c>
      <c r="B288" s="332"/>
      <c r="C288" s="332"/>
      <c r="D288" s="332"/>
      <c r="E288" s="332"/>
      <c r="F288" s="332"/>
      <c r="G288" s="332"/>
      <c r="H288" s="332"/>
      <c r="I288" s="332"/>
      <c r="J288" s="332"/>
      <c r="K288" s="332"/>
      <c r="L288" s="411" t="s">
        <v>313</v>
      </c>
      <c r="M288" s="412"/>
      <c r="N288" s="412"/>
      <c r="Q288" s="1431">
        <f>A313</f>
        <v>11</v>
      </c>
      <c r="R288" s="1432"/>
      <c r="S288" s="1432"/>
      <c r="T288" s="1432"/>
      <c r="U288" s="1432"/>
      <c r="V288" s="1432"/>
      <c r="W288" s="1432"/>
      <c r="X288" s="1432"/>
      <c r="Y288" s="1432"/>
      <c r="Z288" s="1433"/>
    </row>
    <row r="289" spans="1:26">
      <c r="A289" s="332" t="s">
        <v>314</v>
      </c>
      <c r="B289" s="401"/>
      <c r="C289" s="401"/>
      <c r="D289" s="402"/>
      <c r="E289" s="402"/>
      <c r="F289" s="402"/>
      <c r="G289" s="402"/>
      <c r="H289" s="403"/>
      <c r="I289" s="404">
        <f>B8</f>
        <v>2016</v>
      </c>
      <c r="J289" s="404">
        <f>D8</f>
        <v>2018</v>
      </c>
      <c r="K289" s="404">
        <v>1</v>
      </c>
      <c r="L289" s="405">
        <v>1</v>
      </c>
      <c r="M289" s="412"/>
      <c r="N289" s="412"/>
      <c r="Q289" s="406">
        <v>1</v>
      </c>
      <c r="R289" s="333" t="s">
        <v>348</v>
      </c>
      <c r="S289" s="334"/>
      <c r="T289" s="334"/>
      <c r="U289" s="334"/>
      <c r="V289" s="334"/>
      <c r="W289" s="334"/>
      <c r="X289" s="334"/>
      <c r="Y289" s="334"/>
      <c r="Z289" s="407"/>
    </row>
    <row r="290" spans="1:26" ht="12.75" customHeight="1">
      <c r="A290" s="332" t="s">
        <v>315</v>
      </c>
      <c r="B290" s="401"/>
      <c r="C290" s="401"/>
      <c r="D290" s="402"/>
      <c r="E290" s="402"/>
      <c r="F290" s="402"/>
      <c r="G290" s="402"/>
      <c r="H290" s="403"/>
      <c r="I290" s="404">
        <f>J8</f>
        <v>2017</v>
      </c>
      <c r="J290" s="404">
        <f>L8</f>
        <v>2018</v>
      </c>
      <c r="K290" s="404">
        <v>2</v>
      </c>
      <c r="L290" s="405">
        <v>1</v>
      </c>
      <c r="M290" s="412"/>
      <c r="N290" s="412"/>
      <c r="Q290" s="408">
        <v>2</v>
      </c>
      <c r="R290" s="333" t="s">
        <v>348</v>
      </c>
      <c r="S290" s="335"/>
      <c r="T290" s="335"/>
      <c r="U290" s="335"/>
      <c r="V290" s="335"/>
      <c r="W290" s="335"/>
      <c r="X290" s="335"/>
      <c r="Y290" s="335"/>
      <c r="Z290" s="336"/>
    </row>
    <row r="291" spans="1:26" ht="12.75" customHeight="1">
      <c r="A291" s="332" t="s">
        <v>316</v>
      </c>
      <c r="B291" s="401"/>
      <c r="C291" s="401"/>
      <c r="D291" s="402"/>
      <c r="E291" s="402"/>
      <c r="F291" s="402"/>
      <c r="G291" s="402"/>
      <c r="H291" s="403"/>
      <c r="I291" s="404">
        <f>R8</f>
        <v>2015</v>
      </c>
      <c r="J291" s="404">
        <f>T8</f>
        <v>2016</v>
      </c>
      <c r="K291" s="404">
        <v>3</v>
      </c>
      <c r="L291" s="405">
        <v>1</v>
      </c>
      <c r="M291" s="412"/>
      <c r="N291" s="412"/>
      <c r="Q291" s="408">
        <v>3</v>
      </c>
      <c r="R291" s="333" t="s">
        <v>348</v>
      </c>
      <c r="S291" s="335"/>
      <c r="T291" s="335"/>
      <c r="U291" s="335"/>
      <c r="V291" s="335"/>
      <c r="W291" s="335"/>
      <c r="X291" s="335"/>
      <c r="Y291" s="335"/>
      <c r="Z291" s="336"/>
    </row>
    <row r="292" spans="1:26">
      <c r="A292" s="332" t="s">
        <v>317</v>
      </c>
      <c r="B292" s="401"/>
      <c r="C292" s="401"/>
      <c r="D292" s="402"/>
      <c r="E292" s="402"/>
      <c r="F292" s="402"/>
      <c r="G292" s="402"/>
      <c r="H292" s="403"/>
      <c r="I292" s="404">
        <f>B37</f>
        <v>2014</v>
      </c>
      <c r="J292" s="404">
        <f>D37</f>
        <v>2017</v>
      </c>
      <c r="K292" s="404">
        <v>4</v>
      </c>
      <c r="L292" s="405">
        <v>1</v>
      </c>
      <c r="M292" s="412"/>
      <c r="N292" s="412"/>
      <c r="Q292" s="408">
        <v>4</v>
      </c>
      <c r="R292" s="333" t="s">
        <v>348</v>
      </c>
      <c r="S292" s="335"/>
      <c r="T292" s="335"/>
      <c r="U292" s="335"/>
      <c r="V292" s="335"/>
      <c r="W292" s="335"/>
      <c r="X292" s="335"/>
      <c r="Y292" s="335"/>
      <c r="Z292" s="336"/>
    </row>
    <row r="293" spans="1:26">
      <c r="A293" s="332" t="s">
        <v>318</v>
      </c>
      <c r="B293" s="401"/>
      <c r="C293" s="401"/>
      <c r="D293" s="402"/>
      <c r="E293" s="402"/>
      <c r="F293" s="402"/>
      <c r="G293" s="402"/>
      <c r="H293" s="403"/>
      <c r="I293" s="404">
        <f>J37</f>
        <v>2016</v>
      </c>
      <c r="J293" s="404">
        <f>L37</f>
        <v>2017</v>
      </c>
      <c r="K293" s="404">
        <v>5</v>
      </c>
      <c r="L293" s="405">
        <v>1</v>
      </c>
      <c r="M293" s="412"/>
      <c r="N293" s="412"/>
      <c r="Q293" s="408">
        <v>5</v>
      </c>
      <c r="R293" s="333" t="s">
        <v>348</v>
      </c>
      <c r="S293" s="335"/>
      <c r="T293" s="335"/>
      <c r="U293" s="335"/>
      <c r="V293" s="335"/>
      <c r="W293" s="335"/>
      <c r="X293" s="335"/>
      <c r="Y293" s="335"/>
      <c r="Z293" s="336"/>
    </row>
    <row r="294" spans="1:26">
      <c r="A294" s="332" t="s">
        <v>319</v>
      </c>
      <c r="B294" s="401"/>
      <c r="C294" s="401"/>
      <c r="D294" s="402"/>
      <c r="E294" s="402"/>
      <c r="F294" s="402"/>
      <c r="G294" s="402"/>
      <c r="H294" s="403"/>
      <c r="I294" s="404">
        <f>R37</f>
        <v>2015</v>
      </c>
      <c r="J294" s="404">
        <f>T37</f>
        <v>2017</v>
      </c>
      <c r="K294" s="404">
        <v>6</v>
      </c>
      <c r="L294" s="405">
        <v>1</v>
      </c>
      <c r="M294" s="412"/>
      <c r="N294" s="412"/>
      <c r="Q294" s="408">
        <v>6</v>
      </c>
      <c r="R294" s="333" t="s">
        <v>348</v>
      </c>
      <c r="S294" s="335"/>
      <c r="T294" s="335"/>
      <c r="U294" s="335"/>
      <c r="V294" s="335"/>
      <c r="W294" s="335"/>
      <c r="X294" s="335"/>
      <c r="Y294" s="335"/>
      <c r="Z294" s="336"/>
    </row>
    <row r="295" spans="1:26">
      <c r="A295" s="332" t="s">
        <v>320</v>
      </c>
      <c r="B295" s="401"/>
      <c r="C295" s="401"/>
      <c r="D295" s="402"/>
      <c r="E295" s="402"/>
      <c r="F295" s="402"/>
      <c r="G295" s="402"/>
      <c r="H295" s="403"/>
      <c r="I295" s="404">
        <f>B66</f>
        <v>2015</v>
      </c>
      <c r="J295" s="404">
        <f>D66</f>
        <v>2018</v>
      </c>
      <c r="K295" s="404">
        <v>7</v>
      </c>
      <c r="L295" s="405">
        <v>1</v>
      </c>
      <c r="M295" s="412"/>
      <c r="N295" s="412"/>
      <c r="Q295" s="408">
        <v>7</v>
      </c>
      <c r="R295" s="333" t="s">
        <v>348</v>
      </c>
      <c r="S295" s="335"/>
      <c r="T295" s="335"/>
      <c r="U295" s="335"/>
      <c r="V295" s="335"/>
      <c r="W295" s="335"/>
      <c r="X295" s="335"/>
      <c r="Y295" s="335"/>
      <c r="Z295" s="336"/>
    </row>
    <row r="296" spans="1:26">
      <c r="A296" s="332" t="s">
        <v>321</v>
      </c>
      <c r="B296" s="401"/>
      <c r="C296" s="401"/>
      <c r="D296" s="402"/>
      <c r="E296" s="402"/>
      <c r="F296" s="402"/>
      <c r="G296" s="402"/>
      <c r="H296" s="403"/>
      <c r="I296" s="404">
        <f>J66</f>
        <v>2015</v>
      </c>
      <c r="J296" s="404">
        <f>L66</f>
        <v>2017</v>
      </c>
      <c r="K296" s="404">
        <v>8</v>
      </c>
      <c r="L296" s="405">
        <v>1</v>
      </c>
      <c r="M296" s="412"/>
      <c r="N296" s="412"/>
      <c r="Q296" s="408">
        <v>8</v>
      </c>
      <c r="R296" s="333" t="s">
        <v>348</v>
      </c>
      <c r="S296" s="335"/>
      <c r="T296" s="335"/>
      <c r="U296" s="335"/>
      <c r="V296" s="335"/>
      <c r="W296" s="335"/>
      <c r="X296" s="335"/>
      <c r="Y296" s="335"/>
      <c r="Z296" s="336"/>
    </row>
    <row r="297" spans="1:26">
      <c r="A297" s="332" t="s">
        <v>322</v>
      </c>
      <c r="B297" s="401"/>
      <c r="C297" s="401"/>
      <c r="D297" s="402"/>
      <c r="E297" s="402"/>
      <c r="F297" s="402"/>
      <c r="G297" s="402"/>
      <c r="H297" s="403"/>
      <c r="I297" s="404">
        <f>R66</f>
        <v>2018</v>
      </c>
      <c r="J297" s="404">
        <f>T66</f>
        <v>2019</v>
      </c>
      <c r="K297" s="404">
        <v>9</v>
      </c>
      <c r="L297" s="405">
        <v>1</v>
      </c>
      <c r="M297" s="412"/>
      <c r="N297" s="412"/>
      <c r="Q297" s="409">
        <v>9</v>
      </c>
      <c r="R297" s="333" t="s">
        <v>348</v>
      </c>
      <c r="S297" s="335"/>
      <c r="T297" s="335"/>
      <c r="U297" s="335"/>
      <c r="V297" s="335"/>
      <c r="W297" s="335"/>
      <c r="X297" s="335"/>
      <c r="Y297" s="335"/>
      <c r="Z297" s="337"/>
    </row>
    <row r="298" spans="1:26">
      <c r="A298" s="332" t="s">
        <v>323</v>
      </c>
      <c r="B298" s="401"/>
      <c r="C298" s="401"/>
      <c r="D298" s="402"/>
      <c r="E298" s="402"/>
      <c r="F298" s="402"/>
      <c r="G298" s="402"/>
      <c r="H298" s="403"/>
      <c r="I298" s="404">
        <f>B95</f>
        <v>2018</v>
      </c>
      <c r="J298" s="404">
        <f>D95</f>
        <v>2019</v>
      </c>
      <c r="K298" s="404">
        <v>10</v>
      </c>
      <c r="L298" s="405">
        <v>1</v>
      </c>
      <c r="M298" s="412"/>
      <c r="N298" s="412"/>
      <c r="Q298" s="408">
        <v>10</v>
      </c>
      <c r="R298" s="333" t="s">
        <v>348</v>
      </c>
      <c r="S298" s="335"/>
      <c r="T298" s="335"/>
      <c r="U298" s="335"/>
      <c r="V298" s="335"/>
      <c r="W298" s="335"/>
      <c r="X298" s="335"/>
      <c r="Y298" s="335"/>
      <c r="Z298" s="337"/>
    </row>
    <row r="299" spans="1:26">
      <c r="A299" s="332" t="s">
        <v>324</v>
      </c>
      <c r="B299" s="401"/>
      <c r="C299" s="401"/>
      <c r="D299" s="402"/>
      <c r="E299" s="402"/>
      <c r="F299" s="402"/>
      <c r="G299" s="402"/>
      <c r="H299" s="403"/>
      <c r="I299" s="404">
        <f>J95</f>
        <v>2018</v>
      </c>
      <c r="J299" s="404">
        <f>L95</f>
        <v>2019</v>
      </c>
      <c r="K299" s="404">
        <v>11</v>
      </c>
      <c r="L299" s="405">
        <v>1</v>
      </c>
      <c r="M299" s="412"/>
      <c r="N299" s="412"/>
      <c r="Q299" s="408">
        <v>11</v>
      </c>
      <c r="R299" s="333" t="s">
        <v>348</v>
      </c>
      <c r="S299" s="335"/>
      <c r="T299" s="335"/>
      <c r="U299" s="335"/>
      <c r="V299" s="335"/>
      <c r="W299" s="335"/>
      <c r="X299" s="335"/>
      <c r="Y299" s="335"/>
      <c r="Z299" s="337"/>
    </row>
    <row r="300" spans="1:26">
      <c r="A300" s="332" t="s">
        <v>325</v>
      </c>
      <c r="B300" s="401"/>
      <c r="C300" s="401"/>
      <c r="D300" s="402"/>
      <c r="E300" s="402"/>
      <c r="F300" s="402"/>
      <c r="G300" s="402"/>
      <c r="H300" s="403"/>
      <c r="I300" s="404">
        <f>R95</f>
        <v>2018</v>
      </c>
      <c r="J300" s="404">
        <f>T95</f>
        <v>2019</v>
      </c>
      <c r="K300" s="404">
        <v>12</v>
      </c>
      <c r="L300" s="405">
        <v>1</v>
      </c>
      <c r="M300" s="412"/>
      <c r="N300" s="412"/>
      <c r="Q300" s="408">
        <v>12</v>
      </c>
      <c r="R300" s="333" t="s">
        <v>348</v>
      </c>
      <c r="S300" s="335"/>
      <c r="T300" s="335"/>
      <c r="U300" s="335"/>
      <c r="V300" s="335"/>
      <c r="W300" s="335"/>
      <c r="X300" s="335"/>
      <c r="Y300" s="335"/>
      <c r="Z300" s="337"/>
    </row>
    <row r="301" spans="1:26">
      <c r="A301" s="332" t="s">
        <v>326</v>
      </c>
      <c r="B301" s="401"/>
      <c r="C301" s="401"/>
      <c r="D301" s="402"/>
      <c r="E301" s="402"/>
      <c r="F301" s="402"/>
      <c r="G301" s="402"/>
      <c r="H301" s="403"/>
      <c r="I301" s="404">
        <f>B124</f>
        <v>2018</v>
      </c>
      <c r="J301" s="404">
        <f>D124</f>
        <v>2019</v>
      </c>
      <c r="K301" s="404">
        <v>13</v>
      </c>
      <c r="L301" s="405">
        <v>1</v>
      </c>
      <c r="M301" s="412"/>
      <c r="N301" s="412"/>
      <c r="Q301" s="408">
        <v>13</v>
      </c>
      <c r="R301" s="333" t="s">
        <v>348</v>
      </c>
      <c r="S301" s="335"/>
      <c r="T301" s="335"/>
      <c r="U301" s="335"/>
      <c r="V301" s="335"/>
      <c r="W301" s="335"/>
      <c r="X301" s="335"/>
      <c r="Y301" s="335"/>
      <c r="Z301" s="337"/>
    </row>
    <row r="302" spans="1:26">
      <c r="A302" s="332" t="s">
        <v>327</v>
      </c>
      <c r="B302" s="401"/>
      <c r="C302" s="401"/>
      <c r="D302" s="402"/>
      <c r="E302" s="402"/>
      <c r="F302" s="402"/>
      <c r="G302" s="402"/>
      <c r="H302" s="403"/>
      <c r="I302" s="404">
        <f>J124</f>
        <v>2018</v>
      </c>
      <c r="J302" s="404">
        <f>L124</f>
        <v>2019</v>
      </c>
      <c r="K302" s="404">
        <v>14</v>
      </c>
      <c r="L302" s="405">
        <v>1</v>
      </c>
      <c r="M302" s="412"/>
      <c r="N302" s="412"/>
      <c r="Q302" s="408">
        <v>14</v>
      </c>
      <c r="R302" s="333" t="s">
        <v>348</v>
      </c>
      <c r="S302" s="335"/>
      <c r="T302" s="335"/>
      <c r="U302" s="335"/>
      <c r="V302" s="335"/>
      <c r="W302" s="335"/>
      <c r="X302" s="335"/>
      <c r="Y302" s="335"/>
      <c r="Z302" s="337"/>
    </row>
    <row r="303" spans="1:26">
      <c r="A303" s="332" t="s">
        <v>328</v>
      </c>
      <c r="B303" s="401"/>
      <c r="C303" s="401"/>
      <c r="D303" s="402"/>
      <c r="E303" s="402"/>
      <c r="F303" s="402"/>
      <c r="G303" s="402"/>
      <c r="H303" s="403"/>
      <c r="I303" s="404">
        <f>R124</f>
        <v>2018</v>
      </c>
      <c r="J303" s="404">
        <f>T124</f>
        <v>2019</v>
      </c>
      <c r="K303" s="404">
        <v>15</v>
      </c>
      <c r="L303" s="405">
        <v>1</v>
      </c>
      <c r="M303" s="412"/>
      <c r="N303" s="412"/>
      <c r="Q303" s="408">
        <v>15</v>
      </c>
      <c r="R303" s="333" t="s">
        <v>348</v>
      </c>
      <c r="S303" s="335"/>
      <c r="T303" s="335"/>
      <c r="U303" s="335"/>
      <c r="V303" s="335"/>
      <c r="W303" s="335"/>
      <c r="X303" s="335"/>
      <c r="Y303" s="335"/>
      <c r="Z303" s="337"/>
    </row>
    <row r="304" spans="1:26">
      <c r="A304" s="332" t="s">
        <v>329</v>
      </c>
      <c r="B304" s="401"/>
      <c r="C304" s="401"/>
      <c r="D304" s="402"/>
      <c r="E304" s="402"/>
      <c r="F304" s="402"/>
      <c r="G304" s="402"/>
      <c r="H304" s="403"/>
      <c r="I304" s="404">
        <f>B153</f>
        <v>2018</v>
      </c>
      <c r="J304" s="404">
        <f>D153</f>
        <v>2019</v>
      </c>
      <c r="K304" s="404">
        <v>16</v>
      </c>
      <c r="L304" s="405">
        <v>1</v>
      </c>
      <c r="M304" s="412"/>
      <c r="N304" s="412"/>
      <c r="Q304" s="408">
        <v>16</v>
      </c>
      <c r="R304" s="333" t="s">
        <v>348</v>
      </c>
      <c r="S304" s="335"/>
      <c r="T304" s="335"/>
      <c r="U304" s="335"/>
      <c r="V304" s="335"/>
      <c r="W304" s="335"/>
      <c r="X304" s="335"/>
      <c r="Y304" s="335"/>
      <c r="Z304" s="337"/>
    </row>
    <row r="305" spans="1:26">
      <c r="A305" s="332" t="s">
        <v>330</v>
      </c>
      <c r="B305" s="401"/>
      <c r="C305" s="401"/>
      <c r="D305" s="402"/>
      <c r="E305" s="402"/>
      <c r="F305" s="402"/>
      <c r="G305" s="402"/>
      <c r="H305" s="403"/>
      <c r="I305" s="404">
        <f>J153</f>
        <v>2018</v>
      </c>
      <c r="J305" s="404">
        <f>L153</f>
        <v>2019</v>
      </c>
      <c r="K305" s="404">
        <v>17</v>
      </c>
      <c r="L305" s="405">
        <v>1</v>
      </c>
      <c r="M305" s="412"/>
      <c r="N305" s="412"/>
      <c r="Q305" s="409">
        <v>17</v>
      </c>
      <c r="R305" s="333" t="s">
        <v>348</v>
      </c>
      <c r="S305" s="335"/>
      <c r="T305" s="335"/>
      <c r="U305" s="335"/>
      <c r="V305" s="335"/>
      <c r="W305" s="335"/>
      <c r="X305" s="335"/>
      <c r="Y305" s="335"/>
      <c r="Z305" s="337"/>
    </row>
    <row r="306" spans="1:26">
      <c r="A306" s="332" t="s">
        <v>331</v>
      </c>
      <c r="B306" s="401"/>
      <c r="C306" s="401"/>
      <c r="D306" s="402"/>
      <c r="E306" s="402"/>
      <c r="F306" s="402"/>
      <c r="G306" s="402"/>
      <c r="H306" s="403"/>
      <c r="I306" s="404">
        <f>R153</f>
        <v>2018</v>
      </c>
      <c r="J306" s="404">
        <f>T153</f>
        <v>2019</v>
      </c>
      <c r="K306" s="404">
        <v>18</v>
      </c>
      <c r="L306" s="405">
        <v>1</v>
      </c>
      <c r="M306" s="412"/>
      <c r="N306" s="412"/>
      <c r="Q306" s="408">
        <v>18</v>
      </c>
      <c r="R306" s="333" t="s">
        <v>348</v>
      </c>
      <c r="S306" s="335"/>
      <c r="T306" s="335"/>
      <c r="U306" s="335"/>
      <c r="V306" s="335"/>
      <c r="W306" s="335"/>
      <c r="X306" s="335"/>
      <c r="Y306" s="335"/>
      <c r="Z306" s="337"/>
    </row>
    <row r="307" spans="1:26">
      <c r="A307" s="332" t="s">
        <v>332</v>
      </c>
      <c r="B307" s="401"/>
      <c r="C307" s="401"/>
      <c r="D307" s="402"/>
      <c r="E307" s="402"/>
      <c r="F307" s="402"/>
      <c r="G307" s="402"/>
      <c r="H307" s="403"/>
      <c r="I307" s="404">
        <f>B182</f>
        <v>2018</v>
      </c>
      <c r="J307" s="404">
        <f>D182</f>
        <v>2019</v>
      </c>
      <c r="K307" s="404">
        <v>19</v>
      </c>
      <c r="L307" s="405">
        <v>1</v>
      </c>
      <c r="M307" s="412"/>
      <c r="N307" s="412"/>
      <c r="Q307" s="408">
        <v>19</v>
      </c>
      <c r="R307" s="333" t="s">
        <v>348</v>
      </c>
      <c r="S307" s="335"/>
      <c r="T307" s="335"/>
      <c r="U307" s="335"/>
      <c r="V307" s="335"/>
      <c r="W307" s="335"/>
      <c r="X307" s="335"/>
      <c r="Y307" s="335"/>
      <c r="Z307" s="337"/>
    </row>
    <row r="308" spans="1:26">
      <c r="A308" s="332" t="s">
        <v>333</v>
      </c>
      <c r="B308" s="401"/>
      <c r="C308" s="401"/>
      <c r="D308" s="402"/>
      <c r="E308" s="402"/>
      <c r="F308" s="402"/>
      <c r="G308" s="402"/>
      <c r="H308" s="403"/>
      <c r="I308" s="404">
        <f>J182</f>
        <v>2018</v>
      </c>
      <c r="J308" s="404">
        <f>L182</f>
        <v>2019</v>
      </c>
      <c r="K308" s="404">
        <v>20</v>
      </c>
      <c r="L308" s="405">
        <v>1</v>
      </c>
      <c r="M308" s="412"/>
      <c r="N308" s="412"/>
      <c r="Q308" s="408">
        <v>20</v>
      </c>
      <c r="R308" s="333" t="s">
        <v>348</v>
      </c>
      <c r="S308" s="335"/>
      <c r="T308" s="335"/>
      <c r="U308" s="335"/>
      <c r="V308" s="335"/>
      <c r="W308" s="335"/>
      <c r="X308" s="335"/>
      <c r="Y308" s="335"/>
      <c r="Z308" s="337"/>
    </row>
    <row r="309" spans="1:26">
      <c r="A309" s="332" t="s">
        <v>334</v>
      </c>
      <c r="B309" s="401"/>
      <c r="C309" s="401"/>
      <c r="D309" s="402"/>
      <c r="E309" s="402"/>
      <c r="F309" s="402"/>
      <c r="G309" s="402"/>
      <c r="H309" s="403"/>
      <c r="I309" s="404">
        <f>R182</f>
        <v>2018</v>
      </c>
      <c r="J309" s="404">
        <f>T182</f>
        <v>2019</v>
      </c>
      <c r="K309" s="404">
        <v>21</v>
      </c>
      <c r="L309" s="405">
        <v>1</v>
      </c>
      <c r="M309" s="412"/>
      <c r="N309" s="412"/>
      <c r="Q309" s="408">
        <v>21</v>
      </c>
      <c r="R309" s="333" t="s">
        <v>348</v>
      </c>
      <c r="S309" s="335"/>
      <c r="T309" s="335"/>
      <c r="U309" s="335"/>
      <c r="V309" s="335"/>
      <c r="W309" s="335"/>
      <c r="X309" s="335"/>
      <c r="Y309" s="335"/>
      <c r="Z309" s="337"/>
    </row>
    <row r="310" spans="1:26">
      <c r="A310" s="332" t="s">
        <v>335</v>
      </c>
      <c r="B310" s="401"/>
      <c r="C310" s="401"/>
      <c r="D310" s="402"/>
      <c r="E310" s="402"/>
      <c r="F310" s="402"/>
      <c r="G310" s="402"/>
      <c r="H310" s="403"/>
      <c r="I310" s="404">
        <f>B211</f>
        <v>2018</v>
      </c>
      <c r="J310" s="404">
        <f>D211</f>
        <v>2019</v>
      </c>
      <c r="K310" s="404">
        <v>22</v>
      </c>
      <c r="L310" s="405">
        <v>1</v>
      </c>
      <c r="M310" s="412"/>
      <c r="N310" s="412"/>
      <c r="Q310" s="408">
        <v>22</v>
      </c>
      <c r="R310" s="333" t="s">
        <v>348</v>
      </c>
      <c r="S310" s="335"/>
      <c r="T310" s="335"/>
      <c r="U310" s="335"/>
      <c r="V310" s="335"/>
      <c r="W310" s="335"/>
      <c r="X310" s="335"/>
      <c r="Y310" s="335"/>
      <c r="Z310" s="337"/>
    </row>
    <row r="311" spans="1:26">
      <c r="A311" s="332" t="s">
        <v>336</v>
      </c>
      <c r="B311" s="401"/>
      <c r="C311" s="401"/>
      <c r="D311" s="402"/>
      <c r="E311" s="402"/>
      <c r="F311" s="402"/>
      <c r="G311" s="402"/>
      <c r="H311" s="403"/>
      <c r="I311" s="404">
        <f>J211</f>
        <v>2018</v>
      </c>
      <c r="J311" s="404">
        <f>L211</f>
        <v>2019</v>
      </c>
      <c r="K311" s="404">
        <v>23</v>
      </c>
      <c r="L311" s="405">
        <v>1</v>
      </c>
      <c r="M311" s="412"/>
      <c r="N311" s="412"/>
      <c r="Q311" s="408">
        <v>23</v>
      </c>
      <c r="R311" s="333" t="s">
        <v>348</v>
      </c>
      <c r="S311" s="335"/>
      <c r="T311" s="335"/>
      <c r="U311" s="335"/>
      <c r="V311" s="335"/>
      <c r="W311" s="335"/>
      <c r="X311" s="335"/>
      <c r="Y311" s="335"/>
      <c r="Z311" s="337"/>
    </row>
    <row r="312" spans="1:26" ht="13" thickBot="1">
      <c r="A312" s="332" t="s">
        <v>337</v>
      </c>
      <c r="B312" s="401"/>
      <c r="C312" s="401"/>
      <c r="D312" s="402"/>
      <c r="E312" s="402"/>
      <c r="F312" s="402"/>
      <c r="G312" s="402"/>
      <c r="H312" s="403"/>
      <c r="I312" s="404">
        <f>R211</f>
        <v>2018</v>
      </c>
      <c r="J312" s="404">
        <f>T211</f>
        <v>2019</v>
      </c>
      <c r="K312" s="404">
        <v>24</v>
      </c>
      <c r="L312" s="405">
        <v>1</v>
      </c>
      <c r="M312" s="412"/>
      <c r="N312" s="412"/>
      <c r="Q312" s="410">
        <v>24</v>
      </c>
      <c r="R312" s="333" t="s">
        <v>348</v>
      </c>
      <c r="S312" s="338"/>
      <c r="T312" s="338"/>
      <c r="U312" s="338"/>
      <c r="V312" s="338"/>
      <c r="W312" s="338"/>
      <c r="X312" s="338"/>
      <c r="Y312" s="338"/>
      <c r="Z312" s="339"/>
    </row>
    <row r="313" spans="1:26" ht="13" thickBot="1">
      <c r="A313" s="1434">
        <f>VLOOKUP(A288,A289:L312,11,(FALSE))</f>
        <v>11</v>
      </c>
      <c r="B313" s="1435"/>
      <c r="C313" s="1435"/>
      <c r="D313" s="1435"/>
      <c r="E313" s="1435"/>
      <c r="F313" s="1435"/>
      <c r="G313" s="1435"/>
      <c r="H313" s="1435"/>
      <c r="I313" s="1435"/>
      <c r="J313" s="1435"/>
      <c r="K313" s="1435"/>
      <c r="L313" s="340"/>
      <c r="M313" s="412"/>
      <c r="N313" s="412"/>
      <c r="Q313" s="1410" t="str">
        <f>VLOOKUP(Q288,Q289:Z312,2,FALSE)</f>
        <v>tertelusur ke Satuan Internasional ( SI ) melalui Caltek PTE LTD</v>
      </c>
      <c r="R313" s="1411"/>
      <c r="S313" s="1411"/>
      <c r="T313" s="1411"/>
      <c r="U313" s="1411"/>
      <c r="V313" s="1411"/>
      <c r="W313" s="1411"/>
      <c r="X313" s="1411"/>
      <c r="Y313" s="1411"/>
      <c r="Z313" s="1412"/>
    </row>
    <row r="314" spans="1:26" ht="13" thickBot="1">
      <c r="A314" s="412"/>
      <c r="B314" s="412"/>
      <c r="C314" s="412"/>
      <c r="D314" s="412"/>
      <c r="E314" s="412"/>
      <c r="F314" s="412"/>
      <c r="G314" s="412"/>
      <c r="H314" s="412"/>
      <c r="I314" s="412"/>
      <c r="J314" s="412"/>
      <c r="K314" s="412"/>
      <c r="L314" s="412"/>
      <c r="M314" s="412"/>
      <c r="N314" s="412"/>
      <c r="Q314" s="1410" t="s">
        <v>597</v>
      </c>
      <c r="R314" s="1411"/>
      <c r="S314" s="1411"/>
      <c r="T314" s="1411"/>
      <c r="U314" s="1411"/>
      <c r="V314" s="1411"/>
      <c r="W314" s="1411"/>
      <c r="X314" s="1411"/>
      <c r="Y314" s="1411"/>
      <c r="Z314" s="1412"/>
    </row>
    <row r="315" spans="1:26" ht="13" thickBot="1">
      <c r="A315" s="412"/>
      <c r="B315" s="412"/>
      <c r="C315" s="412"/>
      <c r="D315" s="412"/>
      <c r="E315" s="412"/>
      <c r="F315" s="412"/>
      <c r="G315" s="412"/>
      <c r="H315" s="412"/>
      <c r="I315" s="412"/>
      <c r="J315" s="412"/>
      <c r="K315" s="412"/>
      <c r="L315" s="412"/>
      <c r="M315" s="412"/>
      <c r="N315" s="412"/>
      <c r="Q315" s="1410" t="s">
        <v>598</v>
      </c>
      <c r="R315" s="1411"/>
      <c r="S315" s="1411"/>
      <c r="T315" s="1411"/>
      <c r="U315" s="1411"/>
      <c r="V315" s="1411"/>
      <c r="W315" s="1411"/>
      <c r="X315" s="1411"/>
      <c r="Y315" s="1411"/>
      <c r="Z315" s="1412"/>
    </row>
    <row r="316" spans="1:26">
      <c r="A316" s="412"/>
      <c r="B316" s="412"/>
      <c r="C316" s="412"/>
      <c r="D316" s="412"/>
      <c r="E316" s="412"/>
      <c r="F316" s="412"/>
      <c r="G316" s="412"/>
      <c r="H316" s="412"/>
      <c r="I316" s="412"/>
      <c r="J316" s="412"/>
      <c r="K316" s="412"/>
      <c r="L316" s="412"/>
      <c r="M316" s="412"/>
      <c r="N316" s="412"/>
      <c r="O316" s="412"/>
      <c r="P316" s="412"/>
      <c r="Q316" s="412" t="s">
        <v>594</v>
      </c>
      <c r="R316" s="412"/>
      <c r="S316" s="412"/>
      <c r="T316" s="412"/>
      <c r="U316" s="412"/>
      <c r="V316" s="412"/>
      <c r="W316" s="412"/>
      <c r="X316" s="412"/>
    </row>
    <row r="317" spans="1:26">
      <c r="Q317" s="412" t="s">
        <v>595</v>
      </c>
    </row>
    <row r="325" ht="12.75" customHeight="1"/>
    <row r="337" ht="12.75" customHeight="1"/>
    <row r="353" ht="12.75" customHeight="1"/>
    <row r="365" ht="12.75" customHeight="1"/>
    <row r="381" ht="12.75" customHeight="1"/>
    <row r="393" ht="12.75" customHeight="1"/>
  </sheetData>
  <mergeCells count="138">
    <mergeCell ref="Q314:Z314"/>
    <mergeCell ref="V6:V8"/>
    <mergeCell ref="M35:M37"/>
    <mergeCell ref="N35:N37"/>
    <mergeCell ref="M93:M95"/>
    <mergeCell ref="N93:N95"/>
    <mergeCell ref="N64:N66"/>
    <mergeCell ref="U209:U211"/>
    <mergeCell ref="V209:V211"/>
    <mergeCell ref="U54:U55"/>
    <mergeCell ref="M6:M8"/>
    <mergeCell ref="N6:N8"/>
    <mergeCell ref="U6:U8"/>
    <mergeCell ref="U25:U26"/>
    <mergeCell ref="I34:N34"/>
    <mergeCell ref="V25:V26"/>
    <mergeCell ref="U35:U37"/>
    <mergeCell ref="V35:V37"/>
    <mergeCell ref="Q34:V34"/>
    <mergeCell ref="K247:K248"/>
    <mergeCell ref="I247:J247"/>
    <mergeCell ref="Q288:Z288"/>
    <mergeCell ref="A313:K313"/>
    <mergeCell ref="Q313:Z313"/>
    <mergeCell ref="Q239:T239"/>
    <mergeCell ref="U83:U84"/>
    <mergeCell ref="V83:V84"/>
    <mergeCell ref="M83:M84"/>
    <mergeCell ref="N83:N84"/>
    <mergeCell ref="U93:U95"/>
    <mergeCell ref="V93:V95"/>
    <mergeCell ref="A34:F34"/>
    <mergeCell ref="M141:M142"/>
    <mergeCell ref="B152:D152"/>
    <mergeCell ref="A151:D151"/>
    <mergeCell ref="M151:M153"/>
    <mergeCell ref="M170:M171"/>
    <mergeCell ref="I151:L151"/>
    <mergeCell ref="B94:D94"/>
    <mergeCell ref="A93:D93"/>
    <mergeCell ref="V54:V55"/>
    <mergeCell ref="U64:U66"/>
    <mergeCell ref="V64:V66"/>
    <mergeCell ref="M64:M66"/>
    <mergeCell ref="J152:L152"/>
    <mergeCell ref="M112:M113"/>
    <mergeCell ref="N112:N113"/>
    <mergeCell ref="U112:U113"/>
    <mergeCell ref="V112:V113"/>
    <mergeCell ref="U122:U124"/>
    <mergeCell ref="V122:V124"/>
    <mergeCell ref="M122:M124"/>
    <mergeCell ref="N122:N124"/>
    <mergeCell ref="N170:N171"/>
    <mergeCell ref="U141:U142"/>
    <mergeCell ref="V170:V171"/>
    <mergeCell ref="U170:U171"/>
    <mergeCell ref="V141:V142"/>
    <mergeCell ref="N141:N142"/>
    <mergeCell ref="U151:U153"/>
    <mergeCell ref="V151:V153"/>
    <mergeCell ref="N151:N153"/>
    <mergeCell ref="Q151:T151"/>
    <mergeCell ref="R152:T152"/>
    <mergeCell ref="B259:D259"/>
    <mergeCell ref="B256:D256"/>
    <mergeCell ref="B252:D252"/>
    <mergeCell ref="B247:D247"/>
    <mergeCell ref="U180:U182"/>
    <mergeCell ref="V180:V182"/>
    <mergeCell ref="M180:M182"/>
    <mergeCell ref="N180:N182"/>
    <mergeCell ref="M199:M200"/>
    <mergeCell ref="N199:N200"/>
    <mergeCell ref="L247:L248"/>
    <mergeCell ref="V199:V200"/>
    <mergeCell ref="M228:M229"/>
    <mergeCell ref="N228:N229"/>
    <mergeCell ref="U199:U200"/>
    <mergeCell ref="U228:U229"/>
    <mergeCell ref="V228:V229"/>
    <mergeCell ref="A238:F238"/>
    <mergeCell ref="B240:D240"/>
    <mergeCell ref="A239:D239"/>
    <mergeCell ref="A209:D209"/>
    <mergeCell ref="M209:M211"/>
    <mergeCell ref="N209:N211"/>
    <mergeCell ref="U239:X239"/>
    <mergeCell ref="B36:D36"/>
    <mergeCell ref="I35:L35"/>
    <mergeCell ref="J36:L36"/>
    <mergeCell ref="Q35:T35"/>
    <mergeCell ref="R36:T36"/>
    <mergeCell ref="A64:D64"/>
    <mergeCell ref="B65:D65"/>
    <mergeCell ref="I64:L64"/>
    <mergeCell ref="J65:L65"/>
    <mergeCell ref="Q64:T64"/>
    <mergeCell ref="R65:T65"/>
    <mergeCell ref="M54:M55"/>
    <mergeCell ref="N54:N55"/>
    <mergeCell ref="A5:F5"/>
    <mergeCell ref="E6:E8"/>
    <mergeCell ref="F6:F8"/>
    <mergeCell ref="I6:L6"/>
    <mergeCell ref="J7:L7"/>
    <mergeCell ref="Q6:T6"/>
    <mergeCell ref="R7:T7"/>
    <mergeCell ref="A35:D35"/>
    <mergeCell ref="B7:D7"/>
    <mergeCell ref="I5:N5"/>
    <mergeCell ref="Q5:V5"/>
    <mergeCell ref="M25:M26"/>
    <mergeCell ref="N25:N26"/>
    <mergeCell ref="Q315:Z315"/>
    <mergeCell ref="A1:V2"/>
    <mergeCell ref="A180:D180"/>
    <mergeCell ref="B181:D181"/>
    <mergeCell ref="I180:L180"/>
    <mergeCell ref="J181:L181"/>
    <mergeCell ref="Q180:T180"/>
    <mergeCell ref="R181:T181"/>
    <mergeCell ref="B210:D210"/>
    <mergeCell ref="I209:L209"/>
    <mergeCell ref="J210:L210"/>
    <mergeCell ref="Q209:T209"/>
    <mergeCell ref="R210:T210"/>
    <mergeCell ref="I93:L93"/>
    <mergeCell ref="J94:L94"/>
    <mergeCell ref="Q93:T93"/>
    <mergeCell ref="R94:T94"/>
    <mergeCell ref="A122:D122"/>
    <mergeCell ref="B123:D123"/>
    <mergeCell ref="I122:L122"/>
    <mergeCell ref="J123:L123"/>
    <mergeCell ref="Q122:T122"/>
    <mergeCell ref="R123:T123"/>
    <mergeCell ref="A6:D6"/>
  </mergeCells>
  <phoneticPr fontId="109" type="noConversion"/>
  <pageMargins left="0.7" right="0.7" top="0.75" bottom="0.75" header="0.3" footer="0.3"/>
  <pageSetup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>
    <tabColor rgb="FFFF0000"/>
  </sheetPr>
  <dimension ref="A2:X133"/>
  <sheetViews>
    <sheetView topLeftCell="J91" zoomScale="115" zoomScaleNormal="115" workbookViewId="0">
      <selection activeCell="O95" sqref="O95"/>
    </sheetView>
  </sheetViews>
  <sheetFormatPr defaultRowHeight="12.5"/>
  <cols>
    <col min="1" max="1" width="19" bestFit="1" customWidth="1"/>
    <col min="8" max="8" width="16.08984375" customWidth="1"/>
    <col min="13" max="13" width="9.54296875" bestFit="1" customWidth="1"/>
    <col min="14" max="14" width="9.36328125" bestFit="1" customWidth="1"/>
    <col min="15" max="15" width="18.08984375" customWidth="1"/>
    <col min="16" max="16" width="9.36328125" bestFit="1" customWidth="1"/>
    <col min="18" max="18" width="9.36328125" bestFit="1" customWidth="1"/>
    <col min="19" max="19" width="9.54296875" bestFit="1" customWidth="1"/>
    <col min="20" max="20" width="9.36328125" bestFit="1" customWidth="1"/>
    <col min="23" max="23" width="17.453125" customWidth="1"/>
  </cols>
  <sheetData>
    <row r="2" spans="1:20" s="452" customFormat="1" ht="27" customHeight="1">
      <c r="A2" s="1452" t="s">
        <v>360</v>
      </c>
      <c r="B2" s="1452"/>
      <c r="C2" s="1452"/>
      <c r="D2" s="1452"/>
      <c r="E2" s="1452"/>
      <c r="F2" s="1452"/>
      <c r="H2" s="1401" t="s">
        <v>361</v>
      </c>
      <c r="I2" s="1401"/>
      <c r="J2" s="1401"/>
      <c r="K2" s="1401"/>
      <c r="L2" s="1401"/>
      <c r="M2" s="1401"/>
      <c r="O2" s="1401" t="s">
        <v>378</v>
      </c>
      <c r="P2" s="1401"/>
      <c r="Q2" s="1401"/>
      <c r="R2" s="1401"/>
      <c r="S2" s="1401"/>
      <c r="T2" s="1401"/>
    </row>
    <row r="3" spans="1:20" ht="15" customHeight="1">
      <c r="A3" s="1436" t="s">
        <v>187</v>
      </c>
      <c r="B3" s="1437"/>
      <c r="C3" s="1437"/>
      <c r="D3" s="1438"/>
      <c r="E3" s="1443" t="s">
        <v>74</v>
      </c>
      <c r="F3" s="1446" t="s">
        <v>176</v>
      </c>
      <c r="H3" s="1436" t="s">
        <v>187</v>
      </c>
      <c r="I3" s="1437"/>
      <c r="J3" s="1437"/>
      <c r="K3" s="1438"/>
      <c r="L3" s="1443" t="s">
        <v>74</v>
      </c>
      <c r="M3" s="1446" t="s">
        <v>176</v>
      </c>
      <c r="O3" s="1436" t="s">
        <v>187</v>
      </c>
      <c r="P3" s="1437"/>
      <c r="Q3" s="1437"/>
      <c r="R3" s="1438"/>
      <c r="S3" s="1443" t="s">
        <v>74</v>
      </c>
      <c r="T3" s="1446" t="s">
        <v>176</v>
      </c>
    </row>
    <row r="4" spans="1:20" ht="13">
      <c r="A4" s="646" t="s">
        <v>188</v>
      </c>
      <c r="B4" s="1439" t="s">
        <v>75</v>
      </c>
      <c r="C4" s="1440"/>
      <c r="D4" s="1441"/>
      <c r="E4" s="1444"/>
      <c r="F4" s="1447"/>
      <c r="H4" s="646" t="s">
        <v>188</v>
      </c>
      <c r="I4" s="1439" t="s">
        <v>75</v>
      </c>
      <c r="J4" s="1440"/>
      <c r="K4" s="1441"/>
      <c r="L4" s="1444"/>
      <c r="M4" s="1447"/>
      <c r="O4" s="646" t="s">
        <v>188</v>
      </c>
      <c r="P4" s="1439" t="s">
        <v>75</v>
      </c>
      <c r="Q4" s="1440"/>
      <c r="R4" s="1441"/>
      <c r="S4" s="1444"/>
      <c r="T4" s="1447"/>
    </row>
    <row r="5" spans="1:20" ht="14">
      <c r="A5" s="647" t="s">
        <v>189</v>
      </c>
      <c r="B5" s="646">
        <v>2015</v>
      </c>
      <c r="C5" s="646">
        <v>2015</v>
      </c>
      <c r="D5" s="646">
        <v>2017</v>
      </c>
      <c r="E5" s="1445"/>
      <c r="F5" s="1448"/>
      <c r="H5" s="647" t="s">
        <v>189</v>
      </c>
      <c r="I5" s="646">
        <v>2014</v>
      </c>
      <c r="J5" s="646">
        <v>2014</v>
      </c>
      <c r="K5" s="646">
        <v>2015</v>
      </c>
      <c r="L5" s="1445"/>
      <c r="M5" s="1448"/>
      <c r="O5" s="647" t="s">
        <v>189</v>
      </c>
      <c r="P5" s="646">
        <v>2019</v>
      </c>
      <c r="Q5" s="646">
        <v>2019</v>
      </c>
      <c r="R5" s="646">
        <v>2020</v>
      </c>
      <c r="S5" s="1445"/>
      <c r="T5" s="1448"/>
    </row>
    <row r="6" spans="1:20">
      <c r="A6" s="177">
        <v>70</v>
      </c>
      <c r="B6" s="55">
        <v>9.9999999999999995E-7</v>
      </c>
      <c r="C6" s="55">
        <v>9.9999999999999995E-7</v>
      </c>
      <c r="D6" s="55">
        <v>9.9999999999999995E-7</v>
      </c>
      <c r="E6" s="220">
        <f t="shared" ref="E6:E7" si="0">0.5*(MAX(B6:D6)-MIN(B6:D6))</f>
        <v>0</v>
      </c>
      <c r="F6" s="55">
        <v>9.9999999999999995E-7</v>
      </c>
      <c r="H6" s="177">
        <v>70</v>
      </c>
      <c r="I6" s="55">
        <v>9.9999999999999995E-7</v>
      </c>
      <c r="J6" s="55">
        <v>9.9999999999999995E-7</v>
      </c>
      <c r="K6" s="55">
        <v>9.9999999999999995E-7</v>
      </c>
      <c r="L6" s="220">
        <f t="shared" ref="L6:L7" si="1">0.5*(MAX(I6:K6)-MIN(I6:K6))</f>
        <v>0</v>
      </c>
      <c r="M6" s="55">
        <v>9.9999999999999995E-7</v>
      </c>
      <c r="O6" s="177">
        <v>70</v>
      </c>
      <c r="P6" s="55">
        <v>9.9999999999999995E-7</v>
      </c>
      <c r="Q6" s="55">
        <v>9.9999999999999995E-7</v>
      </c>
      <c r="R6" s="55">
        <v>9.9999999999999995E-7</v>
      </c>
      <c r="S6" s="220">
        <f t="shared" ref="S6:S7" si="2">0.5*(MAX(P6:R6)-MIN(P6:R6))</f>
        <v>0</v>
      </c>
      <c r="T6" s="55">
        <v>9.9999999999999995E-7</v>
      </c>
    </row>
    <row r="7" spans="1:20">
      <c r="A7" s="177">
        <v>85</v>
      </c>
      <c r="B7" s="55">
        <v>9.9999999999999995E-7</v>
      </c>
      <c r="C7" s="55">
        <v>9.9999999999999995E-7</v>
      </c>
      <c r="D7" s="55">
        <v>9.9999999999999995E-7</v>
      </c>
      <c r="E7" s="220">
        <f t="shared" si="0"/>
        <v>0</v>
      </c>
      <c r="F7" s="55">
        <v>9.9999999999999995E-7</v>
      </c>
      <c r="H7" s="177">
        <v>85</v>
      </c>
      <c r="I7" s="55">
        <v>9.9999999999999995E-7</v>
      </c>
      <c r="J7" s="55">
        <v>9.9999999999999995E-7</v>
      </c>
      <c r="K7" s="55">
        <v>9.9999999999999995E-7</v>
      </c>
      <c r="L7" s="220">
        <f t="shared" si="1"/>
        <v>0</v>
      </c>
      <c r="M7" s="55">
        <v>9.9999999999999995E-7</v>
      </c>
      <c r="O7" s="177">
        <v>85</v>
      </c>
      <c r="P7" s="55">
        <v>9.9999999999999995E-7</v>
      </c>
      <c r="Q7" s="55">
        <v>9.9999999999999995E-7</v>
      </c>
      <c r="R7" s="55">
        <v>9.9999999999999995E-7</v>
      </c>
      <c r="S7" s="220">
        <f t="shared" si="2"/>
        <v>0</v>
      </c>
      <c r="T7" s="55">
        <v>9.9999999999999995E-7</v>
      </c>
    </row>
    <row r="8" spans="1:20">
      <c r="A8" s="56">
        <v>90</v>
      </c>
      <c r="B8" s="55">
        <v>9.9999999999999995E-7</v>
      </c>
      <c r="C8" s="55">
        <v>9.9999999999999995E-7</v>
      </c>
      <c r="D8" s="55">
        <v>9.9999999999999995E-7</v>
      </c>
      <c r="E8" s="220">
        <f>0.5*(MAX(B8:D8)-MIN(B8:D8))</f>
        <v>0</v>
      </c>
      <c r="F8" s="55">
        <v>9.9999999999999995E-7</v>
      </c>
      <c r="H8" s="56">
        <v>90</v>
      </c>
      <c r="I8" s="55">
        <v>9.9999999999999995E-7</v>
      </c>
      <c r="J8" s="55">
        <v>9.9999999999999995E-7</v>
      </c>
      <c r="K8" s="55">
        <v>9.9999999999999995E-7</v>
      </c>
      <c r="L8" s="220">
        <f>0.5*(MAX(I8:K8)-MIN(I8:K8))</f>
        <v>0</v>
      </c>
      <c r="M8" s="55">
        <v>9.9999999999999995E-7</v>
      </c>
      <c r="O8" s="56">
        <v>90</v>
      </c>
      <c r="P8" s="55">
        <v>9.9999999999999995E-7</v>
      </c>
      <c r="Q8" s="55">
        <v>9.9999999999999995E-7</v>
      </c>
      <c r="R8" s="55">
        <v>9.9999999999999995E-7</v>
      </c>
      <c r="S8" s="220">
        <f>0.5*(MAX(P8:R8)-MIN(P8:R8))</f>
        <v>0</v>
      </c>
      <c r="T8" s="55">
        <v>9.9999999999999995E-7</v>
      </c>
    </row>
    <row r="9" spans="1:20">
      <c r="A9" s="56">
        <v>95</v>
      </c>
      <c r="B9" s="55">
        <v>9.9999999999999995E-7</v>
      </c>
      <c r="C9" s="55">
        <v>9.9999999999999995E-7</v>
      </c>
      <c r="D9" s="55">
        <v>9.9999999999999995E-7</v>
      </c>
      <c r="E9" s="220">
        <f t="shared" ref="E9:E13" si="3">0.5*(MAX(B9:D9)-MIN(B9:D9))</f>
        <v>0</v>
      </c>
      <c r="F9" s="55">
        <v>9.9999999999999995E-7</v>
      </c>
      <c r="H9" s="56">
        <v>95</v>
      </c>
      <c r="I9" s="55">
        <v>9.9999999999999995E-7</v>
      </c>
      <c r="J9" s="55">
        <v>9.9999999999999995E-7</v>
      </c>
      <c r="K9" s="55">
        <v>9.9999999999999995E-7</v>
      </c>
      <c r="L9" s="220">
        <f t="shared" ref="L9:L13" si="4">0.5*(MAX(I9:K9)-MIN(I9:K9))</f>
        <v>0</v>
      </c>
      <c r="M9" s="55">
        <v>9.9999999999999995E-7</v>
      </c>
      <c r="O9" s="56">
        <v>95</v>
      </c>
      <c r="P9" s="55">
        <v>9.9999999999999995E-7</v>
      </c>
      <c r="Q9" s="55">
        <v>9.9999999999999995E-7</v>
      </c>
      <c r="R9" s="55">
        <v>9.9999999999999995E-7</v>
      </c>
      <c r="S9" s="220">
        <f t="shared" ref="S9:S13" si="5">0.5*(MAX(P9:R9)-MIN(P9:R9))</f>
        <v>0</v>
      </c>
      <c r="T9" s="55">
        <v>9.9999999999999995E-7</v>
      </c>
    </row>
    <row r="10" spans="1:20">
      <c r="A10" s="56">
        <v>97</v>
      </c>
      <c r="B10" s="55">
        <v>9.9999999999999995E-7</v>
      </c>
      <c r="C10" s="55">
        <v>9.9999999999999995E-7</v>
      </c>
      <c r="D10" s="55">
        <v>9.9999999999999995E-7</v>
      </c>
      <c r="E10" s="220">
        <f t="shared" si="3"/>
        <v>0</v>
      </c>
      <c r="F10" s="55">
        <v>9.9999999999999995E-7</v>
      </c>
      <c r="H10" s="56">
        <v>97</v>
      </c>
      <c r="I10" s="55">
        <v>9.9999999999999995E-7</v>
      </c>
      <c r="J10" s="55">
        <v>9.9999999999999995E-7</v>
      </c>
      <c r="K10" s="55">
        <v>9.9999999999999995E-7</v>
      </c>
      <c r="L10" s="220">
        <f t="shared" si="4"/>
        <v>0</v>
      </c>
      <c r="M10" s="55">
        <v>9.9999999999999995E-7</v>
      </c>
      <c r="O10" s="56">
        <v>97</v>
      </c>
      <c r="P10" s="55">
        <v>9.9999999999999995E-7</v>
      </c>
      <c r="Q10" s="55">
        <v>9.9999999999999995E-7</v>
      </c>
      <c r="R10" s="55">
        <v>9.9999999999999995E-7</v>
      </c>
      <c r="S10" s="220">
        <f t="shared" si="5"/>
        <v>0</v>
      </c>
      <c r="T10" s="55">
        <v>9.9999999999999995E-7</v>
      </c>
    </row>
    <row r="11" spans="1:20">
      <c r="A11" s="56">
        <v>98</v>
      </c>
      <c r="B11" s="55">
        <v>9.9999999999999995E-7</v>
      </c>
      <c r="C11" s="55">
        <v>9.9999999999999995E-7</v>
      </c>
      <c r="D11" s="55">
        <v>9.9999999999999995E-7</v>
      </c>
      <c r="E11" s="220">
        <f t="shared" si="3"/>
        <v>0</v>
      </c>
      <c r="F11" s="55">
        <v>9.9999999999999995E-7</v>
      </c>
      <c r="H11" s="56">
        <v>98</v>
      </c>
      <c r="I11" s="55">
        <v>9.9999999999999995E-7</v>
      </c>
      <c r="J11" s="55">
        <v>9.9999999999999995E-7</v>
      </c>
      <c r="K11" s="55">
        <v>9.9999999999999995E-7</v>
      </c>
      <c r="L11" s="220">
        <f t="shared" si="4"/>
        <v>0</v>
      </c>
      <c r="M11" s="55">
        <v>9.9999999999999995E-7</v>
      </c>
      <c r="O11" s="56">
        <v>98</v>
      </c>
      <c r="P11" s="55">
        <v>9.9999999999999995E-7</v>
      </c>
      <c r="Q11" s="55">
        <v>9.9999999999999995E-7</v>
      </c>
      <c r="R11" s="55">
        <v>9.9999999999999995E-7</v>
      </c>
      <c r="S11" s="220">
        <f t="shared" si="5"/>
        <v>0</v>
      </c>
      <c r="T11" s="55">
        <v>9.9999999999999995E-7</v>
      </c>
    </row>
    <row r="12" spans="1:20">
      <c r="A12" s="56">
        <v>99</v>
      </c>
      <c r="B12" s="55">
        <v>9.9999999999999995E-7</v>
      </c>
      <c r="C12" s="55">
        <v>9.9999999999999995E-7</v>
      </c>
      <c r="D12" s="55">
        <v>9.9999999999999995E-7</v>
      </c>
      <c r="E12" s="220">
        <f t="shared" si="3"/>
        <v>0</v>
      </c>
      <c r="F12" s="55">
        <v>9.9999999999999995E-7</v>
      </c>
      <c r="H12" s="56">
        <v>99</v>
      </c>
      <c r="I12" s="55">
        <v>9.9999999999999995E-7</v>
      </c>
      <c r="J12" s="55">
        <v>9.9999999999999995E-7</v>
      </c>
      <c r="K12" s="55">
        <v>9.9999999999999995E-7</v>
      </c>
      <c r="L12" s="220">
        <f t="shared" si="4"/>
        <v>0</v>
      </c>
      <c r="M12" s="55">
        <v>9.9999999999999995E-7</v>
      </c>
      <c r="O12" s="56">
        <v>99</v>
      </c>
      <c r="P12" s="55">
        <v>9.9999999999999995E-7</v>
      </c>
      <c r="Q12" s="55">
        <v>9.9999999999999995E-7</v>
      </c>
      <c r="R12" s="55">
        <v>9.9999999999999995E-7</v>
      </c>
      <c r="S12" s="220">
        <f t="shared" si="5"/>
        <v>0</v>
      </c>
      <c r="T12" s="55">
        <v>9.9999999999999995E-7</v>
      </c>
    </row>
    <row r="13" spans="1:20">
      <c r="A13" s="56">
        <v>100</v>
      </c>
      <c r="B13" s="55">
        <v>9.9999999999999995E-7</v>
      </c>
      <c r="C13" s="55">
        <v>9.9999999999999995E-7</v>
      </c>
      <c r="D13" s="55">
        <v>9.9999999999999995E-7</v>
      </c>
      <c r="E13" s="220">
        <f t="shared" si="3"/>
        <v>0</v>
      </c>
      <c r="F13" s="55">
        <v>9.9999999999999995E-7</v>
      </c>
      <c r="H13" s="56">
        <v>100</v>
      </c>
      <c r="I13" s="55">
        <v>9.9999999999999995E-7</v>
      </c>
      <c r="J13" s="55">
        <v>9.9999999999999995E-7</v>
      </c>
      <c r="K13" s="55">
        <v>9.9999999999999995E-7</v>
      </c>
      <c r="L13" s="220">
        <f t="shared" si="4"/>
        <v>0</v>
      </c>
      <c r="M13" s="55">
        <v>9.9999999999999995E-7</v>
      </c>
      <c r="O13" s="56">
        <v>100</v>
      </c>
      <c r="P13" s="55">
        <v>9.9999999999999995E-7</v>
      </c>
      <c r="Q13" s="55">
        <v>9.9999999999999995E-7</v>
      </c>
      <c r="R13" s="55">
        <v>9.9999999999999995E-7</v>
      </c>
      <c r="S13" s="220">
        <f t="shared" si="5"/>
        <v>0</v>
      </c>
      <c r="T13" s="55">
        <v>9.9999999999999995E-7</v>
      </c>
    </row>
    <row r="16" spans="1:20" s="452" customFormat="1" ht="27.75" customHeight="1">
      <c r="A16" s="1451" t="s">
        <v>379</v>
      </c>
      <c r="B16" s="1451"/>
      <c r="C16" s="1451"/>
      <c r="D16" s="1451"/>
      <c r="E16" s="1451"/>
      <c r="F16" s="1451"/>
      <c r="G16" s="480"/>
      <c r="H16" s="1450" t="s">
        <v>380</v>
      </c>
      <c r="I16" s="1450"/>
      <c r="J16" s="1450"/>
      <c r="K16" s="1450"/>
      <c r="L16" s="1450"/>
      <c r="M16" s="1450"/>
      <c r="N16" s="480"/>
      <c r="O16" s="1450" t="s">
        <v>381</v>
      </c>
      <c r="P16" s="1450"/>
      <c r="Q16" s="1450"/>
      <c r="R16" s="1450"/>
      <c r="S16" s="1450"/>
      <c r="T16" s="1450"/>
    </row>
    <row r="17" spans="1:20" ht="15.75" customHeight="1">
      <c r="A17" s="1436" t="s">
        <v>187</v>
      </c>
      <c r="B17" s="1437"/>
      <c r="C17" s="1437"/>
      <c r="D17" s="1438"/>
      <c r="E17" s="1443" t="s">
        <v>74</v>
      </c>
      <c r="F17" s="1446" t="s">
        <v>176</v>
      </c>
      <c r="H17" s="1436" t="s">
        <v>187</v>
      </c>
      <c r="I17" s="1437"/>
      <c r="J17" s="1437"/>
      <c r="K17" s="1438"/>
      <c r="L17" s="1443" t="s">
        <v>74</v>
      </c>
      <c r="M17" s="1446" t="s">
        <v>176</v>
      </c>
      <c r="O17" s="1436" t="s">
        <v>187</v>
      </c>
      <c r="P17" s="1437"/>
      <c r="Q17" s="1437"/>
      <c r="R17" s="1438"/>
      <c r="S17" s="1443" t="s">
        <v>74</v>
      </c>
      <c r="T17" s="1446" t="s">
        <v>176</v>
      </c>
    </row>
    <row r="18" spans="1:20" ht="13">
      <c r="A18" s="646" t="s">
        <v>188</v>
      </c>
      <c r="B18" s="1439" t="s">
        <v>75</v>
      </c>
      <c r="C18" s="1440"/>
      <c r="D18" s="1441"/>
      <c r="E18" s="1444"/>
      <c r="F18" s="1447"/>
      <c r="H18" s="646" t="s">
        <v>188</v>
      </c>
      <c r="I18" s="1439" t="s">
        <v>75</v>
      </c>
      <c r="J18" s="1440"/>
      <c r="K18" s="1441"/>
      <c r="L18" s="1444"/>
      <c r="M18" s="1447"/>
      <c r="O18" s="646" t="s">
        <v>188</v>
      </c>
      <c r="P18" s="1439" t="s">
        <v>75</v>
      </c>
      <c r="Q18" s="1440"/>
      <c r="R18" s="1441"/>
      <c r="S18" s="1444"/>
      <c r="T18" s="1447"/>
    </row>
    <row r="19" spans="1:20" ht="14">
      <c r="A19" s="647" t="s">
        <v>189</v>
      </c>
      <c r="B19" s="646">
        <v>2019</v>
      </c>
      <c r="C19" s="646">
        <v>2019</v>
      </c>
      <c r="D19" s="646">
        <v>2020</v>
      </c>
      <c r="E19" s="1445"/>
      <c r="F19" s="1448"/>
      <c r="H19" s="647" t="s">
        <v>189</v>
      </c>
      <c r="I19" s="646">
        <v>2019</v>
      </c>
      <c r="J19" s="646">
        <v>2019</v>
      </c>
      <c r="K19" s="646">
        <v>2020</v>
      </c>
      <c r="L19" s="1445"/>
      <c r="M19" s="1448"/>
      <c r="O19" s="647" t="s">
        <v>189</v>
      </c>
      <c r="P19" s="646">
        <v>2019</v>
      </c>
      <c r="Q19" s="646">
        <v>2019</v>
      </c>
      <c r="R19" s="646">
        <v>2020</v>
      </c>
      <c r="S19" s="1445"/>
      <c r="T19" s="1448"/>
    </row>
    <row r="20" spans="1:20">
      <c r="A20" s="177">
        <v>70</v>
      </c>
      <c r="B20" s="55">
        <v>9.9999999999999995E-7</v>
      </c>
      <c r="C20" s="55">
        <v>9.9999999999999995E-7</v>
      </c>
      <c r="D20" s="55">
        <v>9.9999999999999995E-7</v>
      </c>
      <c r="E20" s="220">
        <f t="shared" ref="E20:E21" si="6">0.5*(MAX(B20:D20)-MIN(B20:D20))</f>
        <v>0</v>
      </c>
      <c r="F20" s="55">
        <v>9.9999999999999995E-7</v>
      </c>
      <c r="H20" s="177">
        <v>70</v>
      </c>
      <c r="I20" s="55">
        <v>9.9999999999999995E-7</v>
      </c>
      <c r="J20" s="55">
        <v>9.9999999999999995E-7</v>
      </c>
      <c r="K20" s="55">
        <v>9.9999999999999995E-7</v>
      </c>
      <c r="L20" s="220">
        <f t="shared" ref="L20:L21" si="7">0.5*(MAX(I20:K20)-MIN(I20:K20))</f>
        <v>0</v>
      </c>
      <c r="M20" s="55">
        <v>9.9999999999999995E-7</v>
      </c>
      <c r="O20" s="177">
        <v>70</v>
      </c>
      <c r="P20" s="55">
        <v>9.9999999999999995E-7</v>
      </c>
      <c r="Q20" s="55">
        <v>9.9999999999999995E-7</v>
      </c>
      <c r="R20" s="55">
        <v>9.9999999999999995E-7</v>
      </c>
      <c r="S20" s="220">
        <f t="shared" ref="S20:S21" si="8">0.5*(MAX(P20:R20)-MIN(P20:R20))</f>
        <v>0</v>
      </c>
      <c r="T20" s="55">
        <v>9.9999999999999995E-7</v>
      </c>
    </row>
    <row r="21" spans="1:20">
      <c r="A21" s="177">
        <v>85</v>
      </c>
      <c r="B21" s="55">
        <v>9.9999999999999995E-7</v>
      </c>
      <c r="C21" s="55">
        <v>9.9999999999999995E-7</v>
      </c>
      <c r="D21" s="55">
        <v>9.9999999999999995E-7</v>
      </c>
      <c r="E21" s="220">
        <f t="shared" si="6"/>
        <v>0</v>
      </c>
      <c r="F21" s="55">
        <v>9.9999999999999995E-7</v>
      </c>
      <c r="H21" s="177">
        <v>85</v>
      </c>
      <c r="I21" s="55">
        <v>9.9999999999999995E-7</v>
      </c>
      <c r="J21" s="55">
        <v>9.9999999999999995E-7</v>
      </c>
      <c r="K21" s="55">
        <v>9.9999999999999995E-7</v>
      </c>
      <c r="L21" s="220">
        <f t="shared" si="7"/>
        <v>0</v>
      </c>
      <c r="M21" s="55">
        <v>9.9999999999999995E-7</v>
      </c>
      <c r="O21" s="177">
        <v>85</v>
      </c>
      <c r="P21" s="55">
        <v>9.9999999999999995E-7</v>
      </c>
      <c r="Q21" s="55">
        <v>9.9999999999999995E-7</v>
      </c>
      <c r="R21" s="55">
        <v>9.9999999999999995E-7</v>
      </c>
      <c r="S21" s="220">
        <f t="shared" si="8"/>
        <v>0</v>
      </c>
      <c r="T21" s="55">
        <v>9.9999999999999995E-7</v>
      </c>
    </row>
    <row r="22" spans="1:20">
      <c r="A22" s="56">
        <v>90</v>
      </c>
      <c r="B22" s="55">
        <v>9.9999999999999995E-7</v>
      </c>
      <c r="C22" s="55">
        <v>9.9999999999999995E-7</v>
      </c>
      <c r="D22" s="55">
        <v>9.9999999999999995E-7</v>
      </c>
      <c r="E22" s="220">
        <f>0.5*(MAX(B22:D22)-MIN(B22:D22))</f>
        <v>0</v>
      </c>
      <c r="F22" s="55">
        <v>9.9999999999999995E-7</v>
      </c>
      <c r="H22" s="56">
        <v>90</v>
      </c>
      <c r="I22" s="55">
        <v>9.9999999999999995E-7</v>
      </c>
      <c r="J22" s="55">
        <v>9.9999999999999995E-7</v>
      </c>
      <c r="K22" s="55">
        <v>9.9999999999999995E-7</v>
      </c>
      <c r="L22" s="220">
        <f>0.5*(MAX(I22:K22)-MIN(I22:K22))</f>
        <v>0</v>
      </c>
      <c r="M22" s="55">
        <v>9.9999999999999995E-7</v>
      </c>
      <c r="O22" s="56">
        <v>90</v>
      </c>
      <c r="P22" s="55">
        <v>9.9999999999999995E-7</v>
      </c>
      <c r="Q22" s="55">
        <v>9.9999999999999995E-7</v>
      </c>
      <c r="R22" s="55">
        <v>9.9999999999999995E-7</v>
      </c>
      <c r="S22" s="220">
        <f>0.5*(MAX(P22:R22)-MIN(P22:R22))</f>
        <v>0</v>
      </c>
      <c r="T22" s="55">
        <v>9.9999999999999995E-7</v>
      </c>
    </row>
    <row r="23" spans="1:20">
      <c r="A23" s="56">
        <v>95</v>
      </c>
      <c r="B23" s="55">
        <v>9.9999999999999995E-7</v>
      </c>
      <c r="C23" s="55">
        <v>9.9999999999999995E-7</v>
      </c>
      <c r="D23" s="55">
        <v>9.9999999999999995E-7</v>
      </c>
      <c r="E23" s="220">
        <f t="shared" ref="E23:E27" si="9">0.5*(MAX(B23:D23)-MIN(B23:D23))</f>
        <v>0</v>
      </c>
      <c r="F23" s="55">
        <v>9.9999999999999995E-7</v>
      </c>
      <c r="H23" s="56">
        <v>95</v>
      </c>
      <c r="I23" s="55">
        <v>9.9999999999999995E-7</v>
      </c>
      <c r="J23" s="55">
        <v>9.9999999999999995E-7</v>
      </c>
      <c r="K23" s="55">
        <v>9.9999999999999995E-7</v>
      </c>
      <c r="L23" s="220">
        <f t="shared" ref="L23:L27" si="10">0.5*(MAX(I23:K23)-MIN(I23:K23))</f>
        <v>0</v>
      </c>
      <c r="M23" s="55">
        <v>9.9999999999999995E-7</v>
      </c>
      <c r="O23" s="56">
        <v>95</v>
      </c>
      <c r="P23" s="55">
        <v>9.9999999999999995E-7</v>
      </c>
      <c r="Q23" s="55">
        <v>9.9999999999999995E-7</v>
      </c>
      <c r="R23" s="55">
        <v>9.9999999999999995E-7</v>
      </c>
      <c r="S23" s="220">
        <f t="shared" ref="S23:S27" si="11">0.5*(MAX(P23:R23)-MIN(P23:R23))</f>
        <v>0</v>
      </c>
      <c r="T23" s="55">
        <v>9.9999999999999995E-7</v>
      </c>
    </row>
    <row r="24" spans="1:20">
      <c r="A24" s="56">
        <v>97</v>
      </c>
      <c r="B24" s="55">
        <v>9.9999999999999995E-7</v>
      </c>
      <c r="C24" s="55">
        <v>9.9999999999999995E-7</v>
      </c>
      <c r="D24" s="55">
        <v>9.9999999999999995E-7</v>
      </c>
      <c r="E24" s="220">
        <f t="shared" si="9"/>
        <v>0</v>
      </c>
      <c r="F24" s="55">
        <v>9.9999999999999995E-7</v>
      </c>
      <c r="H24" s="56">
        <v>97</v>
      </c>
      <c r="I24" s="55">
        <v>9.9999999999999995E-7</v>
      </c>
      <c r="J24" s="55">
        <v>9.9999999999999995E-7</v>
      </c>
      <c r="K24" s="55">
        <v>9.9999999999999995E-7</v>
      </c>
      <c r="L24" s="220">
        <f t="shared" si="10"/>
        <v>0</v>
      </c>
      <c r="M24" s="55">
        <v>9.9999999999999995E-7</v>
      </c>
      <c r="O24" s="56">
        <v>97</v>
      </c>
      <c r="P24" s="55">
        <v>9.9999999999999995E-7</v>
      </c>
      <c r="Q24" s="55">
        <v>9.9999999999999995E-7</v>
      </c>
      <c r="R24" s="55">
        <v>9.9999999999999995E-7</v>
      </c>
      <c r="S24" s="220">
        <f t="shared" si="11"/>
        <v>0</v>
      </c>
      <c r="T24" s="55">
        <v>9.9999999999999995E-7</v>
      </c>
    </row>
    <row r="25" spans="1:20">
      <c r="A25" s="56">
        <v>98</v>
      </c>
      <c r="B25" s="55">
        <v>9.9999999999999995E-7</v>
      </c>
      <c r="C25" s="55">
        <v>9.9999999999999995E-7</v>
      </c>
      <c r="D25" s="55">
        <v>9.9999999999999995E-7</v>
      </c>
      <c r="E25" s="220">
        <f t="shared" si="9"/>
        <v>0</v>
      </c>
      <c r="F25" s="55">
        <v>9.9999999999999995E-7</v>
      </c>
      <c r="H25" s="56">
        <v>98</v>
      </c>
      <c r="I25" s="55">
        <v>9.9999999999999995E-7</v>
      </c>
      <c r="J25" s="55">
        <v>9.9999999999999995E-7</v>
      </c>
      <c r="K25" s="55">
        <v>9.9999999999999995E-7</v>
      </c>
      <c r="L25" s="220">
        <f t="shared" si="10"/>
        <v>0</v>
      </c>
      <c r="M25" s="55">
        <v>9.9999999999999995E-7</v>
      </c>
      <c r="O25" s="56">
        <v>98</v>
      </c>
      <c r="P25" s="55">
        <v>9.9999999999999995E-7</v>
      </c>
      <c r="Q25" s="55">
        <v>9.9999999999999995E-7</v>
      </c>
      <c r="R25" s="55">
        <v>9.9999999999999995E-7</v>
      </c>
      <c r="S25" s="220">
        <f t="shared" si="11"/>
        <v>0</v>
      </c>
      <c r="T25" s="55">
        <v>9.9999999999999995E-7</v>
      </c>
    </row>
    <row r="26" spans="1:20">
      <c r="A26" s="56">
        <v>99</v>
      </c>
      <c r="B26" s="55">
        <v>9.9999999999999995E-7</v>
      </c>
      <c r="C26" s="55">
        <v>9.9999999999999995E-7</v>
      </c>
      <c r="D26" s="55">
        <v>9.9999999999999995E-7</v>
      </c>
      <c r="E26" s="220">
        <f t="shared" si="9"/>
        <v>0</v>
      </c>
      <c r="F26" s="55">
        <v>9.9999999999999995E-7</v>
      </c>
      <c r="H26" s="56">
        <v>99</v>
      </c>
      <c r="I26" s="55">
        <v>9.9999999999999995E-7</v>
      </c>
      <c r="J26" s="55">
        <v>9.9999999999999995E-7</v>
      </c>
      <c r="K26" s="55">
        <v>9.9999999999999995E-7</v>
      </c>
      <c r="L26" s="220">
        <f t="shared" si="10"/>
        <v>0</v>
      </c>
      <c r="M26" s="55">
        <v>9.9999999999999995E-7</v>
      </c>
      <c r="O26" s="56">
        <v>99</v>
      </c>
      <c r="P26" s="55">
        <v>9.9999999999999995E-7</v>
      </c>
      <c r="Q26" s="55">
        <v>9.9999999999999995E-7</v>
      </c>
      <c r="R26" s="55">
        <v>9.9999999999999995E-7</v>
      </c>
      <c r="S26" s="220">
        <f t="shared" si="11"/>
        <v>0</v>
      </c>
      <c r="T26" s="55">
        <v>9.9999999999999995E-7</v>
      </c>
    </row>
    <row r="27" spans="1:20">
      <c r="A27" s="56">
        <v>100</v>
      </c>
      <c r="B27" s="55">
        <v>9.9999999999999995E-7</v>
      </c>
      <c r="C27" s="55">
        <v>9.9999999999999995E-7</v>
      </c>
      <c r="D27" s="55">
        <v>9.9999999999999995E-7</v>
      </c>
      <c r="E27" s="220">
        <f t="shared" si="9"/>
        <v>0</v>
      </c>
      <c r="F27" s="55">
        <v>9.9999999999999995E-7</v>
      </c>
      <c r="H27" s="56">
        <v>100</v>
      </c>
      <c r="I27" s="55">
        <v>9.9999999999999995E-7</v>
      </c>
      <c r="J27" s="55">
        <v>9.9999999999999995E-7</v>
      </c>
      <c r="K27" s="55">
        <v>9.9999999999999995E-7</v>
      </c>
      <c r="L27" s="220">
        <f t="shared" si="10"/>
        <v>0</v>
      </c>
      <c r="M27" s="55">
        <v>9.9999999999999995E-7</v>
      </c>
      <c r="O27" s="56">
        <v>100</v>
      </c>
      <c r="P27" s="55">
        <v>9.9999999999999995E-7</v>
      </c>
      <c r="Q27" s="55">
        <v>9.9999999999999995E-7</v>
      </c>
      <c r="R27" s="55">
        <v>9.9999999999999995E-7</v>
      </c>
      <c r="S27" s="220">
        <f t="shared" si="11"/>
        <v>0</v>
      </c>
      <c r="T27" s="55">
        <v>9.9999999999999995E-7</v>
      </c>
    </row>
    <row r="30" spans="1:20" s="452" customFormat="1" ht="27" customHeight="1">
      <c r="A30" s="1449" t="s">
        <v>382</v>
      </c>
      <c r="B30" s="1449"/>
      <c r="C30" s="1449"/>
      <c r="D30" s="1449"/>
      <c r="E30" s="1449"/>
      <c r="F30" s="1449"/>
      <c r="H30" s="1401" t="s">
        <v>197</v>
      </c>
      <c r="I30" s="1401"/>
      <c r="J30" s="1401"/>
      <c r="K30" s="1401"/>
      <c r="L30" s="1401"/>
      <c r="M30" s="1401"/>
      <c r="O30" s="1401" t="s">
        <v>320</v>
      </c>
      <c r="P30" s="1401"/>
      <c r="Q30" s="1401"/>
      <c r="R30" s="1401"/>
      <c r="S30" s="1401"/>
      <c r="T30" s="1401"/>
    </row>
    <row r="31" spans="1:20" ht="15" customHeight="1">
      <c r="A31" s="1442" t="s">
        <v>187</v>
      </c>
      <c r="B31" s="1442"/>
      <c r="C31" s="1442"/>
      <c r="D31" s="1442"/>
      <c r="E31" s="1403" t="s">
        <v>74</v>
      </c>
      <c r="F31" s="1422" t="s">
        <v>176</v>
      </c>
      <c r="H31" s="1436" t="s">
        <v>187</v>
      </c>
      <c r="I31" s="1437"/>
      <c r="J31" s="1437"/>
      <c r="K31" s="1438"/>
      <c r="L31" s="1443" t="s">
        <v>74</v>
      </c>
      <c r="M31" s="1446" t="s">
        <v>176</v>
      </c>
      <c r="O31" s="1436" t="s">
        <v>187</v>
      </c>
      <c r="P31" s="1437"/>
      <c r="Q31" s="1437"/>
      <c r="R31" s="1438"/>
      <c r="S31" s="1443" t="s">
        <v>74</v>
      </c>
      <c r="T31" s="1446" t="s">
        <v>176</v>
      </c>
    </row>
    <row r="32" spans="1:20" ht="13">
      <c r="A32" s="646" t="s">
        <v>188</v>
      </c>
      <c r="B32" s="1403" t="s">
        <v>75</v>
      </c>
      <c r="C32" s="1403"/>
      <c r="D32" s="1403"/>
      <c r="E32" s="1403"/>
      <c r="F32" s="1422"/>
      <c r="H32" s="646" t="s">
        <v>188</v>
      </c>
      <c r="I32" s="1439" t="s">
        <v>75</v>
      </c>
      <c r="J32" s="1440"/>
      <c r="K32" s="1441"/>
      <c r="L32" s="1444"/>
      <c r="M32" s="1447"/>
      <c r="O32" s="646" t="s">
        <v>188</v>
      </c>
      <c r="P32" s="1439" t="s">
        <v>75</v>
      </c>
      <c r="Q32" s="1440"/>
      <c r="R32" s="1441"/>
      <c r="S32" s="1444"/>
      <c r="T32" s="1447"/>
    </row>
    <row r="33" spans="1:20" ht="14">
      <c r="A33" s="647" t="s">
        <v>189</v>
      </c>
      <c r="B33" s="646">
        <v>2019</v>
      </c>
      <c r="C33" s="646">
        <v>2019</v>
      </c>
      <c r="D33" s="646">
        <v>2020</v>
      </c>
      <c r="E33" s="1403"/>
      <c r="F33" s="1422"/>
      <c r="H33" s="647" t="s">
        <v>189</v>
      </c>
      <c r="I33" s="646">
        <v>2019</v>
      </c>
      <c r="J33" s="646">
        <v>2019</v>
      </c>
      <c r="K33" s="646">
        <v>2020</v>
      </c>
      <c r="L33" s="1445"/>
      <c r="M33" s="1448"/>
      <c r="O33" s="647" t="s">
        <v>189</v>
      </c>
      <c r="P33" s="646">
        <v>2015</v>
      </c>
      <c r="Q33" s="646">
        <v>2015</v>
      </c>
      <c r="R33" s="646">
        <v>2017</v>
      </c>
      <c r="S33" s="1445"/>
      <c r="T33" s="1448"/>
    </row>
    <row r="34" spans="1:20">
      <c r="A34" s="177">
        <v>70</v>
      </c>
      <c r="B34" s="55">
        <v>9.9999999999999995E-7</v>
      </c>
      <c r="C34" s="55">
        <v>9.9999999999999995E-7</v>
      </c>
      <c r="D34" s="55">
        <v>9.9999999999999995E-7</v>
      </c>
      <c r="E34" s="220">
        <f t="shared" ref="E34:E35" si="12">0.5*(MAX(B34:D34)-MIN(B34:D34))</f>
        <v>0</v>
      </c>
      <c r="F34" s="55">
        <v>9.9999999999999995E-7</v>
      </c>
      <c r="H34" s="177">
        <v>70</v>
      </c>
      <c r="I34" s="55">
        <v>9.9999999999999995E-7</v>
      </c>
      <c r="J34" s="55">
        <v>9.9999999999999995E-7</v>
      </c>
      <c r="K34" s="55">
        <v>0</v>
      </c>
      <c r="L34" s="220">
        <f t="shared" ref="L34:L35" si="13">0.5*(MAX(I34:K34)-MIN(I34:K34))</f>
        <v>4.9999999999999998E-7</v>
      </c>
      <c r="M34" s="55">
        <v>9.9999999999999995E-7</v>
      </c>
      <c r="O34" s="177">
        <v>70</v>
      </c>
      <c r="P34" s="55">
        <v>9.9999999999999995E-7</v>
      </c>
      <c r="Q34" s="55">
        <v>9.9999999999999995E-7</v>
      </c>
      <c r="R34" s="55">
        <v>9.9999999999999995E-7</v>
      </c>
      <c r="S34" s="220">
        <f t="shared" ref="S34:S35" si="14">0.5*(MAX(P34:R34)-MIN(P34:R34))</f>
        <v>0</v>
      </c>
      <c r="T34" s="55">
        <v>9.9999999999999995E-7</v>
      </c>
    </row>
    <row r="35" spans="1:20">
      <c r="A35" s="177">
        <v>85</v>
      </c>
      <c r="B35" s="55">
        <v>9.9999999999999995E-7</v>
      </c>
      <c r="C35" s="55">
        <v>9.9999999999999995E-7</v>
      </c>
      <c r="D35" s="55">
        <v>9.9999999999999995E-7</v>
      </c>
      <c r="E35" s="220">
        <f t="shared" si="12"/>
        <v>0</v>
      </c>
      <c r="F35" s="55">
        <v>9.9999999999999995E-7</v>
      </c>
      <c r="H35" s="177">
        <v>85</v>
      </c>
      <c r="I35" s="55">
        <v>9.9999999999999995E-7</v>
      </c>
      <c r="J35" s="55">
        <v>9.9999999999999995E-7</v>
      </c>
      <c r="K35" s="55">
        <v>0</v>
      </c>
      <c r="L35" s="220">
        <f t="shared" si="13"/>
        <v>4.9999999999999998E-7</v>
      </c>
      <c r="M35" s="55">
        <v>9.9999999999999995E-7</v>
      </c>
      <c r="O35" s="177">
        <v>85</v>
      </c>
      <c r="P35" s="55">
        <v>9.9999999999999995E-7</v>
      </c>
      <c r="Q35" s="55">
        <v>9.9999999999999995E-7</v>
      </c>
      <c r="R35" s="55">
        <v>9.9999999999999995E-7</v>
      </c>
      <c r="S35" s="220">
        <f t="shared" si="14"/>
        <v>0</v>
      </c>
      <c r="T35" s="55">
        <v>9.9999999999999995E-7</v>
      </c>
    </row>
    <row r="36" spans="1:20">
      <c r="A36" s="56">
        <v>90</v>
      </c>
      <c r="B36" s="55">
        <v>9.9999999999999995E-7</v>
      </c>
      <c r="C36" s="55">
        <v>9.9999999999999995E-7</v>
      </c>
      <c r="D36" s="55">
        <v>9.9999999999999995E-7</v>
      </c>
      <c r="E36" s="220">
        <f>0.5*(MAX(B36:D36)-MIN(B36:D36))</f>
        <v>0</v>
      </c>
      <c r="F36" s="55">
        <v>9.9999999999999995E-7</v>
      </c>
      <c r="H36" s="56">
        <v>90</v>
      </c>
      <c r="I36" s="55">
        <v>9.9999999999999995E-7</v>
      </c>
      <c r="J36" s="55">
        <v>9.9999999999999995E-7</v>
      </c>
      <c r="K36" s="55">
        <v>0</v>
      </c>
      <c r="L36" s="220">
        <f>0.5*(MAX(I36:K36)-MIN(I36:K36))</f>
        <v>4.9999999999999998E-7</v>
      </c>
      <c r="M36" s="55">
        <v>9.9999999999999995E-7</v>
      </c>
      <c r="O36" s="56">
        <v>90</v>
      </c>
      <c r="P36" s="55">
        <v>9.9999999999999995E-7</v>
      </c>
      <c r="Q36" s="55">
        <v>9.9999999999999995E-7</v>
      </c>
      <c r="R36" s="55">
        <v>9.9999999999999995E-7</v>
      </c>
      <c r="S36" s="220">
        <f>0.5*(MAX(P36:R36)-MIN(P36:R36))</f>
        <v>0</v>
      </c>
      <c r="T36" s="55">
        <v>9.9999999999999995E-7</v>
      </c>
    </row>
    <row r="37" spans="1:20">
      <c r="A37" s="56">
        <v>95</v>
      </c>
      <c r="B37" s="55">
        <v>9.9999999999999995E-7</v>
      </c>
      <c r="C37" s="55">
        <v>9.9999999999999995E-7</v>
      </c>
      <c r="D37" s="55">
        <v>9.9999999999999995E-7</v>
      </c>
      <c r="E37" s="220">
        <f t="shared" ref="E37:E41" si="15">0.5*(MAX(B37:D37)-MIN(B37:D37))</f>
        <v>0</v>
      </c>
      <c r="F37" s="55">
        <v>9.9999999999999995E-7</v>
      </c>
      <c r="H37" s="56">
        <v>95</v>
      </c>
      <c r="I37" s="55">
        <v>9.9999999999999995E-7</v>
      </c>
      <c r="J37" s="55">
        <v>9.9999999999999995E-7</v>
      </c>
      <c r="K37" s="55">
        <v>0</v>
      </c>
      <c r="L37" s="220">
        <f t="shared" ref="L37:L41" si="16">0.5*(MAX(I37:K37)-MIN(I37:K37))</f>
        <v>4.9999999999999998E-7</v>
      </c>
      <c r="M37" s="55">
        <v>9.9999999999999995E-7</v>
      </c>
      <c r="O37" s="56">
        <v>95</v>
      </c>
      <c r="P37" s="55">
        <v>9.9999999999999995E-7</v>
      </c>
      <c r="Q37" s="55">
        <v>9.9999999999999995E-7</v>
      </c>
      <c r="R37" s="55">
        <v>9.9999999999999995E-7</v>
      </c>
      <c r="S37" s="220">
        <f t="shared" ref="S37:S41" si="17">0.5*(MAX(P37:R37)-MIN(P37:R37))</f>
        <v>0</v>
      </c>
      <c r="T37" s="55">
        <v>9.9999999999999995E-7</v>
      </c>
    </row>
    <row r="38" spans="1:20">
      <c r="A38" s="56">
        <v>97</v>
      </c>
      <c r="B38" s="55">
        <v>9.9999999999999995E-7</v>
      </c>
      <c r="C38" s="55">
        <v>9.9999999999999995E-7</v>
      </c>
      <c r="D38" s="55">
        <v>9.9999999999999995E-7</v>
      </c>
      <c r="E38" s="220">
        <f t="shared" si="15"/>
        <v>0</v>
      </c>
      <c r="F38" s="55">
        <v>9.9999999999999995E-7</v>
      </c>
      <c r="H38" s="56">
        <v>97</v>
      </c>
      <c r="I38" s="55">
        <v>9.9999999999999995E-7</v>
      </c>
      <c r="J38" s="55">
        <v>9.9999999999999995E-7</v>
      </c>
      <c r="K38" s="55">
        <v>0</v>
      </c>
      <c r="L38" s="220">
        <f t="shared" si="16"/>
        <v>4.9999999999999998E-7</v>
      </c>
      <c r="M38" s="55">
        <v>9.9999999999999995E-7</v>
      </c>
      <c r="O38" s="56">
        <v>97</v>
      </c>
      <c r="P38" s="55">
        <v>9.9999999999999995E-7</v>
      </c>
      <c r="Q38" s="55">
        <v>9.9999999999999995E-7</v>
      </c>
      <c r="R38" s="55">
        <v>9.9999999999999995E-7</v>
      </c>
      <c r="S38" s="220">
        <f t="shared" si="17"/>
        <v>0</v>
      </c>
      <c r="T38" s="55">
        <v>9.9999999999999995E-7</v>
      </c>
    </row>
    <row r="39" spans="1:20" ht="15" customHeight="1">
      <c r="A39" s="56">
        <v>98</v>
      </c>
      <c r="B39" s="55">
        <v>9.9999999999999995E-7</v>
      </c>
      <c r="C39" s="55">
        <v>9.9999999999999995E-7</v>
      </c>
      <c r="D39" s="55">
        <v>9.9999999999999995E-7</v>
      </c>
      <c r="E39" s="220">
        <f t="shared" si="15"/>
        <v>0</v>
      </c>
      <c r="F39" s="55">
        <v>9.9999999999999995E-7</v>
      </c>
      <c r="H39" s="56">
        <v>98</v>
      </c>
      <c r="I39" s="55">
        <v>9.9999999999999995E-7</v>
      </c>
      <c r="J39" s="55">
        <v>9.9999999999999995E-7</v>
      </c>
      <c r="K39" s="55">
        <v>0</v>
      </c>
      <c r="L39" s="220">
        <f t="shared" si="16"/>
        <v>4.9999999999999998E-7</v>
      </c>
      <c r="M39" s="55">
        <v>9.9999999999999995E-7</v>
      </c>
      <c r="O39" s="56">
        <v>98</v>
      </c>
      <c r="P39" s="55">
        <v>9.9999999999999995E-7</v>
      </c>
      <c r="Q39" s="55">
        <v>9.9999999999999995E-7</v>
      </c>
      <c r="R39" s="55">
        <v>9.9999999999999995E-7</v>
      </c>
      <c r="S39" s="220">
        <f t="shared" si="17"/>
        <v>0</v>
      </c>
      <c r="T39" s="55">
        <v>9.9999999999999995E-7</v>
      </c>
    </row>
    <row r="40" spans="1:20">
      <c r="A40" s="56">
        <v>99</v>
      </c>
      <c r="B40" s="55">
        <v>9.9999999999999995E-7</v>
      </c>
      <c r="C40" s="55">
        <v>9.9999999999999995E-7</v>
      </c>
      <c r="D40" s="55">
        <v>9.9999999999999995E-7</v>
      </c>
      <c r="E40" s="220">
        <f t="shared" si="15"/>
        <v>0</v>
      </c>
      <c r="F40" s="55">
        <v>9.9999999999999995E-7</v>
      </c>
      <c r="H40" s="56">
        <v>99</v>
      </c>
      <c r="I40" s="55">
        <v>9.9999999999999995E-7</v>
      </c>
      <c r="J40" s="55">
        <v>9.9999999999999995E-7</v>
      </c>
      <c r="K40" s="55">
        <v>0</v>
      </c>
      <c r="L40" s="220">
        <f t="shared" si="16"/>
        <v>4.9999999999999998E-7</v>
      </c>
      <c r="M40" s="55">
        <v>9.9999999999999995E-7</v>
      </c>
      <c r="O40" s="56">
        <v>99</v>
      </c>
      <c r="P40" s="55">
        <v>9.9999999999999995E-7</v>
      </c>
      <c r="Q40" s="55">
        <v>9.9999999999999995E-7</v>
      </c>
      <c r="R40" s="55">
        <v>9.9999999999999995E-7</v>
      </c>
      <c r="S40" s="220">
        <f t="shared" si="17"/>
        <v>0</v>
      </c>
      <c r="T40" s="55">
        <v>9.9999999999999995E-7</v>
      </c>
    </row>
    <row r="41" spans="1:20">
      <c r="A41" s="56">
        <v>100</v>
      </c>
      <c r="B41" s="55">
        <v>9.9999999999999995E-7</v>
      </c>
      <c r="C41" s="55">
        <v>9.9999999999999995E-7</v>
      </c>
      <c r="D41" s="55">
        <v>9.9999999999999995E-7</v>
      </c>
      <c r="E41" s="220">
        <f t="shared" si="15"/>
        <v>0</v>
      </c>
      <c r="F41" s="55">
        <v>9.9999999999999995E-7</v>
      </c>
      <c r="H41" s="56">
        <v>100</v>
      </c>
      <c r="I41" s="55">
        <v>9.9999999999999995E-7</v>
      </c>
      <c r="J41" s="55">
        <v>9.9999999999999995E-7</v>
      </c>
      <c r="K41" s="55">
        <v>0</v>
      </c>
      <c r="L41" s="220">
        <f t="shared" si="16"/>
        <v>4.9999999999999998E-7</v>
      </c>
      <c r="M41" s="55">
        <v>9.9999999999999995E-7</v>
      </c>
      <c r="O41" s="56">
        <v>100</v>
      </c>
      <c r="P41" s="55">
        <v>9.9999999999999995E-7</v>
      </c>
      <c r="Q41" s="55">
        <v>9.9999999999999995E-7</v>
      </c>
      <c r="R41" s="55">
        <v>9.9999999999999995E-7</v>
      </c>
      <c r="S41" s="220">
        <f t="shared" si="17"/>
        <v>0</v>
      </c>
      <c r="T41" s="55">
        <v>9.9999999999999995E-7</v>
      </c>
    </row>
    <row r="44" spans="1:20" s="452" customFormat="1" ht="27.75" customHeight="1">
      <c r="A44" s="1450" t="s">
        <v>319</v>
      </c>
      <c r="B44" s="1450"/>
      <c r="C44" s="1450"/>
      <c r="D44" s="1450"/>
      <c r="E44" s="1450"/>
      <c r="F44" s="1450"/>
      <c r="G44" s="480"/>
      <c r="H44" s="1450" t="s">
        <v>190</v>
      </c>
      <c r="I44" s="1450"/>
      <c r="J44" s="1450"/>
      <c r="K44" s="1450"/>
      <c r="L44" s="1450"/>
      <c r="M44" s="1450"/>
      <c r="N44" s="480"/>
      <c r="O44" s="1450" t="s">
        <v>191</v>
      </c>
      <c r="P44" s="1450"/>
      <c r="Q44" s="1450"/>
      <c r="R44" s="1450"/>
      <c r="S44" s="1450"/>
      <c r="T44" s="1450"/>
    </row>
    <row r="45" spans="1:20" ht="15" customHeight="1">
      <c r="A45" s="1436" t="s">
        <v>187</v>
      </c>
      <c r="B45" s="1437"/>
      <c r="C45" s="1437"/>
      <c r="D45" s="1438"/>
      <c r="E45" s="1443" t="s">
        <v>74</v>
      </c>
      <c r="F45" s="1446" t="s">
        <v>176</v>
      </c>
      <c r="H45" s="1436" t="s">
        <v>187</v>
      </c>
      <c r="I45" s="1437"/>
      <c r="J45" s="1437"/>
      <c r="K45" s="1438"/>
      <c r="L45" s="1443" t="s">
        <v>74</v>
      </c>
      <c r="M45" s="1446" t="s">
        <v>176</v>
      </c>
      <c r="O45" s="1436" t="s">
        <v>187</v>
      </c>
      <c r="P45" s="1437"/>
      <c r="Q45" s="1437"/>
      <c r="R45" s="1438"/>
      <c r="S45" s="1443" t="s">
        <v>74</v>
      </c>
      <c r="T45" s="1446" t="s">
        <v>176</v>
      </c>
    </row>
    <row r="46" spans="1:20" ht="13">
      <c r="A46" s="646" t="s">
        <v>188</v>
      </c>
      <c r="B46" s="1439" t="s">
        <v>75</v>
      </c>
      <c r="C46" s="1440"/>
      <c r="D46" s="1441"/>
      <c r="E46" s="1444"/>
      <c r="F46" s="1447"/>
      <c r="H46" s="646" t="s">
        <v>188</v>
      </c>
      <c r="I46" s="1439" t="s">
        <v>75</v>
      </c>
      <c r="J46" s="1440"/>
      <c r="K46" s="1441"/>
      <c r="L46" s="1444"/>
      <c r="M46" s="1447"/>
      <c r="O46" s="646" t="s">
        <v>188</v>
      </c>
      <c r="P46" s="1439" t="s">
        <v>75</v>
      </c>
      <c r="Q46" s="1440"/>
      <c r="R46" s="1441"/>
      <c r="S46" s="1444"/>
      <c r="T46" s="1447"/>
    </row>
    <row r="47" spans="1:20" ht="14">
      <c r="A47" s="647" t="s">
        <v>189</v>
      </c>
      <c r="B47" s="646">
        <v>2014</v>
      </c>
      <c r="C47" s="646">
        <v>2014</v>
      </c>
      <c r="D47" s="646">
        <v>2015</v>
      </c>
      <c r="E47" s="1445"/>
      <c r="F47" s="1448"/>
      <c r="H47" s="647" t="s">
        <v>189</v>
      </c>
      <c r="I47" s="646">
        <v>2019</v>
      </c>
      <c r="J47" s="646">
        <v>2019</v>
      </c>
      <c r="K47" s="646">
        <v>2020</v>
      </c>
      <c r="L47" s="1445"/>
      <c r="M47" s="1448"/>
      <c r="O47" s="647" t="s">
        <v>189</v>
      </c>
      <c r="P47" s="646">
        <v>2019</v>
      </c>
      <c r="Q47" s="646">
        <v>2019</v>
      </c>
      <c r="R47" s="646">
        <v>2020</v>
      </c>
      <c r="S47" s="1445"/>
      <c r="T47" s="1448"/>
    </row>
    <row r="48" spans="1:20">
      <c r="A48" s="177">
        <v>70</v>
      </c>
      <c r="B48" s="55">
        <v>9.9999999999999995E-7</v>
      </c>
      <c r="C48" s="55">
        <v>9.9999999999999995E-7</v>
      </c>
      <c r="D48" s="55">
        <v>9.9999999999999995E-7</v>
      </c>
      <c r="E48" s="220">
        <f t="shared" ref="E48:E49" si="18">0.5*(MAX(B48:D48)-MIN(B48:D48))</f>
        <v>0</v>
      </c>
      <c r="F48" s="55">
        <v>9.9999999999999995E-7</v>
      </c>
      <c r="H48" s="177">
        <v>70</v>
      </c>
      <c r="I48" s="55">
        <v>9.9999999999999995E-7</v>
      </c>
      <c r="J48" s="55">
        <v>9.9999999999999995E-7</v>
      </c>
      <c r="K48" s="55">
        <v>0</v>
      </c>
      <c r="L48" s="220">
        <f t="shared" ref="L48:L49" si="19">0.5*(MAX(I48:K48)-MIN(I48:K48))</f>
        <v>4.9999999999999998E-7</v>
      </c>
      <c r="M48" s="55">
        <v>9.9999999999999995E-7</v>
      </c>
      <c r="O48" s="177">
        <v>70</v>
      </c>
      <c r="P48" s="55">
        <v>9.9999999999999995E-7</v>
      </c>
      <c r="Q48" s="55">
        <v>9.9999999999999995E-7</v>
      </c>
      <c r="R48" s="55">
        <v>0</v>
      </c>
      <c r="S48" s="220">
        <f t="shared" ref="S48:S49" si="20">0.5*(MAX(P48:R48)-MIN(P48:R48))</f>
        <v>4.9999999999999998E-7</v>
      </c>
      <c r="T48" s="55">
        <v>9.9999999999999995E-7</v>
      </c>
    </row>
    <row r="49" spans="1:20">
      <c r="A49" s="177">
        <v>85</v>
      </c>
      <c r="B49" s="55">
        <v>9.9999999999999995E-7</v>
      </c>
      <c r="C49" s="55">
        <v>9.9999999999999995E-7</v>
      </c>
      <c r="D49" s="55">
        <v>9.9999999999999995E-7</v>
      </c>
      <c r="E49" s="220">
        <f t="shared" si="18"/>
        <v>0</v>
      </c>
      <c r="F49" s="55">
        <v>9.9999999999999995E-7</v>
      </c>
      <c r="H49" s="177">
        <v>85</v>
      </c>
      <c r="I49" s="55">
        <v>9.9999999999999995E-7</v>
      </c>
      <c r="J49" s="55">
        <v>9.9999999999999995E-7</v>
      </c>
      <c r="K49" s="55">
        <v>0</v>
      </c>
      <c r="L49" s="220">
        <f t="shared" si="19"/>
        <v>4.9999999999999998E-7</v>
      </c>
      <c r="M49" s="55">
        <v>9.9999999999999995E-7</v>
      </c>
      <c r="O49" s="177">
        <v>85</v>
      </c>
      <c r="P49" s="55">
        <v>9.9999999999999995E-7</v>
      </c>
      <c r="Q49" s="55">
        <v>9.9999999999999995E-7</v>
      </c>
      <c r="R49" s="55">
        <v>0</v>
      </c>
      <c r="S49" s="220">
        <f t="shared" si="20"/>
        <v>4.9999999999999998E-7</v>
      </c>
      <c r="T49" s="55">
        <v>9.9999999999999995E-7</v>
      </c>
    </row>
    <row r="50" spans="1:20">
      <c r="A50" s="56">
        <v>90</v>
      </c>
      <c r="B50" s="55">
        <v>9.9999999999999995E-7</v>
      </c>
      <c r="C50" s="55">
        <v>9.9999999999999995E-7</v>
      </c>
      <c r="D50" s="55">
        <v>9.9999999999999995E-7</v>
      </c>
      <c r="E50" s="220">
        <f>0.5*(MAX(B50:D50)-MIN(B50:D50))</f>
        <v>0</v>
      </c>
      <c r="F50" s="55">
        <v>9.9999999999999995E-7</v>
      </c>
      <c r="H50" s="56">
        <v>90</v>
      </c>
      <c r="I50" s="55">
        <v>9.9999999999999995E-7</v>
      </c>
      <c r="J50" s="55">
        <v>9.9999999999999995E-7</v>
      </c>
      <c r="K50" s="55">
        <v>0</v>
      </c>
      <c r="L50" s="220">
        <f>0.5*(MAX(I50:K50)-MIN(I50:K50))</f>
        <v>4.9999999999999998E-7</v>
      </c>
      <c r="M50" s="55">
        <v>9.9999999999999995E-7</v>
      </c>
      <c r="O50" s="56">
        <v>90</v>
      </c>
      <c r="P50" s="55">
        <v>9.9999999999999995E-7</v>
      </c>
      <c r="Q50" s="55">
        <v>9.9999999999999995E-7</v>
      </c>
      <c r="R50" s="55">
        <v>0</v>
      </c>
      <c r="S50" s="220">
        <f>0.5*(MAX(P50:R50)-MIN(P50:R50))</f>
        <v>4.9999999999999998E-7</v>
      </c>
      <c r="T50" s="55">
        <v>9.9999999999999995E-7</v>
      </c>
    </row>
    <row r="51" spans="1:20" ht="15" customHeight="1">
      <c r="A51" s="56">
        <v>95</v>
      </c>
      <c r="B51" s="55">
        <v>9.9999999999999995E-7</v>
      </c>
      <c r="C51" s="55">
        <v>9.9999999999999995E-7</v>
      </c>
      <c r="D51" s="55">
        <v>9.9999999999999995E-7</v>
      </c>
      <c r="E51" s="220">
        <f t="shared" ref="E51:E55" si="21">0.5*(MAX(B51:D51)-MIN(B51:D51))</f>
        <v>0</v>
      </c>
      <c r="F51" s="55">
        <v>9.9999999999999995E-7</v>
      </c>
      <c r="H51" s="56">
        <v>95</v>
      </c>
      <c r="I51" s="55">
        <v>9.9999999999999995E-7</v>
      </c>
      <c r="J51" s="55">
        <v>9.9999999999999995E-7</v>
      </c>
      <c r="K51" s="55">
        <v>0</v>
      </c>
      <c r="L51" s="220">
        <f t="shared" ref="L51:L55" si="22">0.5*(MAX(I51:K51)-MIN(I51:K51))</f>
        <v>4.9999999999999998E-7</v>
      </c>
      <c r="M51" s="55">
        <v>9.9999999999999995E-7</v>
      </c>
      <c r="O51" s="56">
        <v>95</v>
      </c>
      <c r="P51" s="55">
        <v>9.9999999999999995E-7</v>
      </c>
      <c r="Q51" s="55">
        <v>9.9999999999999995E-7</v>
      </c>
      <c r="R51" s="55">
        <v>0</v>
      </c>
      <c r="S51" s="220">
        <f t="shared" ref="S51:S55" si="23">0.5*(MAX(P51:R51)-MIN(P51:R51))</f>
        <v>4.9999999999999998E-7</v>
      </c>
      <c r="T51" s="55">
        <v>9.9999999999999995E-7</v>
      </c>
    </row>
    <row r="52" spans="1:20">
      <c r="A52" s="56">
        <v>97</v>
      </c>
      <c r="B52" s="55">
        <v>9.9999999999999995E-7</v>
      </c>
      <c r="C52" s="55">
        <v>9.9999999999999995E-7</v>
      </c>
      <c r="D52" s="55">
        <v>9.9999999999999995E-7</v>
      </c>
      <c r="E52" s="220">
        <f t="shared" si="21"/>
        <v>0</v>
      </c>
      <c r="F52" s="55">
        <v>9.9999999999999995E-7</v>
      </c>
      <c r="H52" s="56">
        <v>97</v>
      </c>
      <c r="I52" s="55">
        <v>9.9999999999999995E-7</v>
      </c>
      <c r="J52" s="55">
        <v>9.9999999999999995E-7</v>
      </c>
      <c r="K52" s="55">
        <v>0</v>
      </c>
      <c r="L52" s="220">
        <f t="shared" si="22"/>
        <v>4.9999999999999998E-7</v>
      </c>
      <c r="M52" s="55">
        <v>9.9999999999999995E-7</v>
      </c>
      <c r="O52" s="56">
        <v>97</v>
      </c>
      <c r="P52" s="55">
        <v>9.9999999999999995E-7</v>
      </c>
      <c r="Q52" s="55">
        <v>9.9999999999999995E-7</v>
      </c>
      <c r="R52" s="55">
        <v>0</v>
      </c>
      <c r="S52" s="220">
        <f t="shared" si="23"/>
        <v>4.9999999999999998E-7</v>
      </c>
      <c r="T52" s="55">
        <v>9.9999999999999995E-7</v>
      </c>
    </row>
    <row r="53" spans="1:20">
      <c r="A53" s="56">
        <v>98</v>
      </c>
      <c r="B53" s="55">
        <v>9.9999999999999995E-7</v>
      </c>
      <c r="C53" s="55">
        <v>9.9999999999999995E-7</v>
      </c>
      <c r="D53" s="55">
        <v>9.9999999999999995E-7</v>
      </c>
      <c r="E53" s="220">
        <f t="shared" si="21"/>
        <v>0</v>
      </c>
      <c r="F53" s="55">
        <v>9.9999999999999995E-7</v>
      </c>
      <c r="H53" s="56">
        <v>98</v>
      </c>
      <c r="I53" s="55">
        <v>9.9999999999999995E-7</v>
      </c>
      <c r="J53" s="55">
        <v>9.9999999999999995E-7</v>
      </c>
      <c r="K53" s="55">
        <v>0</v>
      </c>
      <c r="L53" s="220">
        <f t="shared" si="22"/>
        <v>4.9999999999999998E-7</v>
      </c>
      <c r="M53" s="55">
        <v>9.9999999999999995E-7</v>
      </c>
      <c r="O53" s="56">
        <v>98</v>
      </c>
      <c r="P53" s="55">
        <v>9.9999999999999995E-7</v>
      </c>
      <c r="Q53" s="55">
        <v>9.9999999999999995E-7</v>
      </c>
      <c r="R53" s="55">
        <v>0</v>
      </c>
      <c r="S53" s="220">
        <f t="shared" si="23"/>
        <v>4.9999999999999998E-7</v>
      </c>
      <c r="T53" s="55">
        <v>9.9999999999999995E-7</v>
      </c>
    </row>
    <row r="54" spans="1:20">
      <c r="A54" s="56">
        <v>99</v>
      </c>
      <c r="B54" s="55">
        <v>9.9999999999999995E-7</v>
      </c>
      <c r="C54" s="55">
        <v>9.9999999999999995E-7</v>
      </c>
      <c r="D54" s="55">
        <v>9.9999999999999995E-7</v>
      </c>
      <c r="E54" s="220">
        <f t="shared" si="21"/>
        <v>0</v>
      </c>
      <c r="F54" s="55">
        <v>9.9999999999999995E-7</v>
      </c>
      <c r="H54" s="56">
        <v>99</v>
      </c>
      <c r="I54" s="55">
        <v>9.9999999999999995E-7</v>
      </c>
      <c r="J54" s="55">
        <v>9.9999999999999995E-7</v>
      </c>
      <c r="K54" s="55">
        <v>0</v>
      </c>
      <c r="L54" s="220">
        <f t="shared" si="22"/>
        <v>4.9999999999999998E-7</v>
      </c>
      <c r="M54" s="55">
        <v>9.9999999999999995E-7</v>
      </c>
      <c r="O54" s="56">
        <v>99</v>
      </c>
      <c r="P54" s="55">
        <v>9.9999999999999995E-7</v>
      </c>
      <c r="Q54" s="55">
        <v>9.9999999999999995E-7</v>
      </c>
      <c r="R54" s="55">
        <v>0</v>
      </c>
      <c r="S54" s="220">
        <f t="shared" si="23"/>
        <v>4.9999999999999998E-7</v>
      </c>
      <c r="T54" s="55">
        <v>9.9999999999999995E-7</v>
      </c>
    </row>
    <row r="55" spans="1:20">
      <c r="A55" s="56">
        <v>100</v>
      </c>
      <c r="B55" s="55">
        <v>9.9999999999999995E-7</v>
      </c>
      <c r="C55" s="55">
        <v>9.9999999999999995E-7</v>
      </c>
      <c r="D55" s="55">
        <v>9.9999999999999995E-7</v>
      </c>
      <c r="E55" s="220">
        <f t="shared" si="21"/>
        <v>0</v>
      </c>
      <c r="F55" s="55">
        <v>9.9999999999999995E-7</v>
      </c>
      <c r="H55" s="56">
        <v>100</v>
      </c>
      <c r="I55" s="55">
        <v>9.9999999999999995E-7</v>
      </c>
      <c r="J55" s="55">
        <v>9.9999999999999995E-7</v>
      </c>
      <c r="K55" s="55">
        <v>0</v>
      </c>
      <c r="L55" s="220">
        <f t="shared" si="22"/>
        <v>4.9999999999999998E-7</v>
      </c>
      <c r="M55" s="55">
        <v>9.9999999999999995E-7</v>
      </c>
      <c r="O55" s="56">
        <v>100</v>
      </c>
      <c r="P55" s="55">
        <v>9.9999999999999995E-7</v>
      </c>
      <c r="Q55" s="55">
        <v>9.9999999999999995E-7</v>
      </c>
      <c r="R55" s="55">
        <v>0</v>
      </c>
      <c r="S55" s="220">
        <f t="shared" si="23"/>
        <v>4.9999999999999998E-7</v>
      </c>
      <c r="T55" s="55">
        <v>9.9999999999999995E-7</v>
      </c>
    </row>
    <row r="58" spans="1:20" ht="26.25" customHeight="1">
      <c r="A58" s="1401" t="s">
        <v>192</v>
      </c>
      <c r="B58" s="1401"/>
      <c r="C58" s="1401"/>
      <c r="D58" s="1401"/>
      <c r="E58" s="1401"/>
      <c r="F58" s="1401"/>
      <c r="H58" s="1401" t="s">
        <v>193</v>
      </c>
      <c r="I58" s="1401"/>
      <c r="J58" s="1401"/>
      <c r="K58" s="1401"/>
      <c r="L58" s="1401"/>
      <c r="M58" s="1401"/>
      <c r="O58" s="1401" t="s">
        <v>194</v>
      </c>
      <c r="P58" s="1401"/>
      <c r="Q58" s="1401"/>
      <c r="R58" s="1401"/>
      <c r="S58" s="1401"/>
      <c r="T58" s="1401"/>
    </row>
    <row r="59" spans="1:20" ht="15" customHeight="1">
      <c r="A59" s="1436" t="s">
        <v>187</v>
      </c>
      <c r="B59" s="1437"/>
      <c r="C59" s="1437"/>
      <c r="D59" s="1438"/>
      <c r="E59" s="1443" t="s">
        <v>74</v>
      </c>
      <c r="F59" s="1446" t="s">
        <v>176</v>
      </c>
      <c r="H59" s="1436" t="s">
        <v>187</v>
      </c>
      <c r="I59" s="1437"/>
      <c r="J59" s="1437"/>
      <c r="K59" s="1438"/>
      <c r="L59" s="1443" t="s">
        <v>74</v>
      </c>
      <c r="M59" s="1446" t="s">
        <v>176</v>
      </c>
      <c r="O59" s="1436" t="s">
        <v>187</v>
      </c>
      <c r="P59" s="1437"/>
      <c r="Q59" s="1437"/>
      <c r="R59" s="1438"/>
      <c r="S59" s="1443" t="s">
        <v>74</v>
      </c>
      <c r="T59" s="1446" t="s">
        <v>176</v>
      </c>
    </row>
    <row r="60" spans="1:20" ht="13">
      <c r="A60" s="646" t="s">
        <v>188</v>
      </c>
      <c r="B60" s="1439" t="s">
        <v>75</v>
      </c>
      <c r="C60" s="1440"/>
      <c r="D60" s="1441"/>
      <c r="E60" s="1444"/>
      <c r="F60" s="1447"/>
      <c r="H60" s="646" t="s">
        <v>188</v>
      </c>
      <c r="I60" s="1439" t="s">
        <v>75</v>
      </c>
      <c r="J60" s="1440"/>
      <c r="K60" s="1441"/>
      <c r="L60" s="1444"/>
      <c r="M60" s="1447"/>
      <c r="O60" s="646" t="s">
        <v>188</v>
      </c>
      <c r="P60" s="1439" t="s">
        <v>75</v>
      </c>
      <c r="Q60" s="1440"/>
      <c r="R60" s="1441"/>
      <c r="S60" s="1444"/>
      <c r="T60" s="1447"/>
    </row>
    <row r="61" spans="1:20" ht="14">
      <c r="A61" s="647" t="s">
        <v>189</v>
      </c>
      <c r="B61" s="646">
        <v>2019</v>
      </c>
      <c r="C61" s="646">
        <v>2019</v>
      </c>
      <c r="D61" s="646">
        <v>2020</v>
      </c>
      <c r="E61" s="1445"/>
      <c r="F61" s="1448"/>
      <c r="H61" s="647" t="s">
        <v>189</v>
      </c>
      <c r="I61" s="646">
        <v>2019</v>
      </c>
      <c r="J61" s="646">
        <v>2019</v>
      </c>
      <c r="K61" s="646">
        <v>2020</v>
      </c>
      <c r="L61" s="1445"/>
      <c r="M61" s="1448"/>
      <c r="O61" s="647" t="s">
        <v>189</v>
      </c>
      <c r="P61" s="646">
        <v>2019</v>
      </c>
      <c r="Q61" s="646">
        <v>2019</v>
      </c>
      <c r="R61" s="646">
        <v>2020</v>
      </c>
      <c r="S61" s="1445"/>
      <c r="T61" s="1448"/>
    </row>
    <row r="62" spans="1:20">
      <c r="A62" s="177">
        <v>70</v>
      </c>
      <c r="B62" s="55">
        <v>9.9999999999999995E-7</v>
      </c>
      <c r="C62" s="55">
        <v>9.9999999999999995E-7</v>
      </c>
      <c r="D62" s="55">
        <v>9.9999999999999995E-7</v>
      </c>
      <c r="E62" s="220">
        <f t="shared" ref="E62:E63" si="24">0.5*(MAX(B62:D62)-MIN(B62:D62))</f>
        <v>0</v>
      </c>
      <c r="F62" s="55">
        <v>9.9999999999999995E-7</v>
      </c>
      <c r="H62" s="177">
        <v>70</v>
      </c>
      <c r="I62" s="55">
        <v>9.9999999999999995E-7</v>
      </c>
      <c r="J62" s="55">
        <v>9.9999999999999995E-7</v>
      </c>
      <c r="K62" s="55">
        <v>9.9999999999999995E-7</v>
      </c>
      <c r="L62" s="220">
        <f t="shared" ref="L62:L63" si="25">0.5*(MAX(I62:K62)-MIN(I62:K62))</f>
        <v>0</v>
      </c>
      <c r="M62" s="55">
        <v>9.9999999999999995E-7</v>
      </c>
      <c r="O62" s="177">
        <v>70</v>
      </c>
      <c r="P62" s="55">
        <v>9.9999999999999995E-7</v>
      </c>
      <c r="Q62" s="55">
        <v>9.9999999999999995E-7</v>
      </c>
      <c r="R62" s="55">
        <v>9.9999999999999995E-7</v>
      </c>
      <c r="S62" s="220">
        <f t="shared" ref="S62:S63" si="26">0.5*(MAX(P62:R62)-MIN(P62:R62))</f>
        <v>0</v>
      </c>
      <c r="T62" s="55">
        <v>9.9999999999999995E-7</v>
      </c>
    </row>
    <row r="63" spans="1:20" ht="15" customHeight="1">
      <c r="A63" s="177">
        <v>85</v>
      </c>
      <c r="B63" s="55">
        <v>9.9999999999999995E-7</v>
      </c>
      <c r="C63" s="55">
        <v>9.9999999999999995E-7</v>
      </c>
      <c r="D63" s="55">
        <v>9.9999999999999995E-7</v>
      </c>
      <c r="E63" s="220">
        <f t="shared" si="24"/>
        <v>0</v>
      </c>
      <c r="F63" s="55">
        <v>9.9999999999999995E-7</v>
      </c>
      <c r="H63" s="177">
        <v>85</v>
      </c>
      <c r="I63" s="55">
        <v>9.9999999999999995E-7</v>
      </c>
      <c r="J63" s="55">
        <v>9.9999999999999995E-7</v>
      </c>
      <c r="K63" s="55">
        <v>9.9999999999999995E-7</v>
      </c>
      <c r="L63" s="220">
        <f t="shared" si="25"/>
        <v>0</v>
      </c>
      <c r="M63" s="55">
        <v>9.9999999999999995E-7</v>
      </c>
      <c r="O63" s="177">
        <v>85</v>
      </c>
      <c r="P63" s="55">
        <v>9.9999999999999995E-7</v>
      </c>
      <c r="Q63" s="55">
        <v>9.9999999999999995E-7</v>
      </c>
      <c r="R63" s="55">
        <v>9.9999999999999995E-7</v>
      </c>
      <c r="S63" s="220">
        <f t="shared" si="26"/>
        <v>0</v>
      </c>
      <c r="T63" s="55">
        <v>9.9999999999999995E-7</v>
      </c>
    </row>
    <row r="64" spans="1:20">
      <c r="A64" s="56">
        <v>90</v>
      </c>
      <c r="B64" s="55">
        <v>9.9999999999999995E-7</v>
      </c>
      <c r="C64" s="55">
        <v>9.9999999999999995E-7</v>
      </c>
      <c r="D64" s="55">
        <v>9.9999999999999995E-7</v>
      </c>
      <c r="E64" s="220">
        <f>0.5*(MAX(B64:D64)-MIN(B64:D64))</f>
        <v>0</v>
      </c>
      <c r="F64" s="55">
        <v>9.9999999999999995E-7</v>
      </c>
      <c r="H64" s="56">
        <v>90</v>
      </c>
      <c r="I64" s="55">
        <v>9.9999999999999995E-7</v>
      </c>
      <c r="J64" s="55">
        <v>9.9999999999999995E-7</v>
      </c>
      <c r="K64" s="55">
        <v>9.9999999999999995E-7</v>
      </c>
      <c r="L64" s="220">
        <f>0.5*(MAX(I64:K64)-MIN(I64:K64))</f>
        <v>0</v>
      </c>
      <c r="M64" s="55">
        <v>9.9999999999999995E-7</v>
      </c>
      <c r="O64" s="56">
        <v>90</v>
      </c>
      <c r="P64" s="55">
        <v>9.9999999999999995E-7</v>
      </c>
      <c r="Q64" s="55">
        <v>9.9999999999999995E-7</v>
      </c>
      <c r="R64" s="55">
        <v>9.9999999999999995E-7</v>
      </c>
      <c r="S64" s="220">
        <f>0.5*(MAX(P64:R64)-MIN(P64:R64))</f>
        <v>0</v>
      </c>
      <c r="T64" s="55">
        <v>9.9999999999999995E-7</v>
      </c>
    </row>
    <row r="65" spans="1:20">
      <c r="A65" s="56">
        <v>95</v>
      </c>
      <c r="B65" s="55">
        <v>9.9999999999999995E-7</v>
      </c>
      <c r="C65" s="55">
        <v>9.9999999999999995E-7</v>
      </c>
      <c r="D65" s="55">
        <v>9.9999999999999995E-7</v>
      </c>
      <c r="E65" s="220">
        <f t="shared" ref="E65:E69" si="27">0.5*(MAX(B65:D65)-MIN(B65:D65))</f>
        <v>0</v>
      </c>
      <c r="F65" s="55">
        <v>9.9999999999999995E-7</v>
      </c>
      <c r="H65" s="56">
        <v>95</v>
      </c>
      <c r="I65" s="55">
        <v>9.9999999999999995E-7</v>
      </c>
      <c r="J65" s="55">
        <v>9.9999999999999995E-7</v>
      </c>
      <c r="K65" s="55">
        <v>9.9999999999999995E-7</v>
      </c>
      <c r="L65" s="220">
        <f t="shared" ref="L65:L69" si="28">0.5*(MAX(I65:K65)-MIN(I65:K65))</f>
        <v>0</v>
      </c>
      <c r="M65" s="55">
        <v>9.9999999999999995E-7</v>
      </c>
      <c r="O65" s="56">
        <v>95</v>
      </c>
      <c r="P65" s="55">
        <v>9.9999999999999995E-7</v>
      </c>
      <c r="Q65" s="55">
        <v>9.9999999999999995E-7</v>
      </c>
      <c r="R65" s="55">
        <v>9.9999999999999995E-7</v>
      </c>
      <c r="S65" s="220">
        <f t="shared" ref="S65:S69" si="29">0.5*(MAX(P65:R65)-MIN(P65:R65))</f>
        <v>0</v>
      </c>
      <c r="T65" s="55">
        <v>9.9999999999999995E-7</v>
      </c>
    </row>
    <row r="66" spans="1:20">
      <c r="A66" s="56">
        <v>97</v>
      </c>
      <c r="B66" s="55">
        <v>9.9999999999999995E-7</v>
      </c>
      <c r="C66" s="55">
        <v>9.9999999999999995E-7</v>
      </c>
      <c r="D66" s="55">
        <v>9.9999999999999995E-7</v>
      </c>
      <c r="E66" s="220">
        <f t="shared" si="27"/>
        <v>0</v>
      </c>
      <c r="F66" s="55">
        <v>9.9999999999999995E-7</v>
      </c>
      <c r="H66" s="56">
        <v>97</v>
      </c>
      <c r="I66" s="55">
        <v>9.9999999999999995E-7</v>
      </c>
      <c r="J66" s="55">
        <v>9.9999999999999995E-7</v>
      </c>
      <c r="K66" s="55">
        <v>9.9999999999999995E-7</v>
      </c>
      <c r="L66" s="220">
        <f t="shared" si="28"/>
        <v>0</v>
      </c>
      <c r="M66" s="55">
        <v>9.9999999999999995E-7</v>
      </c>
      <c r="O66" s="56">
        <v>97</v>
      </c>
      <c r="P66" s="55">
        <v>9.9999999999999995E-7</v>
      </c>
      <c r="Q66" s="55">
        <v>9.9999999999999995E-7</v>
      </c>
      <c r="R66" s="55">
        <v>9.9999999999999995E-7</v>
      </c>
      <c r="S66" s="220">
        <f t="shared" si="29"/>
        <v>0</v>
      </c>
      <c r="T66" s="55">
        <v>9.9999999999999995E-7</v>
      </c>
    </row>
    <row r="67" spans="1:20">
      <c r="A67" s="56">
        <v>98</v>
      </c>
      <c r="B67" s="55">
        <v>9.9999999999999995E-7</v>
      </c>
      <c r="C67" s="55">
        <v>9.9999999999999995E-7</v>
      </c>
      <c r="D67" s="55">
        <v>9.9999999999999995E-7</v>
      </c>
      <c r="E67" s="220">
        <f t="shared" si="27"/>
        <v>0</v>
      </c>
      <c r="F67" s="55">
        <v>9.9999999999999995E-7</v>
      </c>
      <c r="H67" s="56">
        <v>98</v>
      </c>
      <c r="I67" s="55">
        <v>9.9999999999999995E-7</v>
      </c>
      <c r="J67" s="55">
        <v>9.9999999999999995E-7</v>
      </c>
      <c r="K67" s="55">
        <v>9.9999999999999995E-7</v>
      </c>
      <c r="L67" s="220">
        <f t="shared" si="28"/>
        <v>0</v>
      </c>
      <c r="M67" s="55">
        <v>9.9999999999999995E-7</v>
      </c>
      <c r="O67" s="56">
        <v>98</v>
      </c>
      <c r="P67" s="55">
        <v>9.9999999999999995E-7</v>
      </c>
      <c r="Q67" s="55">
        <v>9.9999999999999995E-7</v>
      </c>
      <c r="R67" s="55">
        <v>9.9999999999999995E-7</v>
      </c>
      <c r="S67" s="220">
        <f t="shared" si="29"/>
        <v>0</v>
      </c>
      <c r="T67" s="55">
        <v>9.9999999999999995E-7</v>
      </c>
    </row>
    <row r="68" spans="1:20">
      <c r="A68" s="56">
        <v>99</v>
      </c>
      <c r="B68" s="55">
        <v>9.9999999999999995E-7</v>
      </c>
      <c r="C68" s="55">
        <v>9.9999999999999995E-7</v>
      </c>
      <c r="D68" s="55">
        <v>9.9999999999999995E-7</v>
      </c>
      <c r="E68" s="220">
        <f t="shared" si="27"/>
        <v>0</v>
      </c>
      <c r="F68" s="55">
        <v>9.9999999999999995E-7</v>
      </c>
      <c r="H68" s="56">
        <v>99</v>
      </c>
      <c r="I68" s="55">
        <v>9.9999999999999995E-7</v>
      </c>
      <c r="J68" s="55">
        <v>9.9999999999999995E-7</v>
      </c>
      <c r="K68" s="55">
        <v>9.9999999999999995E-7</v>
      </c>
      <c r="L68" s="220">
        <f t="shared" si="28"/>
        <v>0</v>
      </c>
      <c r="M68" s="55">
        <v>9.9999999999999995E-7</v>
      </c>
      <c r="O68" s="56">
        <v>99</v>
      </c>
      <c r="P68" s="55">
        <v>9.9999999999999995E-7</v>
      </c>
      <c r="Q68" s="55">
        <v>9.9999999999999995E-7</v>
      </c>
      <c r="R68" s="55">
        <v>9.9999999999999995E-7</v>
      </c>
      <c r="S68" s="220">
        <f t="shared" si="29"/>
        <v>0</v>
      </c>
      <c r="T68" s="55">
        <v>9.9999999999999995E-7</v>
      </c>
    </row>
    <row r="69" spans="1:20">
      <c r="A69" s="56">
        <v>100</v>
      </c>
      <c r="B69" s="55">
        <v>9.9999999999999995E-7</v>
      </c>
      <c r="C69" s="55">
        <v>9.9999999999999995E-7</v>
      </c>
      <c r="D69" s="55">
        <v>9.9999999999999995E-7</v>
      </c>
      <c r="E69" s="220">
        <f t="shared" si="27"/>
        <v>0</v>
      </c>
      <c r="F69" s="55">
        <v>9.9999999999999995E-7</v>
      </c>
      <c r="H69" s="56">
        <v>100</v>
      </c>
      <c r="I69" s="55">
        <v>9.9999999999999995E-7</v>
      </c>
      <c r="J69" s="55">
        <v>9.9999999999999995E-7</v>
      </c>
      <c r="K69" s="55">
        <v>9.9999999999999995E-7</v>
      </c>
      <c r="L69" s="220">
        <f t="shared" si="28"/>
        <v>0</v>
      </c>
      <c r="M69" s="55">
        <v>9.9999999999999995E-7</v>
      </c>
      <c r="O69" s="56">
        <v>100</v>
      </c>
      <c r="P69" s="55">
        <v>9.9999999999999995E-7</v>
      </c>
      <c r="Q69" s="55">
        <v>9.9999999999999995E-7</v>
      </c>
      <c r="R69" s="55">
        <v>9.9999999999999995E-7</v>
      </c>
      <c r="S69" s="220">
        <f t="shared" si="29"/>
        <v>0</v>
      </c>
      <c r="T69" s="55">
        <v>9.9999999999999995E-7</v>
      </c>
    </row>
    <row r="72" spans="1:20" ht="31.5" customHeight="1">
      <c r="A72" s="1450" t="s">
        <v>195</v>
      </c>
      <c r="B72" s="1450"/>
      <c r="C72" s="1450"/>
      <c r="D72" s="1450"/>
      <c r="E72" s="1450"/>
      <c r="F72" s="1450"/>
      <c r="G72" s="431"/>
      <c r="H72" s="1450" t="s">
        <v>196</v>
      </c>
      <c r="I72" s="1450"/>
      <c r="J72" s="1450"/>
      <c r="K72" s="1450"/>
      <c r="L72" s="1450"/>
      <c r="M72" s="1450"/>
      <c r="N72" s="431"/>
      <c r="O72" s="1450" t="s">
        <v>198</v>
      </c>
      <c r="P72" s="1450"/>
      <c r="Q72" s="1450"/>
      <c r="R72" s="1450"/>
      <c r="S72" s="1450"/>
      <c r="T72" s="1450"/>
    </row>
    <row r="73" spans="1:20" ht="18" customHeight="1">
      <c r="A73" s="1436" t="s">
        <v>187</v>
      </c>
      <c r="B73" s="1437"/>
      <c r="C73" s="1437"/>
      <c r="D73" s="1438"/>
      <c r="E73" s="1443" t="s">
        <v>74</v>
      </c>
      <c r="F73" s="1446" t="s">
        <v>176</v>
      </c>
      <c r="H73" s="1436" t="s">
        <v>187</v>
      </c>
      <c r="I73" s="1437"/>
      <c r="J73" s="1437"/>
      <c r="K73" s="1438"/>
      <c r="L73" s="1443" t="s">
        <v>74</v>
      </c>
      <c r="M73" s="1446" t="s">
        <v>176</v>
      </c>
      <c r="O73" s="1436" t="s">
        <v>187</v>
      </c>
      <c r="P73" s="1437"/>
      <c r="Q73" s="1437"/>
      <c r="R73" s="1438"/>
      <c r="S73" s="1443" t="s">
        <v>74</v>
      </c>
      <c r="T73" s="1446" t="s">
        <v>176</v>
      </c>
    </row>
    <row r="74" spans="1:20" ht="13">
      <c r="A74" s="646" t="s">
        <v>188</v>
      </c>
      <c r="B74" s="1439" t="s">
        <v>75</v>
      </c>
      <c r="C74" s="1440"/>
      <c r="D74" s="1441"/>
      <c r="E74" s="1444"/>
      <c r="F74" s="1447"/>
      <c r="H74" s="646" t="s">
        <v>188</v>
      </c>
      <c r="I74" s="1439" t="s">
        <v>75</v>
      </c>
      <c r="J74" s="1440"/>
      <c r="K74" s="1441"/>
      <c r="L74" s="1444"/>
      <c r="M74" s="1447"/>
      <c r="O74" s="646" t="s">
        <v>188</v>
      </c>
      <c r="P74" s="1439" t="s">
        <v>75</v>
      </c>
      <c r="Q74" s="1440"/>
      <c r="R74" s="1441"/>
      <c r="S74" s="1444"/>
      <c r="T74" s="1447"/>
    </row>
    <row r="75" spans="1:20" ht="14">
      <c r="A75" s="647" t="s">
        <v>189</v>
      </c>
      <c r="B75" s="646">
        <v>2019</v>
      </c>
      <c r="C75" s="646">
        <v>2019</v>
      </c>
      <c r="D75" s="646">
        <v>2020</v>
      </c>
      <c r="E75" s="1445"/>
      <c r="F75" s="1448"/>
      <c r="H75" s="647" t="s">
        <v>189</v>
      </c>
      <c r="I75" s="646">
        <v>2019</v>
      </c>
      <c r="J75" s="646">
        <v>2019</v>
      </c>
      <c r="K75" s="646">
        <v>2020</v>
      </c>
      <c r="L75" s="1445"/>
      <c r="M75" s="1448"/>
      <c r="O75" s="647" t="s">
        <v>189</v>
      </c>
      <c r="P75" s="646">
        <v>2019</v>
      </c>
      <c r="Q75" s="646">
        <v>2019</v>
      </c>
      <c r="R75" s="646">
        <v>2020</v>
      </c>
      <c r="S75" s="1445"/>
      <c r="T75" s="1448"/>
    </row>
    <row r="76" spans="1:20">
      <c r="A76" s="177">
        <v>70</v>
      </c>
      <c r="B76" s="55">
        <v>9.9999999999999995E-7</v>
      </c>
      <c r="C76" s="55">
        <v>9.9999999999999995E-7</v>
      </c>
      <c r="D76" s="55">
        <v>9.9999999999999995E-7</v>
      </c>
      <c r="E76" s="220">
        <f t="shared" ref="E76:E77" si="30">0.5*(MAX(B76:D76)-MIN(B76:D76))</f>
        <v>0</v>
      </c>
      <c r="F76" s="55">
        <v>9.9999999999999995E-7</v>
      </c>
      <c r="H76" s="177">
        <v>70</v>
      </c>
      <c r="I76" s="55">
        <v>9.9999999999999995E-7</v>
      </c>
      <c r="J76" s="55">
        <v>9.9999999999999995E-7</v>
      </c>
      <c r="K76" s="55">
        <v>9.9999999999999995E-7</v>
      </c>
      <c r="L76" s="220">
        <f t="shared" ref="L76:L77" si="31">0.5*(MAX(I76:K76)-MIN(I76:K76))</f>
        <v>0</v>
      </c>
      <c r="M76" s="55">
        <v>9.9999999999999995E-7</v>
      </c>
      <c r="O76" s="177">
        <v>70</v>
      </c>
      <c r="P76" s="55">
        <v>9.9999999999999995E-7</v>
      </c>
      <c r="Q76" s="55">
        <v>9.9999999999999995E-7</v>
      </c>
      <c r="R76" s="55">
        <v>9.9999999999999995E-7</v>
      </c>
      <c r="S76" s="220">
        <f t="shared" ref="S76:S77" si="32">0.5*(MAX(P76:R76)-MIN(P76:R76))</f>
        <v>0</v>
      </c>
      <c r="T76" s="55">
        <v>9.9999999999999995E-7</v>
      </c>
    </row>
    <row r="77" spans="1:20">
      <c r="A77" s="177">
        <v>85</v>
      </c>
      <c r="B77" s="55">
        <v>9.9999999999999995E-7</v>
      </c>
      <c r="C77" s="55">
        <v>9.9999999999999995E-7</v>
      </c>
      <c r="D77" s="55">
        <v>9.9999999999999995E-7</v>
      </c>
      <c r="E77" s="220">
        <f t="shared" si="30"/>
        <v>0</v>
      </c>
      <c r="F77" s="55">
        <v>9.9999999999999995E-7</v>
      </c>
      <c r="H77" s="177">
        <v>85</v>
      </c>
      <c r="I77" s="55">
        <v>9.9999999999999995E-7</v>
      </c>
      <c r="J77" s="55">
        <v>9.9999999999999995E-7</v>
      </c>
      <c r="K77" s="55">
        <v>9.9999999999999995E-7</v>
      </c>
      <c r="L77" s="220">
        <f t="shared" si="31"/>
        <v>0</v>
      </c>
      <c r="M77" s="55">
        <v>9.9999999999999995E-7</v>
      </c>
      <c r="O77" s="177">
        <v>85</v>
      </c>
      <c r="P77" s="55">
        <v>9.9999999999999995E-7</v>
      </c>
      <c r="Q77" s="55">
        <v>9.9999999999999995E-7</v>
      </c>
      <c r="R77" s="55">
        <v>9.9999999999999995E-7</v>
      </c>
      <c r="S77" s="220">
        <f t="shared" si="32"/>
        <v>0</v>
      </c>
      <c r="T77" s="55">
        <v>9.9999999999999995E-7</v>
      </c>
    </row>
    <row r="78" spans="1:20">
      <c r="A78" s="56">
        <v>90</v>
      </c>
      <c r="B78" s="55">
        <v>9.9999999999999995E-7</v>
      </c>
      <c r="C78" s="55">
        <v>9.9999999999999995E-7</v>
      </c>
      <c r="D78" s="55">
        <v>9.9999999999999995E-7</v>
      </c>
      <c r="E78" s="220">
        <f>0.5*(MAX(B78:D78)-MIN(B78:D78))</f>
        <v>0</v>
      </c>
      <c r="F78" s="55">
        <v>9.9999999999999995E-7</v>
      </c>
      <c r="H78" s="56">
        <v>90</v>
      </c>
      <c r="I78" s="55">
        <v>9.9999999999999995E-7</v>
      </c>
      <c r="J78" s="55">
        <v>9.9999999999999995E-7</v>
      </c>
      <c r="K78" s="55">
        <v>9.9999999999999995E-7</v>
      </c>
      <c r="L78" s="220">
        <f>0.5*(MAX(I78:K78)-MIN(I78:K78))</f>
        <v>0</v>
      </c>
      <c r="M78" s="55">
        <v>9.9999999999999995E-7</v>
      </c>
      <c r="O78" s="56">
        <v>90</v>
      </c>
      <c r="P78" s="55">
        <v>9.9999999999999995E-7</v>
      </c>
      <c r="Q78" s="55">
        <v>9.9999999999999995E-7</v>
      </c>
      <c r="R78" s="55">
        <v>9.9999999999999995E-7</v>
      </c>
      <c r="S78" s="220">
        <f>0.5*(MAX(P78:R78)-MIN(P78:R78))</f>
        <v>0</v>
      </c>
      <c r="T78" s="55">
        <v>9.9999999999999995E-7</v>
      </c>
    </row>
    <row r="79" spans="1:20">
      <c r="A79" s="56">
        <v>95</v>
      </c>
      <c r="B79" s="55">
        <v>9.9999999999999995E-7</v>
      </c>
      <c r="C79" s="55">
        <v>9.9999999999999995E-7</v>
      </c>
      <c r="D79" s="55">
        <v>9.9999999999999995E-7</v>
      </c>
      <c r="E79" s="220">
        <f t="shared" ref="E79:E83" si="33">0.5*(MAX(B79:D79)-MIN(B79:D79))</f>
        <v>0</v>
      </c>
      <c r="F79" s="55">
        <v>9.9999999999999995E-7</v>
      </c>
      <c r="H79" s="56">
        <v>95</v>
      </c>
      <c r="I79" s="55">
        <v>9.9999999999999995E-7</v>
      </c>
      <c r="J79" s="55">
        <v>9.9999999999999995E-7</v>
      </c>
      <c r="K79" s="55">
        <v>9.9999999999999995E-7</v>
      </c>
      <c r="L79" s="220">
        <f t="shared" ref="L79:L83" si="34">0.5*(MAX(I79:K79)-MIN(I79:K79))</f>
        <v>0</v>
      </c>
      <c r="M79" s="55">
        <v>9.9999999999999995E-7</v>
      </c>
      <c r="O79" s="56">
        <v>95</v>
      </c>
      <c r="P79" s="55">
        <v>9.9999999999999995E-7</v>
      </c>
      <c r="Q79" s="55">
        <v>9.9999999999999995E-7</v>
      </c>
      <c r="R79" s="55">
        <v>9.9999999999999995E-7</v>
      </c>
      <c r="S79" s="220">
        <f t="shared" ref="S79:S83" si="35">0.5*(MAX(P79:R79)-MIN(P79:R79))</f>
        <v>0</v>
      </c>
      <c r="T79" s="55">
        <v>9.9999999999999995E-7</v>
      </c>
    </row>
    <row r="80" spans="1:20">
      <c r="A80" s="56">
        <v>97</v>
      </c>
      <c r="B80" s="55">
        <v>9.9999999999999995E-7</v>
      </c>
      <c r="C80" s="55">
        <v>9.9999999999999995E-7</v>
      </c>
      <c r="D80" s="55">
        <v>9.9999999999999995E-7</v>
      </c>
      <c r="E80" s="220">
        <f t="shared" si="33"/>
        <v>0</v>
      </c>
      <c r="F80" s="55">
        <v>9.9999999999999995E-7</v>
      </c>
      <c r="H80" s="56">
        <v>97</v>
      </c>
      <c r="I80" s="55">
        <v>9.9999999999999995E-7</v>
      </c>
      <c r="J80" s="55">
        <v>9.9999999999999995E-7</v>
      </c>
      <c r="K80" s="55">
        <v>9.9999999999999995E-7</v>
      </c>
      <c r="L80" s="220">
        <f t="shared" si="34"/>
        <v>0</v>
      </c>
      <c r="M80" s="55">
        <v>9.9999999999999995E-7</v>
      </c>
      <c r="O80" s="56">
        <v>97</v>
      </c>
      <c r="P80" s="55">
        <v>9.9999999999999995E-7</v>
      </c>
      <c r="Q80" s="55">
        <v>9.9999999999999995E-7</v>
      </c>
      <c r="R80" s="55">
        <v>9.9999999999999995E-7</v>
      </c>
      <c r="S80" s="220">
        <f t="shared" si="35"/>
        <v>0</v>
      </c>
      <c r="T80" s="55">
        <v>9.9999999999999995E-7</v>
      </c>
    </row>
    <row r="81" spans="1:24">
      <c r="A81" s="56">
        <v>98</v>
      </c>
      <c r="B81" s="55">
        <v>9.9999999999999995E-7</v>
      </c>
      <c r="C81" s="55">
        <v>9.9999999999999995E-7</v>
      </c>
      <c r="D81" s="55">
        <v>9.9999999999999995E-7</v>
      </c>
      <c r="E81" s="220">
        <f t="shared" si="33"/>
        <v>0</v>
      </c>
      <c r="F81" s="55">
        <v>9.9999999999999995E-7</v>
      </c>
      <c r="H81" s="56">
        <v>98</v>
      </c>
      <c r="I81" s="55">
        <v>9.9999999999999995E-7</v>
      </c>
      <c r="J81" s="55">
        <v>9.9999999999999995E-7</v>
      </c>
      <c r="K81" s="55">
        <v>9.9999999999999995E-7</v>
      </c>
      <c r="L81" s="220">
        <f t="shared" si="34"/>
        <v>0</v>
      </c>
      <c r="M81" s="55">
        <v>9.9999999999999995E-7</v>
      </c>
      <c r="O81" s="56">
        <v>98</v>
      </c>
      <c r="P81" s="55">
        <v>9.9999999999999995E-7</v>
      </c>
      <c r="Q81" s="55">
        <v>9.9999999999999995E-7</v>
      </c>
      <c r="R81" s="55">
        <v>9.9999999999999995E-7</v>
      </c>
      <c r="S81" s="220">
        <f t="shared" si="35"/>
        <v>0</v>
      </c>
      <c r="T81" s="55">
        <v>9.9999999999999995E-7</v>
      </c>
    </row>
    <row r="82" spans="1:24">
      <c r="A82" s="56">
        <v>99</v>
      </c>
      <c r="B82" s="55">
        <v>9.9999999999999995E-7</v>
      </c>
      <c r="C82" s="55">
        <v>9.9999999999999995E-7</v>
      </c>
      <c r="D82" s="55">
        <v>9.9999999999999995E-7</v>
      </c>
      <c r="E82" s="220">
        <f t="shared" si="33"/>
        <v>0</v>
      </c>
      <c r="F82" s="55">
        <v>9.9999999999999995E-7</v>
      </c>
      <c r="H82" s="56">
        <v>99</v>
      </c>
      <c r="I82" s="55">
        <v>9.9999999999999995E-7</v>
      </c>
      <c r="J82" s="55">
        <v>9.9999999999999995E-7</v>
      </c>
      <c r="K82" s="55">
        <v>9.9999999999999995E-7</v>
      </c>
      <c r="L82" s="220">
        <f t="shared" si="34"/>
        <v>0</v>
      </c>
      <c r="M82" s="55">
        <v>9.9999999999999995E-7</v>
      </c>
      <c r="O82" s="56">
        <v>99</v>
      </c>
      <c r="P82" s="55">
        <v>9.9999999999999995E-7</v>
      </c>
      <c r="Q82" s="55">
        <v>9.9999999999999995E-7</v>
      </c>
      <c r="R82" s="55">
        <v>9.9999999999999995E-7</v>
      </c>
      <c r="S82" s="220">
        <f t="shared" si="35"/>
        <v>0</v>
      </c>
      <c r="T82" s="55">
        <v>9.9999999999999995E-7</v>
      </c>
    </row>
    <row r="83" spans="1:24">
      <c r="A83" s="56">
        <v>100</v>
      </c>
      <c r="B83" s="55">
        <v>9.9999999999999995E-7</v>
      </c>
      <c r="C83" s="55">
        <v>9.9999999999999995E-7</v>
      </c>
      <c r="D83" s="55">
        <v>9.9999999999999995E-7</v>
      </c>
      <c r="E83" s="220">
        <f t="shared" si="33"/>
        <v>0</v>
      </c>
      <c r="F83" s="55">
        <v>9.9999999999999995E-7</v>
      </c>
      <c r="H83" s="56">
        <v>100</v>
      </c>
      <c r="I83" s="55">
        <v>9.9999999999999995E-7</v>
      </c>
      <c r="J83" s="55">
        <v>9.9999999999999995E-7</v>
      </c>
      <c r="K83" s="55">
        <v>9.9999999999999995E-7</v>
      </c>
      <c r="L83" s="220">
        <f t="shared" si="34"/>
        <v>0</v>
      </c>
      <c r="M83" s="55">
        <v>9.9999999999999995E-7</v>
      </c>
      <c r="O83" s="56">
        <v>100</v>
      </c>
      <c r="P83" s="55">
        <v>9.9999999999999995E-7</v>
      </c>
      <c r="Q83" s="55">
        <v>9.9999999999999995E-7</v>
      </c>
      <c r="R83" s="55">
        <v>9.9999999999999995E-7</v>
      </c>
      <c r="S83" s="220">
        <f t="shared" si="35"/>
        <v>0</v>
      </c>
      <c r="T83" s="55">
        <v>9.9999999999999995E-7</v>
      </c>
    </row>
    <row r="92" spans="1:24" ht="21.5" thickBot="1">
      <c r="U92" s="461" t="s">
        <v>354</v>
      </c>
    </row>
    <row r="93" spans="1:24" ht="39" customHeight="1">
      <c r="A93" s="1458" t="str">
        <f>IF($A$113=$A$114,A2,IF($A$113=$A$115,H2,IF($A$113=$A$116,O2,IF($A$113=$A$117,A16,IF($A$113=$A$118,H16,IF($A$113=$A$119,O16,IF($A$113=$A$120,A30,IF($A$113=$A$121,H30,IF($A$113=$A$122,O30,IF($A$113=$A$123,A44,IF($A$113=$A$124,H44,IF($A$113=$A$125,O44,IF($A$113=$A$126,A58,IF($A$113=$A$127,H58,IF($A$113=$A$128,O58,IF($A$113=$A$129,A72,IF($A$113=$A$130,H72,O72)))))))))))))))))</f>
        <v>Vital Sign Simulator, Merek : Fluke Biomedical, Model : Prosim 8, SN : 3217028</v>
      </c>
      <c r="B93" s="1459"/>
      <c r="C93" s="1459"/>
      <c r="D93" s="1459"/>
      <c r="E93" s="1459"/>
      <c r="F93" s="1460"/>
      <c r="K93" s="460" t="s">
        <v>134</v>
      </c>
      <c r="L93" s="460" t="s">
        <v>356</v>
      </c>
      <c r="M93" s="461" t="s">
        <v>354</v>
      </c>
      <c r="N93" s="462" t="s">
        <v>350</v>
      </c>
      <c r="O93" s="462" t="s">
        <v>351</v>
      </c>
      <c r="P93" s="461" t="s">
        <v>353</v>
      </c>
      <c r="Q93" s="460" t="s">
        <v>259</v>
      </c>
      <c r="R93" s="481" t="s">
        <v>25</v>
      </c>
      <c r="S93" s="481" t="s">
        <v>355</v>
      </c>
      <c r="U93" s="1242"/>
      <c r="V93" s="1243">
        <f>IF(U94&lt;=A97,A96,IF(U94&lt;=A98,A97,IF(U94&lt;=A99,A198,IF(U94&lt;=A100,A99,IF(U94&lt;=A101,A100,IF(U94&lt;=A102,A101,IF(U94&lt;=A103,A102,IF(U94&lt;=A104,A103))))))))</f>
        <v>0</v>
      </c>
      <c r="W93" s="1242"/>
      <c r="X93" s="1243">
        <f>IF(U94&lt;=A98,B97,IF(U94&lt;=A99,B98,IF(U94&lt;=A100,B99)))</f>
        <v>9.9999999999999995E-7</v>
      </c>
    </row>
    <row r="94" spans="1:24" ht="25">
      <c r="A94" s="1461" t="str">
        <f t="shared" ref="A94:A104" si="36">IF($A$113=$A$114,A3,IF($A$113=$A$115,H3,IF($A$113=$A$116,O3,IF($A$113=$A$117,A17,IF($A$113=$A$118,H17,IF($A$113=$A$119,O17,IF($A$113=$A$120,A31,IF($A$113=$A$121,H31,IF($A$113=$A$122,O31,IF($A$113=$A$123,A45,IF($A$113=$A$124,H45,IF($A$113=$A$125,O45,IF($A$113=$A$126,A59,IF($A$113=$A$127,H59,IF($A$113=$A$128,O59,IF($A$113=$A$129,A73,IF($A$113=$A$130,H73,O73)))))))))))))))))</f>
        <v xml:space="preserve"> KOREKSI SPO2 SIMULATOR</v>
      </c>
      <c r="B94" s="1449"/>
      <c r="C94" s="1449"/>
      <c r="D94" s="1449"/>
      <c r="E94" s="1017" t="str">
        <f t="shared" ref="B94:F105" si="37">IF($A$113=$A$114,E3,IF($A$113=$A$115,L3,IF($A$113=$A$116,S3,IF($A$113=$A$117,E17,IF($A$113=$A$118,L17,IF($A$113=$A$119,S17,IF($A$113=$A$120,E31,IF($A$113=$A$121,L31,IF($A$113=$A$122,S31,IF($A$113=$A$123,E45,IF($A$113=$A$124,L45,IF($A$113=$A$125,S45,IF($A$113=$A$126,E59,IF($A$113=$A$127,L59,IF($A$113=$A$128,S59,IF($A$113=$A$129,E73,IF($A$113=$A$130,L73,S73)))))))))))))))))</f>
        <v>DRIFT</v>
      </c>
      <c r="F94" s="1157" t="str">
        <f t="shared" si="37"/>
        <v>U95    STD</v>
      </c>
      <c r="K94" s="1166">
        <f>ID!D44</f>
        <v>90</v>
      </c>
      <c r="L94" s="1167">
        <f>ID!K44</f>
        <v>90</v>
      </c>
      <c r="M94" s="1167"/>
      <c r="N94" s="1167">
        <f>W94</f>
        <v>9.9999999999999995E-7</v>
      </c>
      <c r="O94" s="1167">
        <f>W94</f>
        <v>9.9999999999999995E-7</v>
      </c>
      <c r="P94" s="1167">
        <f>ID!M44</f>
        <v>0</v>
      </c>
      <c r="Q94" s="1167">
        <f>L94+W94</f>
        <v>90.000000999999997</v>
      </c>
      <c r="R94" s="579">
        <f>K94-Q94</f>
        <v>-9.9999999747524271E-7</v>
      </c>
      <c r="S94" s="1168">
        <f>Budget!V50</f>
        <v>0.57982691537132647</v>
      </c>
      <c r="U94" s="1244">
        <f>L94</f>
        <v>90</v>
      </c>
      <c r="V94" s="1242"/>
      <c r="W94" s="1245">
        <f>((U94-V93)/(V95-V93)*(X95-X93)+X93)</f>
        <v>9.9999999999999995E-7</v>
      </c>
      <c r="X94" s="1242"/>
    </row>
    <row r="95" spans="1:24" ht="15" customHeight="1">
      <c r="A95" s="1158" t="str">
        <f t="shared" si="36"/>
        <v>Setting SPO2</v>
      </c>
      <c r="B95" s="1449" t="str">
        <f t="shared" si="37"/>
        <v>Tahun</v>
      </c>
      <c r="C95" s="1449"/>
      <c r="D95" s="1449"/>
      <c r="E95" s="1017"/>
      <c r="F95" s="1157"/>
      <c r="K95" s="1166">
        <f>ID!D45</f>
        <v>95</v>
      </c>
      <c r="L95" s="1167">
        <f>ID!K45</f>
        <v>95</v>
      </c>
      <c r="M95" s="1167"/>
      <c r="N95" s="1167">
        <f>W98</f>
        <v>9.9999999999999995E-7</v>
      </c>
      <c r="O95" s="1167">
        <f>W98</f>
        <v>9.9999999999999995E-7</v>
      </c>
      <c r="P95" s="1167">
        <f>ID!M45</f>
        <v>0</v>
      </c>
      <c r="Q95" s="1167">
        <f>L95+W98</f>
        <v>95.000000999999997</v>
      </c>
      <c r="R95" s="579">
        <f t="shared" ref="R95:R98" si="38">K95-Q95</f>
        <v>-9.9999999747524271E-7</v>
      </c>
      <c r="S95" s="1168">
        <f>Budget!V61</f>
        <v>0.57982691537132647</v>
      </c>
      <c r="U95" s="1242"/>
      <c r="V95" s="1243">
        <f>IF(U94&lt;=A97,A97,IF(U94&lt;=A98,A98,IF(U94&lt;=A99,A99,IF(U94&lt;=A100,A100,IF(U94&lt;=A101,101,IF(U94&lt;=A102,A102,IF(U94&lt;=A103,A103,IF(U94&lt;=A104,A104))))))))</f>
        <v>90</v>
      </c>
      <c r="W95" s="1242"/>
      <c r="X95" s="1243">
        <f>IF(U94&lt;=A98,B98,IF(U94&lt;=A99,B99,IF(U94&lt;=A100,B100)))</f>
        <v>9.9999999999999995E-7</v>
      </c>
    </row>
    <row r="96" spans="1:24">
      <c r="A96" s="1158" t="str">
        <f t="shared" si="36"/>
        <v>( % )</v>
      </c>
      <c r="B96" s="1017">
        <f t="shared" si="37"/>
        <v>2014</v>
      </c>
      <c r="C96" s="1017">
        <f t="shared" si="37"/>
        <v>2014</v>
      </c>
      <c r="D96" s="1017">
        <f t="shared" si="37"/>
        <v>2015</v>
      </c>
      <c r="E96" s="1017"/>
      <c r="F96" s="1157"/>
      <c r="K96" s="1166">
        <f>ID!D46</f>
        <v>98</v>
      </c>
      <c r="L96" s="1167">
        <f>ID!K46</f>
        <v>98</v>
      </c>
      <c r="M96" s="1167"/>
      <c r="N96" s="1167">
        <f>W102</f>
        <v>9.9999999999999995E-7</v>
      </c>
      <c r="O96" s="1167">
        <f>W102</f>
        <v>9.9999999999999995E-7</v>
      </c>
      <c r="P96" s="1167">
        <f>ID!M46</f>
        <v>0</v>
      </c>
      <c r="Q96" s="1167">
        <f>L96+W102</f>
        <v>98.000000999999997</v>
      </c>
      <c r="R96" s="579">
        <f t="shared" si="38"/>
        <v>-9.9999999747524271E-7</v>
      </c>
      <c r="S96" s="1168">
        <f>Budget!V134</f>
        <v>0.57982691537132647</v>
      </c>
    </row>
    <row r="97" spans="1:24">
      <c r="A97" s="1162">
        <f t="shared" si="36"/>
        <v>70</v>
      </c>
      <c r="B97" s="1165">
        <f t="shared" si="37"/>
        <v>9.9999999999999995E-7</v>
      </c>
      <c r="C97" s="1165">
        <f t="shared" si="37"/>
        <v>9.9999999999999995E-7</v>
      </c>
      <c r="D97" s="1165">
        <f t="shared" si="37"/>
        <v>9.9999999999999995E-7</v>
      </c>
      <c r="E97" s="1163">
        <f t="shared" si="37"/>
        <v>0</v>
      </c>
      <c r="F97" s="1164">
        <f t="shared" si="37"/>
        <v>9.9999999999999995E-7</v>
      </c>
      <c r="K97" s="1166">
        <f>ID!D47</f>
        <v>99</v>
      </c>
      <c r="L97" s="1167">
        <f>ID!K47</f>
        <v>99</v>
      </c>
      <c r="M97" s="1167"/>
      <c r="N97" s="1167">
        <f>W106</f>
        <v>9.9999999999999995E-7</v>
      </c>
      <c r="O97" s="1167">
        <f>W106</f>
        <v>9.9999999999999995E-7</v>
      </c>
      <c r="P97" s="1167">
        <f>ID!M47</f>
        <v>0</v>
      </c>
      <c r="Q97" s="1167">
        <f>L97+W105</f>
        <v>99</v>
      </c>
      <c r="R97" s="579">
        <f t="shared" si="38"/>
        <v>0</v>
      </c>
      <c r="S97" s="1168">
        <f>Budget!V146</f>
        <v>0.57982691537132647</v>
      </c>
      <c r="U97" s="1242"/>
      <c r="V97" s="1243">
        <f>IF(U94&lt;=A97,A96,IF(U94&lt;=A98,A97,IF(U94&lt;=A99,A198,IF(U94&lt;=A100,A99,IF(U94&lt;=A101,A100,IF(U94&lt;=A102,A101,IF(U94&lt;=A103,A102,IF(U94&lt;=A104,A103))))))))</f>
        <v>0</v>
      </c>
      <c r="W97" s="1242"/>
      <c r="X97" s="1243">
        <f>IF(U94&lt;=A99,B98,IF(U94&lt;=A100,B99,IF(U94&lt;=A101,B100)))</f>
        <v>9.9999999999999995E-7</v>
      </c>
    </row>
    <row r="98" spans="1:24">
      <c r="A98" s="1162">
        <f t="shared" si="36"/>
        <v>85</v>
      </c>
      <c r="B98" s="1165">
        <f t="shared" si="37"/>
        <v>9.9999999999999995E-7</v>
      </c>
      <c r="C98" s="1165">
        <f t="shared" si="37"/>
        <v>9.9999999999999995E-7</v>
      </c>
      <c r="D98" s="1165">
        <f t="shared" si="37"/>
        <v>9.9999999999999995E-7</v>
      </c>
      <c r="E98" s="1163">
        <f t="shared" si="37"/>
        <v>0</v>
      </c>
      <c r="F98" s="1164">
        <f t="shared" si="37"/>
        <v>9.9999999999999995E-7</v>
      </c>
      <c r="K98" s="1166">
        <f>ID!D48</f>
        <v>100</v>
      </c>
      <c r="L98" s="1167">
        <f>ID!K48</f>
        <v>100</v>
      </c>
      <c r="M98" s="1167"/>
      <c r="N98" s="1167">
        <f>W110</f>
        <v>9.9999999999999995E-7</v>
      </c>
      <c r="O98" s="1167">
        <f>W110</f>
        <v>9.9999999999999995E-7</v>
      </c>
      <c r="P98" s="1167">
        <f>ID!M48</f>
        <v>0</v>
      </c>
      <c r="Q98" s="1167">
        <f>L98+W110</f>
        <v>100.000001</v>
      </c>
      <c r="R98" s="579">
        <f t="shared" si="38"/>
        <v>-9.9999999747524271E-7</v>
      </c>
      <c r="S98" s="1168">
        <f>Budget!V72</f>
        <v>0.57982691537132647</v>
      </c>
      <c r="U98" s="1244">
        <f>L95</f>
        <v>95</v>
      </c>
      <c r="V98" s="1242"/>
      <c r="W98" s="1245">
        <f>((U98-V97)/(V99-V97)*(X99-X97)+X97)</f>
        <v>9.9999999999999995E-7</v>
      </c>
      <c r="X98" s="1242"/>
    </row>
    <row r="99" spans="1:24">
      <c r="A99" s="1162">
        <f t="shared" si="36"/>
        <v>90</v>
      </c>
      <c r="B99" s="1165">
        <f t="shared" si="37"/>
        <v>9.9999999999999995E-7</v>
      </c>
      <c r="C99" s="1165">
        <f t="shared" si="37"/>
        <v>9.9999999999999995E-7</v>
      </c>
      <c r="D99" s="1165">
        <f t="shared" si="37"/>
        <v>9.9999999999999995E-7</v>
      </c>
      <c r="E99" s="1163">
        <f t="shared" si="37"/>
        <v>0</v>
      </c>
      <c r="F99" s="1164">
        <f t="shared" si="37"/>
        <v>9.9999999999999995E-7</v>
      </c>
      <c r="K99" s="1169"/>
      <c r="L99" s="1170"/>
      <c r="M99" s="1170"/>
      <c r="N99" s="1170"/>
      <c r="O99" s="1170"/>
      <c r="P99" s="1170"/>
      <c r="Q99" s="1170"/>
      <c r="R99" s="1170"/>
      <c r="S99" s="1170"/>
      <c r="U99" s="1242"/>
      <c r="V99" s="1243">
        <f>IF(U98&lt;=A97,A97,IF(U98&lt;=A98,A98,IF(U98&lt;=A99,A99,IF(U98&lt;=A100,A100,IF(U98&lt;=A101,101,IF(U98&lt;=A102,A102,IF(U98&lt;=A103,A103,IF(U98&lt;=A104,A104))))))))</f>
        <v>95</v>
      </c>
      <c r="W99" s="1242"/>
      <c r="X99" s="1243">
        <f>IF(U94&lt;=A99,B99,IF(U94&lt;=A100,B100,IF(U94&lt;=A101,B101)))</f>
        <v>9.9999999999999995E-7</v>
      </c>
    </row>
    <row r="100" spans="1:24">
      <c r="A100" s="1162">
        <f t="shared" si="36"/>
        <v>95</v>
      </c>
      <c r="B100" s="1165">
        <f t="shared" si="37"/>
        <v>9.9999999999999995E-7</v>
      </c>
      <c r="C100" s="1165">
        <f t="shared" si="37"/>
        <v>9.9999999999999995E-7</v>
      </c>
      <c r="D100" s="1165">
        <f t="shared" si="37"/>
        <v>9.9999999999999995E-7</v>
      </c>
      <c r="E100" s="1163">
        <f t="shared" si="37"/>
        <v>0</v>
      </c>
      <c r="F100" s="1164">
        <f t="shared" si="37"/>
        <v>9.9999999999999995E-7</v>
      </c>
      <c r="K100" s="1169"/>
      <c r="L100" s="1170"/>
      <c r="M100" s="1170"/>
      <c r="N100" s="1170"/>
      <c r="O100" s="1170"/>
      <c r="P100" s="1170"/>
      <c r="Q100" s="1170"/>
      <c r="R100" s="1170"/>
      <c r="S100" s="1170"/>
    </row>
    <row r="101" spans="1:24">
      <c r="A101" s="1162">
        <f t="shared" si="36"/>
        <v>97</v>
      </c>
      <c r="B101" s="1165">
        <f t="shared" si="37"/>
        <v>9.9999999999999995E-7</v>
      </c>
      <c r="C101" s="1165">
        <f t="shared" si="37"/>
        <v>9.9999999999999995E-7</v>
      </c>
      <c r="D101" s="1165">
        <f t="shared" si="37"/>
        <v>9.9999999999999995E-7</v>
      </c>
      <c r="E101" s="1163">
        <f t="shared" si="37"/>
        <v>0</v>
      </c>
      <c r="F101" s="1164">
        <f t="shared" si="37"/>
        <v>9.9999999999999995E-7</v>
      </c>
      <c r="U101" s="1242"/>
      <c r="V101" s="1243">
        <f>IF(U94&lt;=A97,A96,IF(U94&lt;=A98,A97,IF(U94&lt;=A99,A198,IF(U94&lt;=A100,A99,IF(U94&lt;=A101,A100,IF(U94&lt;=A102,A101,IF(U94&lt;=A103,A102,IF(U94&lt;=A104,A103))))))))</f>
        <v>0</v>
      </c>
      <c r="W101" s="1242"/>
      <c r="X101" s="1243">
        <f>IF(U94&lt;=A100,B99,IF(U94&lt;=A101,B100,IF(U94&lt;=A102,B101)))</f>
        <v>9.9999999999999995E-7</v>
      </c>
    </row>
    <row r="102" spans="1:24">
      <c r="A102" s="1162">
        <f t="shared" si="36"/>
        <v>98</v>
      </c>
      <c r="B102" s="1165">
        <f t="shared" si="37"/>
        <v>9.9999999999999995E-7</v>
      </c>
      <c r="C102" s="1165">
        <f t="shared" si="37"/>
        <v>9.9999999999999995E-7</v>
      </c>
      <c r="D102" s="1165">
        <f t="shared" si="37"/>
        <v>9.9999999999999995E-7</v>
      </c>
      <c r="E102" s="1163">
        <f t="shared" si="37"/>
        <v>0</v>
      </c>
      <c r="F102" s="1164">
        <f t="shared" si="37"/>
        <v>9.9999999999999995E-7</v>
      </c>
      <c r="U102" s="1244">
        <f>L96</f>
        <v>98</v>
      </c>
      <c r="V102" s="1242"/>
      <c r="W102" s="1245">
        <f>((U102-V101)/(V103-V101)*(X103-X101)+X101)</f>
        <v>9.9999999999999995E-7</v>
      </c>
      <c r="X102" s="1242"/>
    </row>
    <row r="103" spans="1:24">
      <c r="A103" s="1162">
        <f t="shared" si="36"/>
        <v>99</v>
      </c>
      <c r="B103" s="1165">
        <f t="shared" si="37"/>
        <v>9.9999999999999995E-7</v>
      </c>
      <c r="C103" s="1165">
        <f t="shared" si="37"/>
        <v>9.9999999999999995E-7</v>
      </c>
      <c r="D103" s="1165">
        <f t="shared" si="37"/>
        <v>9.9999999999999995E-7</v>
      </c>
      <c r="E103" s="1163">
        <f t="shared" si="37"/>
        <v>0</v>
      </c>
      <c r="F103" s="1164">
        <f t="shared" si="37"/>
        <v>9.9999999999999995E-7</v>
      </c>
      <c r="U103" s="1242"/>
      <c r="V103" s="1243">
        <f>IF(U102&lt;=A97,A97,IF(U102&lt;=A98,A98,IF(U102&lt;=A99,A99,IF(U102&lt;=A100,A100,IF(U102&lt;=A101,101,IF(U102&lt;=A102,A102,IF(U102&lt;=A103,A103,IF(U102&lt;=A104,A104))))))))</f>
        <v>98</v>
      </c>
      <c r="W103" s="1242"/>
      <c r="X103" s="1243">
        <f>IF(U94&lt;=A101,B101,IF(U94&lt;=A102,B102,IF(U94&lt;=A103,B103)))</f>
        <v>9.9999999999999995E-7</v>
      </c>
    </row>
    <row r="104" spans="1:24">
      <c r="A104" s="1162">
        <f t="shared" si="36"/>
        <v>100</v>
      </c>
      <c r="B104" s="1165">
        <f t="shared" si="37"/>
        <v>9.9999999999999995E-7</v>
      </c>
      <c r="C104" s="1165">
        <f t="shared" si="37"/>
        <v>9.9999999999999995E-7</v>
      </c>
      <c r="D104" s="1165">
        <f t="shared" si="37"/>
        <v>9.9999999999999995E-7</v>
      </c>
      <c r="E104" s="1163">
        <f t="shared" si="37"/>
        <v>0</v>
      </c>
      <c r="F104" s="1164">
        <f t="shared" si="37"/>
        <v>9.9999999999999995E-7</v>
      </c>
    </row>
    <row r="105" spans="1:24" ht="15" customHeight="1" thickBot="1">
      <c r="A105" s="1159">
        <v>110</v>
      </c>
      <c r="B105" s="1160">
        <f t="shared" si="37"/>
        <v>0</v>
      </c>
      <c r="C105" s="1160">
        <f t="shared" si="37"/>
        <v>0</v>
      </c>
      <c r="D105" s="1160">
        <f t="shared" si="37"/>
        <v>0</v>
      </c>
      <c r="E105" s="1160">
        <f t="shared" si="37"/>
        <v>0</v>
      </c>
      <c r="F105" s="1161">
        <f t="shared" si="37"/>
        <v>0</v>
      </c>
      <c r="U105" s="1242"/>
      <c r="V105" s="1243">
        <f>IF(U94&lt;=A97,A96,IF(U94&lt;=A98,A97,IF(U94&lt;=A99,A198,IF(U94&lt;=A100,A99,IF(U94&lt;=A101,A100,IF(U94&lt;=A102,A101,IF(U94&lt;=A103,A102,IF(U94&lt;=A104,A103))))))))</f>
        <v>0</v>
      </c>
      <c r="W105" s="1242"/>
      <c r="X105" s="1243">
        <f>IF(U94&lt;=A102,B101,IF(U94&lt;=A103,B102,IF(U94&lt;=A104,B103)))</f>
        <v>9.9999999999999995E-7</v>
      </c>
    </row>
    <row r="106" spans="1:24">
      <c r="U106" s="1244">
        <f>L97</f>
        <v>99</v>
      </c>
      <c r="V106" s="1242"/>
      <c r="W106" s="1245">
        <f>((U106-V105)/(V107-V105)*(X107-X105)+X105)</f>
        <v>9.9999999999999995E-7</v>
      </c>
      <c r="X106" s="1242"/>
    </row>
    <row r="107" spans="1:24" ht="15" customHeight="1">
      <c r="U107" s="1242"/>
      <c r="V107" s="1243">
        <f>IF(U106&lt;=A97,A97,IF(U106&lt;=A98,A98,IF(U106&lt;=A99,A99,IF(U106&lt;=A100,A100,IF(U106&lt;=A101,101,IF(U106&lt;=A102,A102,IF(U106&lt;=A103,A103,IF(U106&lt;=A104,A104))))))))</f>
        <v>99</v>
      </c>
      <c r="W107" s="1242"/>
      <c r="X107" s="1243">
        <f>IF(U94&lt;=A102,B102,IF(U94&lt;=A103,B103,IF(U94&lt;=A104,B104)))</f>
        <v>9.9999999999999995E-7</v>
      </c>
    </row>
    <row r="109" spans="1:24">
      <c r="U109" s="1242"/>
      <c r="V109" s="1243">
        <f>IF(U94&lt;=A97,A96,IF(U94&lt;=A98,A97,IF(U94&lt;=A99,A198,IF(U94&lt;=A100,A99,IF(U94&lt;=A101,A100,IF(U94&lt;=A102,A101,IF(U94&lt;=A103,A102,IF(U94&lt;=A104,A103))))))))</f>
        <v>0</v>
      </c>
      <c r="W109" s="1242"/>
      <c r="X109" s="1243">
        <f>IF(U94&lt;=A103,B102,IF(U94&lt;=A104,B103,IF(U94&lt;=A105,B104)))</f>
        <v>9.9999999999999995E-7</v>
      </c>
    </row>
    <row r="110" spans="1:24">
      <c r="U110" s="1244">
        <f>L98</f>
        <v>100</v>
      </c>
      <c r="V110" s="1242"/>
      <c r="W110" s="1245">
        <f>((U110-V109)/(V111-V109)*(X111-X109)+X109)</f>
        <v>9.9999999999999995E-7</v>
      </c>
      <c r="X110" s="1242"/>
    </row>
    <row r="111" spans="1:24">
      <c r="U111" s="1242"/>
      <c r="V111" s="1243">
        <f>IF(U110&lt;=A97,A97,IF(U110&lt;=A98,A98,IF(U110&lt;=A99,A99,IF(U110&lt;=A100,A100,IF(U110&lt;=A101,101,IF(U110&lt;=A102,A102,IF(U110&lt;=A103,A103,IF(U110&lt;=A104,A104))))))))</f>
        <v>100</v>
      </c>
      <c r="W111" s="1242"/>
      <c r="X111" s="1243">
        <f>IF(U94&lt;=A103,B103,IF(U94&lt;=A104,B104,IF(U94&lt;=A105,B105)))</f>
        <v>9.9999999999999995E-7</v>
      </c>
    </row>
    <row r="113" spans="1:19">
      <c r="A113" s="457" t="str">
        <f>ID!B92</f>
        <v>Vital Sign Simulator, Merek : Fluke Biomedical, Model : Prosim 8, SN : 3217028</v>
      </c>
      <c r="B113" s="457"/>
      <c r="C113" s="457"/>
      <c r="D113" s="457"/>
      <c r="E113" s="457"/>
      <c r="F113" s="457"/>
      <c r="G113" s="457"/>
      <c r="H113" s="457"/>
      <c r="I113" s="1457" t="s">
        <v>75</v>
      </c>
      <c r="J113" s="1457"/>
      <c r="K113" s="479" t="s">
        <v>313</v>
      </c>
      <c r="L113" s="479"/>
      <c r="M113" s="457" t="s">
        <v>362</v>
      </c>
      <c r="N113" s="458"/>
      <c r="O113" s="458"/>
      <c r="P113" s="458"/>
      <c r="Q113" s="458"/>
      <c r="R113" s="459"/>
    </row>
    <row r="114" spans="1:19">
      <c r="A114" s="457" t="str">
        <f>A2</f>
        <v>SPO₂ Simulator, Merek : Fluke, Model : SPOTLIGHT, SN : 2799069</v>
      </c>
      <c r="B114" s="458"/>
      <c r="C114" s="458"/>
      <c r="D114" s="458"/>
      <c r="E114" s="458"/>
      <c r="F114" s="458"/>
      <c r="G114" s="458"/>
      <c r="H114" s="459"/>
      <c r="I114" s="463">
        <f>B5</f>
        <v>2015</v>
      </c>
      <c r="J114" s="463">
        <f>D5</f>
        <v>2017</v>
      </c>
      <c r="K114" s="463">
        <v>1</v>
      </c>
      <c r="L114" s="463">
        <v>1</v>
      </c>
      <c r="M114" s="457" t="s">
        <v>599</v>
      </c>
      <c r="N114" s="458"/>
      <c r="O114" s="458"/>
      <c r="P114" s="458"/>
      <c r="Q114" s="458"/>
      <c r="R114" s="459"/>
      <c r="S114" s="58" t="s">
        <v>81</v>
      </c>
    </row>
    <row r="115" spans="1:19">
      <c r="A115" s="457" t="str">
        <f>H2</f>
        <v>SPO₂ Simulator, Merek : Fluke, Model : SPOTLIGHT, SN : 2799009</v>
      </c>
      <c r="B115" s="458"/>
      <c r="C115" s="458"/>
      <c r="D115" s="458"/>
      <c r="E115" s="458"/>
      <c r="F115" s="458"/>
      <c r="G115" s="458"/>
      <c r="H115" s="459"/>
      <c r="I115" s="463">
        <f>I5</f>
        <v>2014</v>
      </c>
      <c r="J115" s="463">
        <f>K5</f>
        <v>2015</v>
      </c>
      <c r="K115" s="463">
        <v>1</v>
      </c>
      <c r="L115" s="463">
        <v>2</v>
      </c>
      <c r="M115" s="457" t="s">
        <v>599</v>
      </c>
      <c r="N115" s="458"/>
      <c r="O115" s="458"/>
      <c r="P115" s="458"/>
      <c r="Q115" s="458"/>
      <c r="R115" s="459"/>
    </row>
    <row r="116" spans="1:19">
      <c r="A116" s="457" t="str">
        <f>O2</f>
        <v>SPO₂ Simulator, Merek : Fluke, Model : SPOTLIGHT, SN : 2812009</v>
      </c>
      <c r="B116" s="458"/>
      <c r="C116" s="458"/>
      <c r="D116" s="458"/>
      <c r="E116" s="458"/>
      <c r="F116" s="458"/>
      <c r="G116" s="458"/>
      <c r="H116" s="459"/>
      <c r="I116" s="463">
        <f>P5</f>
        <v>2019</v>
      </c>
      <c r="J116" s="463">
        <f>R5</f>
        <v>2020</v>
      </c>
      <c r="K116" s="463">
        <v>1</v>
      </c>
      <c r="L116" s="463">
        <v>3</v>
      </c>
      <c r="M116" s="457" t="s">
        <v>599</v>
      </c>
      <c r="N116" s="458"/>
      <c r="O116" s="458"/>
      <c r="P116" s="458"/>
      <c r="Q116" s="458"/>
      <c r="R116" s="459"/>
    </row>
    <row r="117" spans="1:19">
      <c r="A117" s="457" t="str">
        <f>A16</f>
        <v>SPO₂ Simulator, Merek : Fluke, Model : SPOTLIGHT, SN : 4403084</v>
      </c>
      <c r="B117" s="458"/>
      <c r="C117" s="458"/>
      <c r="D117" s="458"/>
      <c r="E117" s="458"/>
      <c r="F117" s="458"/>
      <c r="G117" s="458"/>
      <c r="H117" s="459"/>
      <c r="I117" s="463">
        <f>B19</f>
        <v>2019</v>
      </c>
      <c r="J117" s="463">
        <f>D19</f>
        <v>2020</v>
      </c>
      <c r="K117" s="463">
        <v>1</v>
      </c>
      <c r="L117" s="463">
        <v>4</v>
      </c>
      <c r="M117" s="457" t="s">
        <v>599</v>
      </c>
      <c r="N117" s="458"/>
      <c r="O117" s="458"/>
      <c r="P117" s="458"/>
      <c r="Q117" s="458"/>
      <c r="R117" s="459"/>
    </row>
    <row r="118" spans="1:19">
      <c r="A118" s="457" t="str">
        <f>H16</f>
        <v>SPO₂ Simulator, Merek : Fluke, Model : SPOTLIGHT, SN : 4352022</v>
      </c>
      <c r="B118" s="458"/>
      <c r="C118" s="458"/>
      <c r="D118" s="458"/>
      <c r="E118" s="458"/>
      <c r="F118" s="458"/>
      <c r="G118" s="458"/>
      <c r="H118" s="459"/>
      <c r="I118" s="463">
        <f>I19</f>
        <v>2019</v>
      </c>
      <c r="J118" s="463">
        <f>K19</f>
        <v>2020</v>
      </c>
      <c r="K118" s="463">
        <v>1</v>
      </c>
      <c r="L118" s="463">
        <v>5</v>
      </c>
      <c r="M118" s="457" t="s">
        <v>599</v>
      </c>
      <c r="N118" s="458"/>
      <c r="O118" s="458"/>
      <c r="P118" s="458"/>
      <c r="Q118" s="458"/>
      <c r="R118" s="459"/>
    </row>
    <row r="119" spans="1:19">
      <c r="A119" s="457" t="str">
        <f>O16</f>
        <v>SPO₂ Simulator, Merek : Fluke, Model : SPOTLIGHT, SN : 4404040</v>
      </c>
      <c r="B119" s="458"/>
      <c r="C119" s="458"/>
      <c r="D119" s="458"/>
      <c r="E119" s="458"/>
      <c r="F119" s="458"/>
      <c r="G119" s="458"/>
      <c r="H119" s="459"/>
      <c r="I119" s="463">
        <f>P19</f>
        <v>2019</v>
      </c>
      <c r="J119" s="463">
        <f>R19</f>
        <v>2020</v>
      </c>
      <c r="K119" s="463">
        <v>1</v>
      </c>
      <c r="L119" s="463">
        <v>6</v>
      </c>
      <c r="M119" s="457" t="s">
        <v>599</v>
      </c>
      <c r="N119" s="458"/>
      <c r="O119" s="458"/>
      <c r="P119" s="458"/>
      <c r="Q119" s="458"/>
      <c r="R119" s="459"/>
    </row>
    <row r="120" spans="1:19">
      <c r="A120" s="457" t="str">
        <f>A30</f>
        <v>SPO₂ Simulator, Merek : Fluke, Model : SPOTLIGHT, SN : 4589019</v>
      </c>
      <c r="B120" s="458"/>
      <c r="C120" s="458"/>
      <c r="D120" s="458"/>
      <c r="E120" s="458"/>
      <c r="F120" s="458"/>
      <c r="G120" s="458"/>
      <c r="H120" s="459"/>
      <c r="I120" s="463">
        <f>B33</f>
        <v>2019</v>
      </c>
      <c r="J120" s="463">
        <f>D33</f>
        <v>2020</v>
      </c>
      <c r="K120" s="463">
        <v>1</v>
      </c>
      <c r="L120" s="463">
        <v>7</v>
      </c>
      <c r="M120" s="457" t="s">
        <v>599</v>
      </c>
      <c r="N120" s="458"/>
      <c r="O120" s="458"/>
      <c r="P120" s="458"/>
      <c r="Q120" s="458"/>
      <c r="R120" s="459"/>
    </row>
    <row r="121" spans="1:19">
      <c r="A121" s="457" t="str">
        <f>H30</f>
        <v>SPOTLight KOSONG6</v>
      </c>
      <c r="B121" s="458"/>
      <c r="C121" s="458"/>
      <c r="D121" s="458"/>
      <c r="E121" s="458"/>
      <c r="F121" s="458"/>
      <c r="G121" s="458"/>
      <c r="H121" s="459"/>
      <c r="I121" s="463">
        <f>I33</f>
        <v>2019</v>
      </c>
      <c r="J121" s="463">
        <f>K33</f>
        <v>2020</v>
      </c>
      <c r="K121" s="463">
        <v>1</v>
      </c>
      <c r="L121" s="463">
        <v>8</v>
      </c>
      <c r="M121" s="457" t="s">
        <v>599</v>
      </c>
      <c r="N121" s="458"/>
      <c r="O121" s="458"/>
      <c r="P121" s="458"/>
      <c r="Q121" s="458"/>
      <c r="R121" s="459"/>
    </row>
    <row r="122" spans="1:19">
      <c r="A122" s="457" t="str">
        <f>O30</f>
        <v>Vital Sign Simulator, Merek : Fluke Biomedical, Model : Prosim 8, SN : 3188428</v>
      </c>
      <c r="B122" s="458"/>
      <c r="C122" s="458"/>
      <c r="D122" s="458"/>
      <c r="E122" s="458"/>
      <c r="F122" s="458"/>
      <c r="G122" s="458"/>
      <c r="H122" s="459"/>
      <c r="I122" s="463">
        <f>P33</f>
        <v>2015</v>
      </c>
      <c r="J122" s="463">
        <f>R33</f>
        <v>2017</v>
      </c>
      <c r="K122" s="463">
        <v>1</v>
      </c>
      <c r="L122" s="463">
        <v>9</v>
      </c>
      <c r="M122" s="457" t="s">
        <v>599</v>
      </c>
      <c r="N122" s="458"/>
      <c r="O122" s="458"/>
      <c r="P122" s="458"/>
      <c r="Q122" s="458"/>
      <c r="R122" s="459"/>
    </row>
    <row r="123" spans="1:19">
      <c r="A123" s="457" t="str">
        <f>A44</f>
        <v>Vital Sign Simulator, Merek : Fluke Biomedical, Model : Prosim 8, SN : 3217028</v>
      </c>
      <c r="B123" s="458"/>
      <c r="C123" s="458"/>
      <c r="D123" s="458"/>
      <c r="E123" s="458"/>
      <c r="F123" s="458"/>
      <c r="G123" s="458"/>
      <c r="H123" s="459"/>
      <c r="I123" s="463">
        <f>B47</f>
        <v>2014</v>
      </c>
      <c r="J123" s="463">
        <f>D47</f>
        <v>2015</v>
      </c>
      <c r="K123" s="463">
        <v>1</v>
      </c>
      <c r="L123" s="463">
        <v>10</v>
      </c>
      <c r="M123" s="457" t="s">
        <v>599</v>
      </c>
      <c r="N123" s="458"/>
      <c r="O123" s="458"/>
      <c r="P123" s="458"/>
      <c r="Q123" s="458"/>
      <c r="R123" s="459"/>
    </row>
    <row r="124" spans="1:19">
      <c r="A124" s="457" t="str">
        <f>H44</f>
        <v>Prosim 8 (KOSONG1)</v>
      </c>
      <c r="B124" s="458"/>
      <c r="C124" s="458"/>
      <c r="D124" s="458"/>
      <c r="E124" s="458"/>
      <c r="F124" s="458"/>
      <c r="G124" s="458"/>
      <c r="H124" s="459"/>
      <c r="I124" s="463">
        <f>I47</f>
        <v>2019</v>
      </c>
      <c r="J124" s="463">
        <f>K47</f>
        <v>2020</v>
      </c>
      <c r="K124" s="463">
        <v>1</v>
      </c>
      <c r="L124" s="463">
        <v>11</v>
      </c>
      <c r="M124" s="457" t="s">
        <v>599</v>
      </c>
      <c r="N124" s="458"/>
      <c r="O124" s="458"/>
      <c r="P124" s="458"/>
      <c r="Q124" s="458"/>
      <c r="R124" s="459"/>
    </row>
    <row r="125" spans="1:19">
      <c r="A125" s="476" t="str">
        <f>O44</f>
        <v>Prosim 8 (KOSONG2)</v>
      </c>
      <c r="B125" s="477"/>
      <c r="C125" s="477"/>
      <c r="D125" s="477"/>
      <c r="E125" s="477"/>
      <c r="F125" s="477"/>
      <c r="G125" s="477"/>
      <c r="H125" s="478"/>
      <c r="I125" s="463">
        <f>P47</f>
        <v>2019</v>
      </c>
      <c r="J125" s="463">
        <f>R47</f>
        <v>2020</v>
      </c>
      <c r="K125" s="463">
        <v>1</v>
      </c>
      <c r="L125" s="463">
        <v>12</v>
      </c>
      <c r="M125" s="457" t="s">
        <v>599</v>
      </c>
      <c r="N125" s="458"/>
      <c r="O125" s="458"/>
      <c r="P125" s="458"/>
      <c r="Q125" s="458"/>
      <c r="R125" s="459"/>
    </row>
    <row r="126" spans="1:19">
      <c r="A126" s="457" t="str">
        <f>A58</f>
        <v>Prosim 8 (KOSONG3)</v>
      </c>
      <c r="B126" s="458"/>
      <c r="C126" s="458"/>
      <c r="D126" s="458"/>
      <c r="E126" s="458"/>
      <c r="F126" s="458"/>
      <c r="G126" s="458"/>
      <c r="H126" s="459"/>
      <c r="I126" s="463">
        <f>B61</f>
        <v>2019</v>
      </c>
      <c r="J126" s="463">
        <f>D61</f>
        <v>2020</v>
      </c>
      <c r="K126" s="463">
        <v>1</v>
      </c>
      <c r="L126" s="463">
        <v>13</v>
      </c>
      <c r="M126" s="457" t="s">
        <v>599</v>
      </c>
      <c r="N126" s="458"/>
      <c r="O126" s="458"/>
      <c r="P126" s="458"/>
      <c r="Q126" s="458"/>
      <c r="R126" s="459"/>
    </row>
    <row r="127" spans="1:19">
      <c r="A127" s="457" t="str">
        <f>H58</f>
        <v>RIGEL (LUPA1)</v>
      </c>
      <c r="B127" s="458"/>
      <c r="C127" s="458"/>
      <c r="D127" s="458"/>
      <c r="E127" s="458"/>
      <c r="F127" s="458"/>
      <c r="G127" s="458"/>
      <c r="H127" s="459"/>
      <c r="I127" s="463">
        <f>I61</f>
        <v>2019</v>
      </c>
      <c r="J127" s="463">
        <f>K61</f>
        <v>2020</v>
      </c>
      <c r="K127" s="463">
        <v>1</v>
      </c>
      <c r="L127" s="463">
        <v>14</v>
      </c>
      <c r="M127" s="457" t="s">
        <v>599</v>
      </c>
      <c r="N127" s="458"/>
      <c r="O127" s="458"/>
      <c r="P127" s="458"/>
      <c r="Q127" s="458"/>
      <c r="R127" s="459"/>
    </row>
    <row r="128" spans="1:19">
      <c r="A128" s="457" t="str">
        <f>O58</f>
        <v>RIGEL (LUPA2)</v>
      </c>
      <c r="B128" s="458"/>
      <c r="C128" s="458"/>
      <c r="D128" s="458"/>
      <c r="E128" s="458"/>
      <c r="F128" s="458"/>
      <c r="G128" s="458"/>
      <c r="H128" s="459"/>
      <c r="I128" s="463">
        <f>P61</f>
        <v>2019</v>
      </c>
      <c r="J128" s="463">
        <f>R61</f>
        <v>2020</v>
      </c>
      <c r="K128" s="463">
        <v>1</v>
      </c>
      <c r="L128" s="463">
        <v>15</v>
      </c>
      <c r="M128" s="457" t="s">
        <v>599</v>
      </c>
      <c r="N128" s="458"/>
      <c r="O128" s="458"/>
      <c r="P128" s="458"/>
      <c r="Q128" s="458"/>
      <c r="R128" s="459"/>
    </row>
    <row r="129" spans="1:18">
      <c r="A129" s="457" t="str">
        <f>A72</f>
        <v>RIGEL (LUPA3)</v>
      </c>
      <c r="B129" s="458"/>
      <c r="C129" s="458"/>
      <c r="D129" s="458"/>
      <c r="E129" s="458"/>
      <c r="F129" s="458"/>
      <c r="G129" s="458"/>
      <c r="H129" s="459"/>
      <c r="I129" s="463">
        <f>B75</f>
        <v>2019</v>
      </c>
      <c r="J129" s="463">
        <f>D75</f>
        <v>2020</v>
      </c>
      <c r="K129" s="463">
        <v>1</v>
      </c>
      <c r="L129" s="463">
        <v>16</v>
      </c>
      <c r="M129" s="457" t="s">
        <v>599</v>
      </c>
      <c r="N129" s="458"/>
      <c r="O129" s="458"/>
      <c r="P129" s="458"/>
      <c r="Q129" s="458"/>
      <c r="R129" s="459"/>
    </row>
    <row r="130" spans="1:18">
      <c r="A130" s="457" t="str">
        <f>H72</f>
        <v>RIGEL (KOSONG1)</v>
      </c>
      <c r="B130" s="458"/>
      <c r="C130" s="458"/>
      <c r="D130" s="458"/>
      <c r="E130" s="458"/>
      <c r="F130" s="458"/>
      <c r="G130" s="458"/>
      <c r="H130" s="459"/>
      <c r="I130" s="463">
        <f>I75</f>
        <v>2019</v>
      </c>
      <c r="J130" s="463">
        <f>K75</f>
        <v>2020</v>
      </c>
      <c r="K130" s="463">
        <v>1</v>
      </c>
      <c r="L130" s="463">
        <v>17</v>
      </c>
      <c r="M130" s="457" t="s">
        <v>599</v>
      </c>
      <c r="N130" s="458"/>
      <c r="O130" s="458"/>
      <c r="P130" s="458"/>
      <c r="Q130" s="458"/>
      <c r="R130" s="459"/>
    </row>
    <row r="131" spans="1:18">
      <c r="A131" s="457" t="str">
        <f>O72</f>
        <v>RIGEL (KOSONG2)</v>
      </c>
      <c r="B131" s="458"/>
      <c r="C131" s="458"/>
      <c r="D131" s="458"/>
      <c r="E131" s="458"/>
      <c r="F131" s="458"/>
      <c r="G131" s="458"/>
      <c r="H131" s="459"/>
      <c r="I131" s="463">
        <f>P75</f>
        <v>2019</v>
      </c>
      <c r="J131" s="463">
        <f>R75</f>
        <v>2020</v>
      </c>
      <c r="K131" s="463">
        <v>1</v>
      </c>
      <c r="L131" s="463">
        <v>18</v>
      </c>
      <c r="M131" s="457" t="s">
        <v>599</v>
      </c>
      <c r="N131" s="458"/>
      <c r="O131" s="458"/>
      <c r="P131" s="458"/>
      <c r="Q131" s="458"/>
      <c r="R131" s="459"/>
    </row>
    <row r="132" spans="1:18">
      <c r="A132" s="1453">
        <f>VLOOKUP(A113,A114:R131,11,FALSE)</f>
        <v>1</v>
      </c>
      <c r="B132" s="1453"/>
      <c r="C132" s="1453"/>
      <c r="D132" s="1453"/>
      <c r="E132" s="1453"/>
      <c r="F132" s="1453"/>
      <c r="G132" s="1453"/>
      <c r="H132" s="1453"/>
      <c r="I132" s="1453"/>
      <c r="J132" s="1453"/>
      <c r="K132" s="26">
        <f>VLOOKUP(A113,A114:R131,10,FALSE)</f>
        <v>2015</v>
      </c>
      <c r="L132" s="26"/>
      <c r="M132" s="457" t="str">
        <f>VLOOKUP(A113,A114:U131,13,FALSE)</f>
        <v>tertelusur ke Satuan Internasional melalui Caltek PTE LTD</v>
      </c>
      <c r="N132" s="426"/>
      <c r="O132" s="426"/>
      <c r="P132" s="426"/>
      <c r="Q132" s="426"/>
      <c r="R132" s="427"/>
    </row>
    <row r="133" spans="1:18" ht="13">
      <c r="A133" s="1454" t="str">
        <f>M113&amp;S114&amp;M132</f>
        <v>Hasil kalibrasi Pulse Oximetri tertelusur ke Satuan Internasional melalui Caltek PTE LTD</v>
      </c>
      <c r="B133" s="1455"/>
      <c r="C133" s="1455"/>
      <c r="D133" s="1455"/>
      <c r="E133" s="1455"/>
      <c r="F133" s="1455"/>
      <c r="G133" s="1455"/>
      <c r="H133" s="1455"/>
      <c r="I133" s="1455"/>
      <c r="J133" s="1456"/>
    </row>
  </sheetData>
  <mergeCells count="96">
    <mergeCell ref="I32:K32"/>
    <mergeCell ref="I60:K60"/>
    <mergeCell ref="A132:J132"/>
    <mergeCell ref="A133:J133"/>
    <mergeCell ref="I113:J113"/>
    <mergeCell ref="A93:F93"/>
    <mergeCell ref="A94:D94"/>
    <mergeCell ref="B95:D95"/>
    <mergeCell ref="A58:F58"/>
    <mergeCell ref="H58:M58"/>
    <mergeCell ref="A44:F44"/>
    <mergeCell ref="H44:M44"/>
    <mergeCell ref="L73:L75"/>
    <mergeCell ref="M73:M75"/>
    <mergeCell ref="H73:K73"/>
    <mergeCell ref="O30:T30"/>
    <mergeCell ref="O3:R3"/>
    <mergeCell ref="S3:S5"/>
    <mergeCell ref="T3:T5"/>
    <mergeCell ref="O44:T44"/>
    <mergeCell ref="O17:R17"/>
    <mergeCell ref="S17:S19"/>
    <mergeCell ref="T17:T19"/>
    <mergeCell ref="P18:R18"/>
    <mergeCell ref="M3:M5"/>
    <mergeCell ref="O2:T2"/>
    <mergeCell ref="O16:T16"/>
    <mergeCell ref="P4:R4"/>
    <mergeCell ref="H16:M16"/>
    <mergeCell ref="T73:T75"/>
    <mergeCell ref="P74:R74"/>
    <mergeCell ref="O31:R31"/>
    <mergeCell ref="S31:S33"/>
    <mergeCell ref="T31:T33"/>
    <mergeCell ref="P32:R32"/>
    <mergeCell ref="O45:R45"/>
    <mergeCell ref="S45:S47"/>
    <mergeCell ref="T45:T47"/>
    <mergeCell ref="P46:R46"/>
    <mergeCell ref="O58:T58"/>
    <mergeCell ref="O72:T72"/>
    <mergeCell ref="O73:R73"/>
    <mergeCell ref="T59:T61"/>
    <mergeCell ref="O59:R59"/>
    <mergeCell ref="S59:S61"/>
    <mergeCell ref="P60:R60"/>
    <mergeCell ref="H72:M72"/>
    <mergeCell ref="H59:K59"/>
    <mergeCell ref="I74:K74"/>
    <mergeCell ref="S73:S75"/>
    <mergeCell ref="L59:L61"/>
    <mergeCell ref="M59:M61"/>
    <mergeCell ref="A2:F2"/>
    <mergeCell ref="H2:M2"/>
    <mergeCell ref="H3:K3"/>
    <mergeCell ref="L45:L47"/>
    <mergeCell ref="M45:M47"/>
    <mergeCell ref="E45:E47"/>
    <mergeCell ref="F45:F47"/>
    <mergeCell ref="A17:D17"/>
    <mergeCell ref="E17:E19"/>
    <mergeCell ref="F17:F19"/>
    <mergeCell ref="B18:D18"/>
    <mergeCell ref="A3:D3"/>
    <mergeCell ref="I4:K4"/>
    <mergeCell ref="L3:L5"/>
    <mergeCell ref="E3:E5"/>
    <mergeCell ref="F3:F5"/>
    <mergeCell ref="B4:D4"/>
    <mergeCell ref="A30:F30"/>
    <mergeCell ref="E73:E75"/>
    <mergeCell ref="F73:F75"/>
    <mergeCell ref="A72:F72"/>
    <mergeCell ref="A59:D59"/>
    <mergeCell ref="B60:D60"/>
    <mergeCell ref="A73:D73"/>
    <mergeCell ref="B74:D74"/>
    <mergeCell ref="A16:F16"/>
    <mergeCell ref="E59:E61"/>
    <mergeCell ref="F59:F61"/>
    <mergeCell ref="H17:K17"/>
    <mergeCell ref="I18:K18"/>
    <mergeCell ref="H45:K45"/>
    <mergeCell ref="I46:K46"/>
    <mergeCell ref="A45:D45"/>
    <mergeCell ref="B46:D46"/>
    <mergeCell ref="H30:M30"/>
    <mergeCell ref="A31:D31"/>
    <mergeCell ref="B32:D32"/>
    <mergeCell ref="F31:F33"/>
    <mergeCell ref="E31:E33"/>
    <mergeCell ref="L17:L19"/>
    <mergeCell ref="M17:M19"/>
    <mergeCell ref="H31:K31"/>
    <mergeCell ref="L31:L33"/>
    <mergeCell ref="M31:M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S102"/>
  <sheetViews>
    <sheetView showGridLines="0" view="pageBreakPreview" topLeftCell="A43" zoomScaleNormal="100" zoomScaleSheetLayoutView="100" zoomScalePageLayoutView="87" workbookViewId="0">
      <selection activeCell="F66" sqref="F66"/>
    </sheetView>
  </sheetViews>
  <sheetFormatPr defaultColWidth="9.08984375" defaultRowHeight="13"/>
  <cols>
    <col min="1" max="1" width="5.90625" style="4" customWidth="1"/>
    <col min="2" max="2" width="4.6328125" style="4" customWidth="1"/>
    <col min="3" max="3" width="14.36328125" style="4" customWidth="1"/>
    <col min="4" max="14" width="11" style="4" customWidth="1"/>
    <col min="15" max="15" width="10.453125" style="4" customWidth="1"/>
    <col min="16" max="16" width="8.453125" style="4" customWidth="1"/>
    <col min="17" max="17" width="9.08984375" style="506"/>
    <col min="18" max="16384" width="9.08984375" style="4"/>
  </cols>
  <sheetData>
    <row r="1" spans="1:17" ht="18">
      <c r="A1" s="1513" t="s">
        <v>538</v>
      </c>
      <c r="B1" s="1513"/>
      <c r="C1" s="1513"/>
      <c r="D1" s="1513"/>
      <c r="E1" s="1513"/>
      <c r="F1" s="1513"/>
      <c r="G1" s="1513"/>
      <c r="H1" s="1513"/>
      <c r="I1" s="1513"/>
      <c r="J1" s="1513"/>
      <c r="K1" s="1513"/>
      <c r="L1" s="1513"/>
      <c r="M1" s="1513"/>
      <c r="N1" s="519"/>
      <c r="O1" s="519"/>
      <c r="P1" s="519"/>
      <c r="Q1" s="519"/>
    </row>
    <row r="2" spans="1:17" ht="15.5">
      <c r="A2" s="1514" t="s">
        <v>139</v>
      </c>
      <c r="B2" s="1514"/>
      <c r="C2" s="1514"/>
      <c r="D2" s="1514"/>
      <c r="E2" s="1514"/>
      <c r="F2" s="1514"/>
      <c r="G2" s="1514"/>
      <c r="H2" s="1514"/>
      <c r="I2" s="1514"/>
      <c r="J2" s="1514"/>
      <c r="K2" s="1514"/>
      <c r="L2" s="1514"/>
      <c r="M2" s="1514"/>
      <c r="N2" s="520"/>
      <c r="O2" s="520"/>
      <c r="P2" s="520"/>
      <c r="Q2" s="520"/>
    </row>
    <row r="3" spans="1:17" ht="7.5" customHeight="1">
      <c r="B3" s="79" t="s">
        <v>81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17" ht="14">
      <c r="A4" s="80" t="s">
        <v>18</v>
      </c>
      <c r="B4" s="80"/>
      <c r="C4" s="80"/>
      <c r="D4" s="114" t="s">
        <v>60</v>
      </c>
      <c r="E4" s="83" t="s">
        <v>70</v>
      </c>
      <c r="F4" s="80"/>
      <c r="G4" s="80"/>
      <c r="H4" s="80"/>
      <c r="I4" s="80"/>
      <c r="J4" s="80"/>
      <c r="K4" s="80"/>
      <c r="L4" s="80"/>
      <c r="M4" s="80"/>
      <c r="O4" s="80"/>
      <c r="P4" s="80"/>
    </row>
    <row r="5" spans="1:17" ht="16.5" customHeight="1">
      <c r="A5" s="80" t="s">
        <v>17</v>
      </c>
      <c r="B5" s="80"/>
      <c r="C5" s="80"/>
      <c r="D5" s="114" t="s">
        <v>60</v>
      </c>
      <c r="E5" s="83" t="s">
        <v>70</v>
      </c>
      <c r="F5" s="80"/>
      <c r="G5" s="80"/>
      <c r="H5" s="80"/>
      <c r="I5" s="80"/>
      <c r="J5" s="80"/>
      <c r="K5" s="80"/>
      <c r="L5" s="80"/>
      <c r="M5" s="80"/>
      <c r="O5" s="80"/>
      <c r="P5" s="80"/>
    </row>
    <row r="6" spans="1:17" ht="16.5" customHeight="1">
      <c r="A6" s="80" t="s">
        <v>0</v>
      </c>
      <c r="B6" s="80"/>
      <c r="C6" s="80"/>
      <c r="D6" s="114" t="s">
        <v>60</v>
      </c>
      <c r="E6" s="83" t="s">
        <v>70</v>
      </c>
      <c r="F6" s="80"/>
      <c r="G6" s="80"/>
      <c r="H6" s="80"/>
      <c r="I6" s="80"/>
      <c r="J6" s="80"/>
      <c r="K6" s="80"/>
      <c r="L6" s="80"/>
      <c r="M6" s="80"/>
      <c r="O6" s="80"/>
      <c r="P6" s="80"/>
    </row>
    <row r="7" spans="1:17" ht="16.5" customHeight="1">
      <c r="A7" s="80" t="s">
        <v>377</v>
      </c>
      <c r="B7" s="80"/>
      <c r="C7" s="80"/>
      <c r="D7" s="114" t="s">
        <v>60</v>
      </c>
      <c r="E7" s="83" t="s">
        <v>70</v>
      </c>
      <c r="F7" s="80"/>
      <c r="G7" s="80"/>
      <c r="H7" s="80"/>
      <c r="I7" s="80"/>
      <c r="J7" s="80"/>
      <c r="K7" s="80"/>
      <c r="L7" s="80"/>
      <c r="M7" s="80"/>
      <c r="O7" s="80"/>
      <c r="P7" s="80"/>
    </row>
    <row r="8" spans="1:17" ht="16.5" customHeight="1">
      <c r="A8" s="80" t="s">
        <v>278</v>
      </c>
      <c r="B8" s="80"/>
      <c r="C8" s="80"/>
      <c r="D8" s="114" t="s">
        <v>60</v>
      </c>
      <c r="E8" s="83" t="s">
        <v>70</v>
      </c>
      <c r="F8" s="80"/>
      <c r="G8" s="80"/>
      <c r="H8" s="80"/>
      <c r="I8" s="80"/>
      <c r="J8" s="80"/>
      <c r="K8" s="80"/>
      <c r="L8" s="80"/>
      <c r="M8" s="80"/>
      <c r="O8" s="80"/>
      <c r="P8" s="80"/>
    </row>
    <row r="9" spans="1:17" ht="16.5" customHeight="1">
      <c r="A9" s="80" t="s">
        <v>279</v>
      </c>
      <c r="B9" s="80"/>
      <c r="C9" s="80"/>
      <c r="D9" s="114" t="s">
        <v>60</v>
      </c>
      <c r="E9" s="83" t="s">
        <v>70</v>
      </c>
      <c r="F9" s="80"/>
      <c r="G9" s="80"/>
      <c r="H9" s="80"/>
      <c r="I9" s="80"/>
      <c r="J9" s="80"/>
      <c r="K9" s="80"/>
      <c r="L9" s="80"/>
      <c r="M9" s="80"/>
      <c r="O9" s="80"/>
      <c r="P9" s="80"/>
    </row>
    <row r="10" spans="1:17" ht="16.5" customHeight="1">
      <c r="A10" s="80" t="s">
        <v>22</v>
      </c>
      <c r="B10" s="80"/>
      <c r="C10" s="80"/>
      <c r="D10" s="114" t="s">
        <v>60</v>
      </c>
      <c r="E10" s="83" t="s">
        <v>70</v>
      </c>
      <c r="F10" s="80"/>
      <c r="G10" s="80"/>
      <c r="H10" s="80"/>
      <c r="I10" s="80"/>
      <c r="J10" s="80"/>
      <c r="K10" s="80"/>
      <c r="L10" s="80"/>
      <c r="M10" s="80"/>
      <c r="O10" s="80"/>
      <c r="P10" s="80"/>
    </row>
    <row r="11" spans="1:17" ht="14">
      <c r="A11" s="80" t="s">
        <v>69</v>
      </c>
      <c r="B11" s="80"/>
      <c r="D11" s="95" t="s">
        <v>60</v>
      </c>
      <c r="E11" s="83" t="s">
        <v>276</v>
      </c>
    </row>
    <row r="12" spans="1:17" ht="14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O12" s="80"/>
      <c r="P12" s="80"/>
    </row>
    <row r="13" spans="1:17" ht="20.149999999999999" customHeight="1">
      <c r="A13" s="81" t="s">
        <v>8</v>
      </c>
      <c r="B13" s="81" t="s">
        <v>9</v>
      </c>
      <c r="C13" s="81"/>
      <c r="D13" s="80"/>
      <c r="E13" s="81"/>
      <c r="F13" s="1507" t="s">
        <v>63</v>
      </c>
      <c r="G13" s="1508"/>
      <c r="H13" s="1507" t="s">
        <v>64</v>
      </c>
      <c r="I13" s="1508"/>
      <c r="J13" s="87"/>
      <c r="K13" s="80"/>
      <c r="L13" s="80"/>
      <c r="M13" s="80"/>
      <c r="O13" s="80"/>
      <c r="P13" s="80"/>
    </row>
    <row r="14" spans="1:17" ht="20.149999999999999" customHeight="1">
      <c r="A14" s="80"/>
      <c r="B14" s="80" t="s">
        <v>19</v>
      </c>
      <c r="C14" s="80"/>
      <c r="D14" s="80"/>
      <c r="E14" s="80" t="s">
        <v>21</v>
      </c>
      <c r="F14" s="1509"/>
      <c r="G14" s="1510"/>
      <c r="H14" s="1509"/>
      <c r="I14" s="1510"/>
      <c r="J14" s="80" t="s">
        <v>80</v>
      </c>
      <c r="K14" s="80"/>
      <c r="L14" s="80"/>
      <c r="M14" s="80"/>
      <c r="O14" s="80"/>
      <c r="P14" s="80"/>
    </row>
    <row r="15" spans="1:17" ht="20.149999999999999" customHeight="1">
      <c r="A15" s="80"/>
      <c r="B15" s="80" t="s">
        <v>125</v>
      </c>
      <c r="C15" s="80"/>
      <c r="D15" s="80"/>
      <c r="E15" s="80" t="s">
        <v>60</v>
      </c>
      <c r="F15" s="1509"/>
      <c r="G15" s="1510"/>
      <c r="H15" s="1509"/>
      <c r="I15" s="1510"/>
      <c r="J15" s="80" t="s">
        <v>76</v>
      </c>
      <c r="K15" s="80"/>
      <c r="L15" s="80"/>
      <c r="M15" s="80"/>
      <c r="O15" s="80"/>
      <c r="P15" s="80"/>
    </row>
    <row r="16" spans="1:17" ht="20.149999999999999" customHeight="1">
      <c r="A16" s="80"/>
      <c r="B16" s="80" t="s">
        <v>82</v>
      </c>
      <c r="C16" s="80"/>
      <c r="D16" s="85"/>
      <c r="E16" s="80" t="s">
        <v>60</v>
      </c>
      <c r="F16" s="115"/>
      <c r="G16" s="116"/>
      <c r="H16" s="116"/>
      <c r="I16" s="117"/>
      <c r="J16" s="80" t="s">
        <v>126</v>
      </c>
      <c r="K16" s="80"/>
      <c r="L16" s="80"/>
      <c r="M16" s="80"/>
      <c r="O16" s="80"/>
      <c r="P16" s="80"/>
    </row>
    <row r="17" spans="1:17" ht="14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O17" s="80"/>
      <c r="P17" s="80"/>
    </row>
    <row r="18" spans="1:17" ht="14">
      <c r="A18" s="81" t="s">
        <v>10</v>
      </c>
      <c r="B18" s="81" t="s">
        <v>96</v>
      </c>
      <c r="C18" s="81"/>
      <c r="D18" s="80"/>
      <c r="E18" s="81"/>
      <c r="F18" s="81"/>
      <c r="G18" s="81"/>
      <c r="H18" s="81"/>
      <c r="I18" s="80"/>
      <c r="J18" s="80"/>
      <c r="K18" s="80"/>
      <c r="L18" s="80"/>
      <c r="M18" s="80"/>
      <c r="O18" s="80"/>
      <c r="P18" s="80"/>
      <c r="Q18" s="521" t="s">
        <v>115</v>
      </c>
    </row>
    <row r="19" spans="1:17" ht="16.5" customHeight="1">
      <c r="A19" s="80"/>
      <c r="B19" s="80" t="s">
        <v>11</v>
      </c>
      <c r="C19" s="80"/>
      <c r="D19" s="80"/>
      <c r="E19" s="80" t="s">
        <v>66</v>
      </c>
      <c r="F19" s="80"/>
      <c r="G19" s="80"/>
      <c r="H19" s="1515" t="s">
        <v>67</v>
      </c>
      <c r="I19" s="1515"/>
      <c r="J19" s="1515"/>
      <c r="K19" s="1515"/>
      <c r="L19" s="1515"/>
      <c r="M19" s="516"/>
      <c r="N19" s="516"/>
      <c r="O19" s="80"/>
      <c r="P19" s="80"/>
      <c r="Q19" s="522">
        <v>5</v>
      </c>
    </row>
    <row r="20" spans="1:17" ht="16.5" customHeight="1">
      <c r="A20" s="80"/>
      <c r="B20" s="80" t="s">
        <v>1</v>
      </c>
      <c r="C20" s="80"/>
      <c r="D20" s="80"/>
      <c r="E20" s="80" t="s">
        <v>66</v>
      </c>
      <c r="F20" s="80"/>
      <c r="G20" s="80"/>
      <c r="H20" s="516"/>
      <c r="I20" s="516"/>
      <c r="J20" s="516"/>
      <c r="K20" s="516"/>
      <c r="L20" s="516"/>
      <c r="M20" s="516"/>
      <c r="N20" s="516"/>
      <c r="O20" s="80"/>
      <c r="P20" s="80"/>
      <c r="Q20" s="522">
        <v>5</v>
      </c>
    </row>
    <row r="21" spans="1:17" ht="6.75" customHeight="1">
      <c r="A21" s="81"/>
      <c r="B21" s="81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O21" s="80"/>
      <c r="P21" s="80"/>
    </row>
    <row r="22" spans="1:17" ht="14">
      <c r="A22" s="81" t="s">
        <v>2</v>
      </c>
      <c r="B22" s="81" t="s">
        <v>97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O22" s="80"/>
      <c r="P22" s="80"/>
    </row>
    <row r="23" spans="1:17" ht="20.149999999999999" customHeight="1">
      <c r="B23" s="1516" t="s">
        <v>12</v>
      </c>
      <c r="C23" s="512" t="s">
        <v>3</v>
      </c>
      <c r="D23" s="513"/>
      <c r="E23" s="513"/>
      <c r="F23" s="513"/>
      <c r="G23" s="513"/>
      <c r="H23" s="513"/>
      <c r="I23" s="1500" t="s">
        <v>68</v>
      </c>
      <c r="J23" s="1501"/>
      <c r="K23" s="1500" t="s">
        <v>13</v>
      </c>
      <c r="L23" s="1501"/>
      <c r="Q23" s="1469" t="s">
        <v>115</v>
      </c>
    </row>
    <row r="24" spans="1:17" ht="15" customHeight="1">
      <c r="B24" s="1517"/>
      <c r="C24" s="514"/>
      <c r="D24" s="515"/>
      <c r="E24" s="515"/>
      <c r="F24" s="515"/>
      <c r="G24" s="515"/>
      <c r="H24" s="515"/>
      <c r="I24" s="1502"/>
      <c r="J24" s="1503"/>
      <c r="K24" s="1511"/>
      <c r="L24" s="1512"/>
      <c r="Q24" s="1469"/>
    </row>
    <row r="25" spans="1:17" ht="20.149999999999999" customHeight="1">
      <c r="B25" s="118">
        <v>1</v>
      </c>
      <c r="C25" s="507" t="s">
        <v>260</v>
      </c>
      <c r="D25" s="508"/>
      <c r="E25" s="508"/>
      <c r="F25" s="508"/>
      <c r="G25" s="508"/>
      <c r="H25" s="508"/>
      <c r="I25" s="115"/>
      <c r="J25" s="119" t="s">
        <v>83</v>
      </c>
      <c r="K25" s="178" t="s">
        <v>266</v>
      </c>
      <c r="L25" s="119" t="s">
        <v>83</v>
      </c>
      <c r="Q25" s="523">
        <v>10</v>
      </c>
    </row>
    <row r="26" spans="1:17" ht="20.149999999999999" customHeight="1">
      <c r="B26" s="118">
        <v>2</v>
      </c>
      <c r="C26" s="507" t="s">
        <v>261</v>
      </c>
      <c r="D26" s="508"/>
      <c r="E26" s="508"/>
      <c r="F26" s="508"/>
      <c r="G26" s="508"/>
      <c r="H26" s="508"/>
      <c r="I26" s="115"/>
      <c r="J26" s="119" t="s">
        <v>84</v>
      </c>
      <c r="K26" s="178" t="s">
        <v>85</v>
      </c>
      <c r="L26" s="119" t="s">
        <v>84</v>
      </c>
      <c r="Q26" s="1504">
        <v>10</v>
      </c>
    </row>
    <row r="27" spans="1:17" ht="20.149999999999999" customHeight="1">
      <c r="B27" s="118">
        <v>3</v>
      </c>
      <c r="C27" s="507" t="s">
        <v>262</v>
      </c>
      <c r="D27" s="508"/>
      <c r="E27" s="508"/>
      <c r="F27" s="508"/>
      <c r="G27" s="508"/>
      <c r="H27" s="508"/>
      <c r="I27" s="115"/>
      <c r="J27" s="119" t="s">
        <v>84</v>
      </c>
      <c r="K27" s="178" t="s">
        <v>94</v>
      </c>
      <c r="L27" s="119" t="s">
        <v>84</v>
      </c>
      <c r="Q27" s="1504"/>
    </row>
    <row r="28" spans="1:17" ht="20.149999999999999" customHeight="1">
      <c r="B28" s="118">
        <v>4</v>
      </c>
      <c r="C28" s="507" t="s">
        <v>123</v>
      </c>
      <c r="D28" s="508"/>
      <c r="E28" s="508"/>
      <c r="F28" s="508"/>
      <c r="G28" s="508"/>
      <c r="H28" s="508"/>
      <c r="I28" s="115"/>
      <c r="J28" s="119" t="s">
        <v>72</v>
      </c>
      <c r="K28" s="178" t="s">
        <v>86</v>
      </c>
      <c r="L28" s="119" t="s">
        <v>72</v>
      </c>
      <c r="Q28" s="1462">
        <v>10</v>
      </c>
    </row>
    <row r="29" spans="1:17" ht="20.149999999999999" customHeight="1">
      <c r="B29" s="118">
        <v>5</v>
      </c>
      <c r="C29" s="507" t="s">
        <v>124</v>
      </c>
      <c r="D29" s="508"/>
      <c r="E29" s="508"/>
      <c r="F29" s="508"/>
      <c r="G29" s="508"/>
      <c r="H29" s="508"/>
      <c r="I29" s="115"/>
      <c r="J29" s="119" t="s">
        <v>72</v>
      </c>
      <c r="K29" s="178" t="s">
        <v>87</v>
      </c>
      <c r="L29" s="119" t="s">
        <v>72</v>
      </c>
      <c r="Q29" s="1462"/>
    </row>
    <row r="30" spans="1:17" ht="20.149999999999999" customHeight="1">
      <c r="B30" s="118">
        <v>6</v>
      </c>
      <c r="C30" s="507" t="s">
        <v>101</v>
      </c>
      <c r="D30" s="508"/>
      <c r="E30" s="508"/>
      <c r="F30" s="508"/>
      <c r="G30" s="508"/>
      <c r="H30" s="508"/>
      <c r="I30" s="115"/>
      <c r="J30" s="119" t="s">
        <v>72</v>
      </c>
      <c r="K30" s="178" t="s">
        <v>95</v>
      </c>
      <c r="L30" s="119" t="s">
        <v>72</v>
      </c>
      <c r="Q30" s="523">
        <v>10</v>
      </c>
    </row>
    <row r="31" spans="1:17" ht="14">
      <c r="B31" s="120"/>
      <c r="C31" s="80"/>
      <c r="D31" s="80"/>
      <c r="E31" s="80"/>
      <c r="F31" s="80"/>
      <c r="G31" s="80"/>
      <c r="H31" s="79"/>
      <c r="I31" s="80"/>
      <c r="J31" s="121" t="s">
        <v>105</v>
      </c>
      <c r="K31" s="517" t="s">
        <v>104</v>
      </c>
      <c r="L31" s="79"/>
    </row>
    <row r="32" spans="1:17" ht="14">
      <c r="B32" s="120"/>
      <c r="C32" s="80"/>
      <c r="D32" s="80"/>
      <c r="E32" s="80"/>
      <c r="F32" s="80"/>
      <c r="G32" s="80"/>
      <c r="H32" s="79"/>
      <c r="I32" s="80"/>
      <c r="J32" s="114" t="s">
        <v>103</v>
      </c>
      <c r="K32" s="517" t="s">
        <v>104</v>
      </c>
      <c r="L32" s="79"/>
    </row>
    <row r="33" spans="1:17" ht="14">
      <c r="A33" s="82" t="s">
        <v>79</v>
      </c>
      <c r="B33" s="82" t="s">
        <v>211</v>
      </c>
    </row>
    <row r="34" spans="1:17" ht="15" customHeight="1">
      <c r="B34" s="82" t="s">
        <v>216</v>
      </c>
      <c r="D34" s="83"/>
      <c r="E34" s="83"/>
      <c r="F34" s="83"/>
      <c r="G34" s="83"/>
      <c r="H34" s="83"/>
      <c r="I34" s="83"/>
      <c r="J34" s="83"/>
      <c r="K34" s="83"/>
      <c r="L34" s="82"/>
      <c r="M34" s="82"/>
      <c r="N34" s="82"/>
      <c r="O34" s="83"/>
      <c r="P34" s="83"/>
    </row>
    <row r="35" spans="1:17" s="3" customFormat="1" ht="15" customHeight="1">
      <c r="B35" s="1471" t="s">
        <v>12</v>
      </c>
      <c r="C35" s="1471" t="s">
        <v>3</v>
      </c>
      <c r="D35" s="1463" t="s">
        <v>140</v>
      </c>
      <c r="E35" s="1473" t="s">
        <v>141</v>
      </c>
      <c r="F35" s="1474"/>
      <c r="G35" s="1474"/>
      <c r="H35" s="1474"/>
      <c r="I35" s="1474"/>
      <c r="J35" s="1475"/>
      <c r="K35" s="1463" t="s">
        <v>65</v>
      </c>
      <c r="L35" s="509"/>
      <c r="M35" s="279"/>
      <c r="N35" s="279"/>
      <c r="Q35" s="1469" t="s">
        <v>115</v>
      </c>
    </row>
    <row r="36" spans="1:17" s="3" customFormat="1" ht="14">
      <c r="B36" s="1477"/>
      <c r="C36" s="1477"/>
      <c r="D36" s="1464"/>
      <c r="E36" s="1471" t="s">
        <v>4</v>
      </c>
      <c r="F36" s="1471" t="s">
        <v>5</v>
      </c>
      <c r="G36" s="1471" t="s">
        <v>6</v>
      </c>
      <c r="H36" s="1471" t="s">
        <v>132</v>
      </c>
      <c r="I36" s="1471" t="s">
        <v>7</v>
      </c>
      <c r="J36" s="1471" t="s">
        <v>142</v>
      </c>
      <c r="K36" s="1464"/>
      <c r="L36" s="510"/>
      <c r="M36" s="1470"/>
      <c r="N36" s="1470"/>
      <c r="Q36" s="1469"/>
    </row>
    <row r="37" spans="1:17" ht="14.25" customHeight="1">
      <c r="B37" s="1472"/>
      <c r="C37" s="1472"/>
      <c r="D37" s="1465"/>
      <c r="E37" s="1472"/>
      <c r="F37" s="1472"/>
      <c r="G37" s="1472"/>
      <c r="H37" s="1472"/>
      <c r="I37" s="1472"/>
      <c r="J37" s="1472"/>
      <c r="K37" s="1465"/>
      <c r="L37" s="510"/>
      <c r="M37" s="1470"/>
      <c r="N37" s="1470"/>
      <c r="Q37" s="1469"/>
    </row>
    <row r="38" spans="1:17" ht="16.5" customHeight="1">
      <c r="B38" s="1499">
        <v>1</v>
      </c>
      <c r="C38" s="1478" t="s">
        <v>133</v>
      </c>
      <c r="D38" s="187">
        <v>30</v>
      </c>
      <c r="E38" s="273"/>
      <c r="F38" s="273"/>
      <c r="G38" s="273"/>
      <c r="H38" s="273"/>
      <c r="I38" s="273"/>
      <c r="J38" s="273"/>
      <c r="K38" s="1466" t="s">
        <v>221</v>
      </c>
      <c r="L38" s="627" t="s">
        <v>375</v>
      </c>
      <c r="Q38" s="1462">
        <v>20</v>
      </c>
    </row>
    <row r="39" spans="1:17" ht="16.5" customHeight="1">
      <c r="B39" s="1479"/>
      <c r="C39" s="1479"/>
      <c r="D39" s="187">
        <v>60</v>
      </c>
      <c r="E39" s="273"/>
      <c r="F39" s="273"/>
      <c r="G39" s="273"/>
      <c r="H39" s="273"/>
      <c r="I39" s="273"/>
      <c r="J39" s="273"/>
      <c r="K39" s="1467"/>
      <c r="L39" s="661"/>
      <c r="Q39" s="1462"/>
    </row>
    <row r="40" spans="1:17" ht="15.75" customHeight="1">
      <c r="B40" s="1479"/>
      <c r="C40" s="1479"/>
      <c r="D40" s="187">
        <v>120</v>
      </c>
      <c r="E40" s="273"/>
      <c r="F40" s="273"/>
      <c r="G40" s="273"/>
      <c r="H40" s="273"/>
      <c r="I40" s="273"/>
      <c r="J40" s="273"/>
      <c r="K40" s="1467"/>
      <c r="L40" s="511"/>
      <c r="Q40" s="1462"/>
    </row>
    <row r="41" spans="1:17" ht="16.5" customHeight="1">
      <c r="B41" s="1480"/>
      <c r="C41" s="1480"/>
      <c r="D41" s="188">
        <v>180</v>
      </c>
      <c r="E41" s="273"/>
      <c r="F41" s="273"/>
      <c r="G41" s="273"/>
      <c r="H41" s="273"/>
      <c r="I41" s="273"/>
      <c r="J41" s="273"/>
      <c r="K41" s="1468"/>
      <c r="L41" s="511"/>
      <c r="Q41" s="1462"/>
    </row>
    <row r="42" spans="1:17" ht="7.5" customHeight="1">
      <c r="B42" s="195"/>
      <c r="C42" s="123"/>
      <c r="D42" s="194"/>
      <c r="E42" s="124"/>
      <c r="F42" s="124"/>
      <c r="G42" s="124"/>
      <c r="H42" s="124"/>
      <c r="I42" s="124"/>
      <c r="J42" s="124"/>
      <c r="K42" s="124"/>
      <c r="L42" s="82"/>
      <c r="M42" s="82"/>
      <c r="N42" s="82"/>
      <c r="Q42" s="501"/>
    </row>
    <row r="43" spans="1:17" ht="14.25" customHeight="1">
      <c r="B43" s="82" t="s">
        <v>218</v>
      </c>
      <c r="D43" s="194"/>
      <c r="E43" s="124"/>
      <c r="F43" s="124"/>
      <c r="G43" s="124"/>
      <c r="H43" s="124"/>
      <c r="I43" s="124"/>
      <c r="J43" s="124"/>
      <c r="K43" s="124"/>
      <c r="L43" s="82"/>
      <c r="M43" s="82"/>
      <c r="N43" s="82"/>
      <c r="Q43" s="501"/>
    </row>
    <row r="44" spans="1:17" ht="15" customHeight="1">
      <c r="B44" s="1471" t="s">
        <v>12</v>
      </c>
      <c r="C44" s="1471" t="s">
        <v>3</v>
      </c>
      <c r="D44" s="1463" t="s">
        <v>140</v>
      </c>
      <c r="E44" s="1473" t="s">
        <v>141</v>
      </c>
      <c r="F44" s="1474"/>
      <c r="G44" s="1474"/>
      <c r="H44" s="1474"/>
      <c r="I44" s="1474"/>
      <c r="J44" s="1475"/>
      <c r="K44" s="1463" t="s">
        <v>65</v>
      </c>
      <c r="L44" s="509"/>
      <c r="M44" s="279"/>
      <c r="N44" s="279"/>
      <c r="P44" s="124"/>
      <c r="Q44" s="1469" t="s">
        <v>115</v>
      </c>
    </row>
    <row r="45" spans="1:17" ht="15" customHeight="1">
      <c r="B45" s="1477"/>
      <c r="C45" s="1477"/>
      <c r="D45" s="1464"/>
      <c r="E45" s="1471" t="s">
        <v>4</v>
      </c>
      <c r="F45" s="1471" t="s">
        <v>5</v>
      </c>
      <c r="G45" s="1471" t="s">
        <v>6</v>
      </c>
      <c r="H45" s="1471" t="s">
        <v>132</v>
      </c>
      <c r="I45" s="1471" t="s">
        <v>7</v>
      </c>
      <c r="J45" s="1471" t="s">
        <v>142</v>
      </c>
      <c r="K45" s="1464"/>
      <c r="L45" s="510"/>
      <c r="M45" s="1470"/>
      <c r="N45" s="1470"/>
      <c r="P45" s="105"/>
      <c r="Q45" s="1469"/>
    </row>
    <row r="46" spans="1:17" ht="15" customHeight="1">
      <c r="B46" s="1472"/>
      <c r="C46" s="1472"/>
      <c r="D46" s="1465"/>
      <c r="E46" s="1472"/>
      <c r="F46" s="1472"/>
      <c r="G46" s="1472"/>
      <c r="H46" s="1472"/>
      <c r="I46" s="1472"/>
      <c r="J46" s="1472"/>
      <c r="K46" s="1465"/>
      <c r="L46" s="510"/>
      <c r="M46" s="1470"/>
      <c r="N46" s="1470"/>
      <c r="P46" s="80"/>
      <c r="Q46" s="1469"/>
    </row>
    <row r="47" spans="1:17" ht="16.5" customHeight="1">
      <c r="B47" s="1494">
        <v>1</v>
      </c>
      <c r="C47" s="1478" t="s">
        <v>165</v>
      </c>
      <c r="D47" s="187">
        <v>90</v>
      </c>
      <c r="E47" s="273"/>
      <c r="F47" s="273"/>
      <c r="G47" s="273"/>
      <c r="H47" s="273"/>
      <c r="I47" s="273"/>
      <c r="J47" s="273"/>
      <c r="K47" s="1482" t="s">
        <v>160</v>
      </c>
      <c r="L47" s="627" t="s">
        <v>375</v>
      </c>
      <c r="P47" s="80"/>
      <c r="Q47" s="1462">
        <v>15</v>
      </c>
    </row>
    <row r="48" spans="1:17" ht="16.5" customHeight="1">
      <c r="B48" s="1495"/>
      <c r="C48" s="1479"/>
      <c r="D48" s="187">
        <v>95</v>
      </c>
      <c r="E48" s="273"/>
      <c r="F48" s="273"/>
      <c r="G48" s="273"/>
      <c r="H48" s="273"/>
      <c r="I48" s="273"/>
      <c r="J48" s="273"/>
      <c r="K48" s="1483"/>
      <c r="L48" s="661"/>
      <c r="P48" s="80"/>
      <c r="Q48" s="1462"/>
    </row>
    <row r="49" spans="2:19" ht="18.75" customHeight="1">
      <c r="B49" s="1495"/>
      <c r="C49" s="1479"/>
      <c r="D49" s="187">
        <v>98</v>
      </c>
      <c r="E49" s="273"/>
      <c r="F49" s="273"/>
      <c r="G49" s="273"/>
      <c r="H49" s="273"/>
      <c r="I49" s="273"/>
      <c r="J49" s="273"/>
      <c r="K49" s="1483"/>
      <c r="L49" s="511"/>
      <c r="P49" s="80"/>
      <c r="Q49" s="1462"/>
    </row>
    <row r="50" spans="2:19" ht="16.5" customHeight="1">
      <c r="B50" s="1495"/>
      <c r="C50" s="1479"/>
      <c r="D50" s="187">
        <v>99</v>
      </c>
      <c r="E50" s="273"/>
      <c r="F50" s="273"/>
      <c r="G50" s="273"/>
      <c r="H50" s="273"/>
      <c r="I50" s="273"/>
      <c r="J50" s="273"/>
      <c r="K50" s="1483"/>
      <c r="L50" s="511"/>
      <c r="P50" s="80"/>
      <c r="Q50" s="1462"/>
    </row>
    <row r="51" spans="2:19" ht="18.75" customHeight="1">
      <c r="B51" s="1496"/>
      <c r="C51" s="1480"/>
      <c r="D51" s="188">
        <v>100</v>
      </c>
      <c r="E51" s="273"/>
      <c r="F51" s="273"/>
      <c r="G51" s="273"/>
      <c r="H51" s="273"/>
      <c r="I51" s="273"/>
      <c r="J51" s="273"/>
      <c r="K51" s="1484"/>
      <c r="L51" s="511"/>
      <c r="N51" s="205"/>
      <c r="P51" s="80"/>
      <c r="Q51" s="1462"/>
    </row>
    <row r="52" spans="2:19" ht="14">
      <c r="B52" s="195"/>
      <c r="C52" s="123"/>
      <c r="D52" s="194"/>
      <c r="E52" s="124"/>
      <c r="F52" s="124"/>
      <c r="G52" s="124"/>
      <c r="H52" s="124"/>
      <c r="I52" s="124"/>
      <c r="J52" s="124"/>
      <c r="K52" s="124"/>
      <c r="L52" s="82"/>
      <c r="M52" s="82"/>
      <c r="N52" s="82"/>
      <c r="Q52" s="502"/>
    </row>
    <row r="53" spans="2:19" ht="14">
      <c r="B53" s="195"/>
      <c r="C53" s="123"/>
      <c r="D53" s="194"/>
      <c r="E53" s="124"/>
      <c r="F53" s="124"/>
      <c r="G53" s="124"/>
      <c r="H53" s="124"/>
      <c r="I53" s="124"/>
      <c r="J53" s="124"/>
      <c r="K53" s="124"/>
      <c r="L53" s="82"/>
      <c r="M53" s="82"/>
      <c r="N53" s="82"/>
      <c r="Q53" s="502"/>
    </row>
    <row r="54" spans="2:19" ht="14">
      <c r="B54" s="82" t="s">
        <v>219</v>
      </c>
      <c r="D54" s="83"/>
      <c r="E54" s="83"/>
      <c r="F54" s="83"/>
      <c r="G54" s="83"/>
      <c r="H54" s="83"/>
      <c r="I54" s="83"/>
      <c r="J54" s="83"/>
      <c r="K54" s="83"/>
      <c r="L54" s="82"/>
      <c r="M54" s="82"/>
      <c r="N54" s="82"/>
      <c r="Q54" s="279"/>
      <c r="R54" s="279"/>
      <c r="S54" s="279"/>
    </row>
    <row r="55" spans="2:19" ht="15" customHeight="1">
      <c r="B55" s="1471" t="s">
        <v>12</v>
      </c>
      <c r="C55" s="1463" t="s">
        <v>145</v>
      </c>
      <c r="D55" s="1485" t="s">
        <v>272</v>
      </c>
      <c r="E55" s="1486"/>
      <c r="F55" s="1487"/>
      <c r="G55" s="1473" t="s">
        <v>141</v>
      </c>
      <c r="H55" s="1474"/>
      <c r="I55" s="1475"/>
      <c r="J55" s="1463" t="s">
        <v>65</v>
      </c>
      <c r="N55" s="509"/>
      <c r="Q55" s="1476"/>
      <c r="R55" s="1476"/>
      <c r="S55" s="1476"/>
    </row>
    <row r="56" spans="2:19" ht="15" customHeight="1">
      <c r="B56" s="1477"/>
      <c r="C56" s="1464"/>
      <c r="D56" s="1488"/>
      <c r="E56" s="1489"/>
      <c r="F56" s="1490"/>
      <c r="G56" s="1471" t="s">
        <v>4</v>
      </c>
      <c r="H56" s="1471" t="s">
        <v>5</v>
      </c>
      <c r="I56" s="1471" t="s">
        <v>6</v>
      </c>
      <c r="J56" s="1464"/>
      <c r="N56" s="1481"/>
      <c r="Q56" s="1476"/>
      <c r="R56" s="1476"/>
      <c r="S56" s="1476"/>
    </row>
    <row r="57" spans="2:19" ht="21" customHeight="1">
      <c r="B57" s="1472"/>
      <c r="C57" s="1465"/>
      <c r="D57" s="270" t="s">
        <v>271</v>
      </c>
      <c r="E57" s="269" t="s">
        <v>267</v>
      </c>
      <c r="F57" s="269" t="s">
        <v>268</v>
      </c>
      <c r="G57" s="1472"/>
      <c r="H57" s="1472"/>
      <c r="I57" s="1472"/>
      <c r="J57" s="1465"/>
      <c r="N57" s="1481"/>
      <c r="Q57" s="572"/>
      <c r="R57" s="572"/>
      <c r="S57" s="572"/>
    </row>
    <row r="58" spans="2:19" ht="16.5" customHeight="1">
      <c r="B58" s="1497">
        <v>1</v>
      </c>
      <c r="C58" s="196" t="s">
        <v>146</v>
      </c>
      <c r="D58" s="197">
        <v>120</v>
      </c>
      <c r="E58" s="96">
        <v>80</v>
      </c>
      <c r="F58" s="274">
        <v>35</v>
      </c>
      <c r="G58" s="273"/>
      <c r="H58" s="273"/>
      <c r="I58" s="273"/>
      <c r="J58" s="1482" t="s">
        <v>274</v>
      </c>
      <c r="K58" s="627" t="s">
        <v>376</v>
      </c>
      <c r="N58" s="518"/>
      <c r="Q58" s="572"/>
      <c r="R58" s="572"/>
      <c r="S58" s="572"/>
    </row>
    <row r="59" spans="2:19" ht="15.75" customHeight="1">
      <c r="B59" s="1498"/>
      <c r="C59" s="196" t="s">
        <v>147</v>
      </c>
      <c r="D59" s="197">
        <v>80</v>
      </c>
      <c r="E59" s="96">
        <v>50</v>
      </c>
      <c r="F59" s="274">
        <v>15</v>
      </c>
      <c r="G59" s="273"/>
      <c r="H59" s="273"/>
      <c r="I59" s="273"/>
      <c r="J59" s="1483"/>
      <c r="K59" s="80"/>
      <c r="N59" s="518"/>
      <c r="Q59" s="572"/>
      <c r="R59" s="572"/>
      <c r="S59" s="572"/>
    </row>
    <row r="60" spans="2:19" ht="16.5" customHeight="1">
      <c r="B60" s="1497">
        <v>2</v>
      </c>
      <c r="C60" s="196" t="s">
        <v>146</v>
      </c>
      <c r="D60" s="197">
        <v>150</v>
      </c>
      <c r="E60" s="96">
        <v>100</v>
      </c>
      <c r="F60" s="274">
        <v>60</v>
      </c>
      <c r="G60" s="273"/>
      <c r="H60" s="273"/>
      <c r="I60" s="273"/>
      <c r="J60" s="1483"/>
      <c r="N60" s="518"/>
      <c r="Q60" s="572"/>
      <c r="R60" s="572"/>
      <c r="S60" s="572"/>
    </row>
    <row r="61" spans="2:19" ht="15.75" customHeight="1">
      <c r="B61" s="1498"/>
      <c r="C61" s="196" t="s">
        <v>147</v>
      </c>
      <c r="D61" s="197">
        <v>100</v>
      </c>
      <c r="E61" s="96">
        <v>65</v>
      </c>
      <c r="F61" s="274">
        <v>30</v>
      </c>
      <c r="G61" s="273"/>
      <c r="H61" s="273"/>
      <c r="I61" s="273"/>
      <c r="J61" s="1483"/>
      <c r="N61" s="518"/>
      <c r="Q61" s="572"/>
      <c r="R61" s="572"/>
      <c r="S61" s="572"/>
    </row>
    <row r="62" spans="2:19" ht="16.5" customHeight="1">
      <c r="B62" s="1497">
        <v>3</v>
      </c>
      <c r="C62" s="196" t="s">
        <v>146</v>
      </c>
      <c r="D62" s="197">
        <v>200</v>
      </c>
      <c r="E62" s="96">
        <v>120</v>
      </c>
      <c r="F62" s="274">
        <v>80</v>
      </c>
      <c r="G62" s="273"/>
      <c r="H62" s="273"/>
      <c r="I62" s="273"/>
      <c r="J62" s="1483"/>
      <c r="N62" s="518"/>
      <c r="Q62" s="572"/>
      <c r="R62" s="572"/>
      <c r="S62" s="572"/>
    </row>
    <row r="63" spans="2:19" ht="16.5" customHeight="1">
      <c r="B63" s="1498"/>
      <c r="C63" s="196" t="s">
        <v>147</v>
      </c>
      <c r="D63" s="197">
        <v>150</v>
      </c>
      <c r="E63" s="96">
        <v>80</v>
      </c>
      <c r="F63" s="274">
        <v>50</v>
      </c>
      <c r="G63" s="273"/>
      <c r="H63" s="273"/>
      <c r="I63" s="273"/>
      <c r="J63" s="1483"/>
      <c r="N63" s="518"/>
      <c r="P63" s="79"/>
      <c r="Q63" s="572"/>
      <c r="R63" s="572"/>
      <c r="S63" s="572"/>
    </row>
    <row r="64" spans="2:19" ht="16.5" customHeight="1">
      <c r="B64" s="1497">
        <v>4</v>
      </c>
      <c r="C64" s="196" t="s">
        <v>146</v>
      </c>
      <c r="D64" s="197">
        <v>80</v>
      </c>
      <c r="E64" s="96">
        <v>150</v>
      </c>
      <c r="F64" s="274">
        <v>100</v>
      </c>
      <c r="G64" s="273"/>
      <c r="H64" s="273"/>
      <c r="I64" s="273"/>
      <c r="J64" s="1483"/>
      <c r="N64" s="518"/>
      <c r="P64" s="79"/>
      <c r="Q64" s="572"/>
      <c r="R64" s="572"/>
      <c r="S64" s="572"/>
    </row>
    <row r="65" spans="1:19" ht="17.25" customHeight="1">
      <c r="B65" s="1498"/>
      <c r="C65" s="196" t="s">
        <v>147</v>
      </c>
      <c r="D65" s="197">
        <v>50</v>
      </c>
      <c r="E65" s="96">
        <v>100</v>
      </c>
      <c r="F65" s="274">
        <v>70</v>
      </c>
      <c r="G65" s="273"/>
      <c r="H65" s="273"/>
      <c r="I65" s="273"/>
      <c r="J65" s="1484"/>
      <c r="N65" s="518"/>
      <c r="P65" s="79"/>
      <c r="Q65" s="572"/>
      <c r="R65" s="572"/>
      <c r="S65" s="572"/>
    </row>
    <row r="66" spans="1:19" ht="17.25" customHeight="1">
      <c r="B66" s="241" t="s">
        <v>103</v>
      </c>
      <c r="C66" s="198" t="s">
        <v>269</v>
      </c>
      <c r="D66" s="262" t="s">
        <v>270</v>
      </c>
      <c r="E66" s="124"/>
      <c r="F66" s="124"/>
      <c r="G66" s="124"/>
      <c r="H66" s="124"/>
      <c r="I66" s="124"/>
      <c r="J66" s="124"/>
      <c r="K66" s="124"/>
      <c r="L66" s="124"/>
      <c r="N66" s="205"/>
      <c r="O66" s="261"/>
      <c r="P66" s="79"/>
      <c r="Q66" s="503"/>
    </row>
    <row r="67" spans="1:19" ht="7.5" customHeight="1">
      <c r="B67" s="260"/>
      <c r="C67" s="198"/>
      <c r="D67" s="250"/>
      <c r="E67" s="199"/>
      <c r="F67" s="199"/>
      <c r="G67" s="199"/>
      <c r="H67" s="199"/>
      <c r="I67" s="199"/>
      <c r="J67" s="199"/>
      <c r="K67" s="200"/>
      <c r="L67" s="82"/>
      <c r="M67" s="82"/>
      <c r="N67" s="82"/>
      <c r="O67" s="79"/>
      <c r="P67" s="79"/>
    </row>
    <row r="68" spans="1:19" ht="15" customHeight="1">
      <c r="B68" s="82" t="s">
        <v>217</v>
      </c>
      <c r="D68" s="83"/>
      <c r="E68" s="83"/>
      <c r="F68" s="83"/>
      <c r="G68" s="83"/>
      <c r="H68" s="83"/>
      <c r="I68" s="83"/>
      <c r="J68" s="83"/>
      <c r="K68" s="83"/>
      <c r="L68" s="82"/>
      <c r="M68" s="82"/>
      <c r="N68" s="82"/>
      <c r="O68" s="79"/>
      <c r="P68" s="79"/>
    </row>
    <row r="69" spans="1:19" ht="20.25" customHeight="1">
      <c r="B69" s="1471" t="s">
        <v>12</v>
      </c>
      <c r="C69" s="1471" t="s">
        <v>3</v>
      </c>
      <c r="D69" s="1463" t="s">
        <v>140</v>
      </c>
      <c r="E69" s="1473" t="s">
        <v>141</v>
      </c>
      <c r="F69" s="1474"/>
      <c r="G69" s="1474"/>
      <c r="H69" s="1474"/>
      <c r="I69" s="1474"/>
      <c r="J69" s="1475"/>
      <c r="K69" s="1463" t="s">
        <v>65</v>
      </c>
      <c r="L69" s="509"/>
      <c r="M69" s="279"/>
      <c r="N69" s="279"/>
      <c r="P69" s="80"/>
      <c r="Q69" s="1469" t="s">
        <v>115</v>
      </c>
    </row>
    <row r="70" spans="1:19" ht="14.25" customHeight="1">
      <c r="B70" s="1477"/>
      <c r="C70" s="1477"/>
      <c r="D70" s="1464"/>
      <c r="E70" s="1471" t="s">
        <v>4</v>
      </c>
      <c r="F70" s="1471" t="s">
        <v>5</v>
      </c>
      <c r="G70" s="1471" t="s">
        <v>6</v>
      </c>
      <c r="H70" s="1471" t="s">
        <v>132</v>
      </c>
      <c r="I70" s="1471" t="s">
        <v>7</v>
      </c>
      <c r="J70" s="1471" t="s">
        <v>142</v>
      </c>
      <c r="K70" s="1464"/>
      <c r="L70" s="510"/>
      <c r="M70" s="1470"/>
      <c r="N70" s="1470"/>
      <c r="P70" s="80"/>
      <c r="Q70" s="1469"/>
    </row>
    <row r="71" spans="1:19" ht="14.25" customHeight="1">
      <c r="B71" s="1472"/>
      <c r="C71" s="1472"/>
      <c r="D71" s="1465"/>
      <c r="E71" s="1472"/>
      <c r="F71" s="1472"/>
      <c r="G71" s="1472"/>
      <c r="H71" s="1472"/>
      <c r="I71" s="1472"/>
      <c r="J71" s="1472"/>
      <c r="K71" s="1465"/>
      <c r="L71" s="510"/>
      <c r="M71" s="1470"/>
      <c r="N71" s="1470"/>
      <c r="P71" s="80"/>
      <c r="Q71" s="1469"/>
    </row>
    <row r="72" spans="1:19" ht="17.25" customHeight="1">
      <c r="B72" s="1491">
        <v>1</v>
      </c>
      <c r="C72" s="1478" t="s">
        <v>273</v>
      </c>
      <c r="D72" s="187">
        <v>20</v>
      </c>
      <c r="E72" s="273"/>
      <c r="F72" s="273"/>
      <c r="G72" s="273"/>
      <c r="H72" s="273"/>
      <c r="I72" s="273"/>
      <c r="J72" s="273"/>
      <c r="K72" s="1466" t="s">
        <v>220</v>
      </c>
      <c r="L72" s="627" t="s">
        <v>375</v>
      </c>
      <c r="N72" s="205"/>
      <c r="P72" s="80"/>
      <c r="Q72" s="1462">
        <v>5</v>
      </c>
    </row>
    <row r="73" spans="1:19" ht="16.5" customHeight="1">
      <c r="B73" s="1492"/>
      <c r="C73" s="1479"/>
      <c r="D73" s="187">
        <v>30</v>
      </c>
      <c r="E73" s="273"/>
      <c r="F73" s="273"/>
      <c r="G73" s="273"/>
      <c r="H73" s="273"/>
      <c r="I73" s="273"/>
      <c r="J73" s="273"/>
      <c r="K73" s="1467"/>
      <c r="L73" s="661"/>
      <c r="N73" s="205"/>
      <c r="Q73" s="1462"/>
    </row>
    <row r="74" spans="1:19" ht="16.5" customHeight="1">
      <c r="B74" s="1492"/>
      <c r="C74" s="1479"/>
      <c r="D74" s="187">
        <v>40</v>
      </c>
      <c r="E74" s="273"/>
      <c r="F74" s="273"/>
      <c r="G74" s="273"/>
      <c r="H74" s="273"/>
      <c r="I74" s="273"/>
      <c r="J74" s="273"/>
      <c r="K74" s="1467"/>
      <c r="L74" s="511"/>
      <c r="N74" s="205"/>
      <c r="Q74" s="1462"/>
    </row>
    <row r="75" spans="1:19" ht="16.5" customHeight="1">
      <c r="B75" s="1493"/>
      <c r="C75" s="1480"/>
      <c r="D75" s="188">
        <v>60</v>
      </c>
      <c r="E75" s="273"/>
      <c r="F75" s="273"/>
      <c r="G75" s="273"/>
      <c r="H75" s="273"/>
      <c r="I75" s="273"/>
      <c r="J75" s="273"/>
      <c r="K75" s="1468"/>
      <c r="L75" s="511"/>
      <c r="N75" s="205"/>
      <c r="Q75" s="1462"/>
    </row>
    <row r="76" spans="1:19" ht="16.5" customHeight="1">
      <c r="B76" s="204"/>
      <c r="C76" s="84"/>
      <c r="D76" s="194"/>
      <c r="E76" s="124"/>
      <c r="F76" s="124"/>
      <c r="G76" s="124"/>
      <c r="H76" s="124"/>
      <c r="I76" s="124"/>
      <c r="J76" s="124"/>
      <c r="K76" s="124"/>
      <c r="L76" s="124"/>
      <c r="N76" s="205"/>
      <c r="O76" s="125"/>
      <c r="Q76" s="504"/>
    </row>
    <row r="77" spans="1:19" ht="14.25" customHeight="1">
      <c r="A77" s="194" t="s">
        <v>143</v>
      </c>
      <c r="B77" s="206" t="s">
        <v>148</v>
      </c>
      <c r="D77" s="194"/>
      <c r="E77" s="124"/>
      <c r="F77" s="124"/>
      <c r="G77" s="124"/>
      <c r="H77" s="124"/>
      <c r="I77" s="124"/>
      <c r="J77" s="124"/>
      <c r="K77" s="124"/>
      <c r="L77" s="82"/>
      <c r="M77" s="82"/>
      <c r="N77" s="82"/>
      <c r="O77" s="79"/>
      <c r="Q77" s="505"/>
    </row>
    <row r="78" spans="1:19" ht="17.25" customHeight="1">
      <c r="B78" s="1505" t="s">
        <v>149</v>
      </c>
      <c r="C78" s="1505"/>
      <c r="D78" s="1505"/>
      <c r="E78" s="1505"/>
      <c r="F78" s="1505"/>
      <c r="G78" s="1505"/>
      <c r="H78" s="1505"/>
      <c r="I78" s="1505"/>
      <c r="J78" s="1505"/>
      <c r="K78" s="1505"/>
      <c r="L78" s="82"/>
      <c r="M78" s="82"/>
      <c r="N78" s="82"/>
      <c r="O78" s="79"/>
      <c r="P78" s="79"/>
    </row>
    <row r="79" spans="1:19" ht="16.5" customHeight="1">
      <c r="B79" s="1506" t="s">
        <v>150</v>
      </c>
      <c r="C79" s="1506"/>
      <c r="D79" s="1506"/>
      <c r="E79" s="1506"/>
      <c r="F79" s="1506"/>
      <c r="G79" s="1506"/>
      <c r="H79" s="1506"/>
      <c r="I79" s="1506"/>
      <c r="J79" s="1506"/>
      <c r="K79" s="1506"/>
      <c r="L79" s="82"/>
      <c r="M79" s="82"/>
      <c r="N79" s="82"/>
    </row>
    <row r="80" spans="1:19" ht="16.5" customHeight="1">
      <c r="B80" s="1505" t="s">
        <v>151</v>
      </c>
      <c r="C80" s="1505"/>
      <c r="D80" s="1505"/>
      <c r="E80" s="1505"/>
      <c r="F80" s="1505"/>
      <c r="G80" s="1505"/>
      <c r="H80" s="1505"/>
      <c r="I80" s="1505"/>
      <c r="J80" s="1505"/>
      <c r="K80" s="1505"/>
      <c r="L80" s="82"/>
      <c r="M80" s="82"/>
      <c r="N80" s="82"/>
    </row>
    <row r="81" spans="1:14" ht="17.25" customHeight="1">
      <c r="B81" s="1506" t="s">
        <v>152</v>
      </c>
      <c r="C81" s="1506"/>
      <c r="D81" s="1506"/>
      <c r="E81" s="1506"/>
      <c r="F81" s="1506"/>
      <c r="G81" s="1506"/>
      <c r="H81" s="1506"/>
      <c r="I81" s="1506"/>
      <c r="J81" s="1506"/>
      <c r="K81" s="1506"/>
      <c r="L81" s="82"/>
      <c r="M81" s="82"/>
      <c r="N81" s="82"/>
    </row>
    <row r="82" spans="1:14" ht="14">
      <c r="B82" s="195"/>
      <c r="C82" s="123"/>
      <c r="D82" s="194"/>
      <c r="E82" s="124"/>
      <c r="F82" s="124"/>
      <c r="G82" s="124"/>
      <c r="H82" s="124"/>
      <c r="I82" s="124"/>
      <c r="J82" s="124"/>
      <c r="K82" s="124"/>
    </row>
    <row r="83" spans="1:14" ht="14">
      <c r="A83" s="194" t="s">
        <v>144</v>
      </c>
      <c r="B83" s="82" t="s">
        <v>153</v>
      </c>
      <c r="D83" s="194"/>
      <c r="E83" s="124"/>
      <c r="F83" s="124"/>
      <c r="G83" s="124"/>
      <c r="H83" s="124"/>
      <c r="I83" s="124"/>
      <c r="J83" s="124"/>
      <c r="K83" s="124"/>
    </row>
    <row r="84" spans="1:14" ht="14">
      <c r="A84" s="83"/>
      <c r="B84" s="111" t="s">
        <v>154</v>
      </c>
      <c r="D84" s="79"/>
      <c r="E84" s="15"/>
      <c r="F84" s="15"/>
      <c r="G84" s="79"/>
      <c r="H84" s="79"/>
      <c r="I84" s="79"/>
      <c r="J84" s="79"/>
      <c r="K84" s="79"/>
    </row>
    <row r="85" spans="1:14" ht="14">
      <c r="A85" s="83"/>
      <c r="B85" s="111" t="s">
        <v>161</v>
      </c>
      <c r="D85" s="79"/>
      <c r="E85" s="79"/>
      <c r="F85" s="79"/>
      <c r="G85" s="79"/>
      <c r="H85" s="79"/>
      <c r="I85" s="79"/>
      <c r="J85" s="79"/>
      <c r="K85" s="79"/>
    </row>
    <row r="86" spans="1:14" ht="14">
      <c r="A86" s="83"/>
      <c r="B86" s="111" t="s">
        <v>162</v>
      </c>
      <c r="D86" s="79"/>
      <c r="E86" s="79"/>
      <c r="F86" s="79"/>
      <c r="G86" s="79"/>
      <c r="H86" s="79"/>
      <c r="I86" s="79"/>
      <c r="J86" s="79"/>
      <c r="K86" s="79"/>
    </row>
    <row r="87" spans="1:14" ht="14">
      <c r="A87" s="83"/>
      <c r="B87" s="111" t="s">
        <v>386</v>
      </c>
      <c r="D87" s="79"/>
      <c r="E87" s="79"/>
      <c r="F87" s="79"/>
      <c r="G87" s="79"/>
      <c r="H87" s="79"/>
      <c r="I87" s="79"/>
      <c r="J87" s="79"/>
      <c r="K87" s="79"/>
      <c r="L87" s="6"/>
      <c r="M87" s="6"/>
      <c r="N87" s="6"/>
    </row>
    <row r="88" spans="1:14" ht="14">
      <c r="A88" s="83"/>
      <c r="B88" s="83" t="s">
        <v>385</v>
      </c>
      <c r="D88" s="194"/>
      <c r="E88" s="124"/>
      <c r="F88" s="124"/>
      <c r="G88" s="124"/>
      <c r="H88" s="124"/>
      <c r="I88" s="124"/>
      <c r="J88" s="124"/>
      <c r="K88" s="124"/>
    </row>
    <row r="89" spans="1:14" ht="14">
      <c r="A89" s="83"/>
      <c r="B89" s="111" t="s">
        <v>383</v>
      </c>
      <c r="D89" s="194"/>
      <c r="E89" s="124"/>
      <c r="F89" s="124"/>
      <c r="G89" s="124"/>
      <c r="H89" s="124"/>
      <c r="I89" s="124"/>
      <c r="J89" s="124"/>
      <c r="K89" s="124"/>
    </row>
    <row r="90" spans="1:14" ht="14">
      <c r="A90" s="15"/>
      <c r="B90" s="83" t="s">
        <v>155</v>
      </c>
      <c r="D90" s="194"/>
      <c r="E90" s="124"/>
      <c r="F90" s="124"/>
      <c r="G90" s="124"/>
      <c r="H90" s="124"/>
      <c r="I90" s="124"/>
      <c r="J90" s="124"/>
      <c r="K90" s="124"/>
    </row>
    <row r="91" spans="1:14" ht="14">
      <c r="A91" s="15"/>
      <c r="B91" s="111" t="s">
        <v>384</v>
      </c>
      <c r="D91" s="194"/>
      <c r="E91" s="124"/>
      <c r="F91" s="124"/>
      <c r="G91" s="124"/>
      <c r="H91" s="124"/>
      <c r="I91" s="124"/>
      <c r="J91" s="124"/>
      <c r="K91" s="124"/>
    </row>
    <row r="92" spans="1:14" ht="14">
      <c r="A92" s="15"/>
      <c r="B92" s="111" t="s">
        <v>387</v>
      </c>
      <c r="D92" s="194"/>
      <c r="E92" s="124"/>
      <c r="F92" s="124"/>
      <c r="G92" s="124"/>
      <c r="H92" s="124"/>
      <c r="I92" s="124"/>
      <c r="J92" s="124"/>
      <c r="K92" s="124"/>
    </row>
    <row r="93" spans="1:14" ht="14">
      <c r="A93" s="195"/>
      <c r="B93" s="109" t="s">
        <v>156</v>
      </c>
      <c r="D93" s="194"/>
      <c r="E93" s="124"/>
      <c r="F93" s="124"/>
      <c r="G93" s="124"/>
      <c r="H93" s="124"/>
      <c r="I93" s="124"/>
      <c r="J93" s="124"/>
      <c r="K93" s="124"/>
    </row>
    <row r="94" spans="1:14" ht="14">
      <c r="A94" s="15"/>
      <c r="B94" s="109" t="s">
        <v>163</v>
      </c>
      <c r="D94" s="15"/>
      <c r="E94" s="15"/>
      <c r="F94" s="15"/>
      <c r="G94" s="15"/>
      <c r="H94" s="15"/>
      <c r="I94" s="15"/>
      <c r="J94" s="15"/>
      <c r="K94" s="15"/>
    </row>
    <row r="95" spans="1:14" ht="14">
      <c r="A95" s="15"/>
      <c r="B95" s="83" t="s">
        <v>157</v>
      </c>
      <c r="D95" s="15"/>
      <c r="E95" s="15"/>
      <c r="F95" s="15"/>
      <c r="G95" s="15"/>
      <c r="H95" s="15"/>
      <c r="I95" s="15"/>
      <c r="J95" s="15"/>
      <c r="K95" s="15"/>
    </row>
    <row r="96" spans="1:14" ht="14">
      <c r="A96" s="15"/>
      <c r="B96" s="83" t="s">
        <v>158</v>
      </c>
      <c r="D96" s="15"/>
      <c r="E96" s="15"/>
      <c r="F96" s="15"/>
      <c r="G96" s="15"/>
      <c r="H96" s="15"/>
      <c r="I96" s="15"/>
      <c r="J96" s="15"/>
      <c r="K96" s="15"/>
    </row>
    <row r="97" spans="1:16" ht="14">
      <c r="A97" s="201"/>
      <c r="B97" s="83" t="s">
        <v>164</v>
      </c>
      <c r="D97" s="15"/>
      <c r="E97" s="15"/>
      <c r="F97" s="15"/>
      <c r="G97" s="15"/>
      <c r="H97" s="15"/>
      <c r="I97" s="15"/>
      <c r="J97" s="15"/>
      <c r="K97" s="15"/>
    </row>
    <row r="98" spans="1:16"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6" ht="14">
      <c r="A99" s="194" t="s">
        <v>15</v>
      </c>
      <c r="B99" s="82" t="s">
        <v>280</v>
      </c>
      <c r="D99" s="15"/>
      <c r="E99" s="15"/>
      <c r="F99" s="15"/>
      <c r="G99" s="15"/>
      <c r="H99" s="15"/>
      <c r="I99" s="15"/>
      <c r="J99" s="15"/>
      <c r="K99" s="15"/>
    </row>
    <row r="100" spans="1:16" ht="14">
      <c r="A100" s="83"/>
      <c r="B100" s="113" t="s">
        <v>159</v>
      </c>
      <c r="D100" s="15"/>
      <c r="E100" s="15"/>
      <c r="F100" s="15"/>
      <c r="G100" s="15"/>
      <c r="H100" s="15"/>
      <c r="I100" s="15"/>
      <c r="J100" s="15"/>
      <c r="K100" s="15"/>
      <c r="N100" s="28"/>
      <c r="P100" s="1"/>
    </row>
    <row r="101" spans="1:16">
      <c r="B101" s="15"/>
      <c r="C101" s="202"/>
      <c r="D101" s="201"/>
      <c r="E101" s="15"/>
      <c r="F101" s="15"/>
      <c r="G101" s="15"/>
      <c r="H101" s="15"/>
      <c r="I101" s="15"/>
      <c r="J101" s="15"/>
      <c r="K101" s="15"/>
      <c r="L101" s="2"/>
      <c r="M101" s="2"/>
      <c r="N101" s="2"/>
      <c r="O101" s="2"/>
      <c r="P101" s="2"/>
    </row>
    <row r="102" spans="1:16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</sheetData>
  <sheetProtection insertRows="0"/>
  <mergeCells count="90">
    <mergeCell ref="A1:M1"/>
    <mergeCell ref="A2:M2"/>
    <mergeCell ref="E45:E46"/>
    <mergeCell ref="F45:F46"/>
    <mergeCell ref="G45:G46"/>
    <mergeCell ref="H45:H46"/>
    <mergeCell ref="I45:I46"/>
    <mergeCell ref="J45:J46"/>
    <mergeCell ref="E35:J35"/>
    <mergeCell ref="H19:L19"/>
    <mergeCell ref="E44:J44"/>
    <mergeCell ref="H36:H37"/>
    <mergeCell ref="I36:I37"/>
    <mergeCell ref="J36:J37"/>
    <mergeCell ref="K38:K41"/>
    <mergeCell ref="B23:B24"/>
    <mergeCell ref="B78:K78"/>
    <mergeCell ref="B79:K79"/>
    <mergeCell ref="B80:K80"/>
    <mergeCell ref="B81:K81"/>
    <mergeCell ref="F13:G13"/>
    <mergeCell ref="F14:G14"/>
    <mergeCell ref="F15:G15"/>
    <mergeCell ref="H13:I13"/>
    <mergeCell ref="H14:I14"/>
    <mergeCell ref="H15:I15"/>
    <mergeCell ref="D44:D46"/>
    <mergeCell ref="K23:L24"/>
    <mergeCell ref="K35:K37"/>
    <mergeCell ref="E36:E37"/>
    <mergeCell ref="F36:F37"/>
    <mergeCell ref="G36:G37"/>
    <mergeCell ref="Q38:Q41"/>
    <mergeCell ref="Q47:Q51"/>
    <mergeCell ref="Q44:Q46"/>
    <mergeCell ref="Q55:Q56"/>
    <mergeCell ref="I23:J24"/>
    <mergeCell ref="Q23:Q24"/>
    <mergeCell ref="Q26:Q27"/>
    <mergeCell ref="Q28:Q29"/>
    <mergeCell ref="M36:M37"/>
    <mergeCell ref="Q35:Q37"/>
    <mergeCell ref="N36:N37"/>
    <mergeCell ref="J58:J65"/>
    <mergeCell ref="B35:B37"/>
    <mergeCell ref="C35:C37"/>
    <mergeCell ref="D35:D37"/>
    <mergeCell ref="B38:B41"/>
    <mergeCell ref="C38:C41"/>
    <mergeCell ref="G55:I55"/>
    <mergeCell ref="B72:B75"/>
    <mergeCell ref="C72:C75"/>
    <mergeCell ref="B69:B71"/>
    <mergeCell ref="B47:B51"/>
    <mergeCell ref="B55:B57"/>
    <mergeCell ref="B58:B59"/>
    <mergeCell ref="B60:B61"/>
    <mergeCell ref="B62:B63"/>
    <mergeCell ref="B64:B65"/>
    <mergeCell ref="C69:C71"/>
    <mergeCell ref="R55:R56"/>
    <mergeCell ref="S55:S56"/>
    <mergeCell ref="G56:G57"/>
    <mergeCell ref="H56:H57"/>
    <mergeCell ref="B44:B46"/>
    <mergeCell ref="C44:C46"/>
    <mergeCell ref="I56:I57"/>
    <mergeCell ref="C47:C51"/>
    <mergeCell ref="C55:C57"/>
    <mergeCell ref="M45:M46"/>
    <mergeCell ref="N56:N57"/>
    <mergeCell ref="N45:N46"/>
    <mergeCell ref="K44:K46"/>
    <mergeCell ref="K47:K51"/>
    <mergeCell ref="J55:J57"/>
    <mergeCell ref="D55:F56"/>
    <mergeCell ref="Q72:Q75"/>
    <mergeCell ref="K69:K71"/>
    <mergeCell ref="K72:K75"/>
    <mergeCell ref="Q69:Q71"/>
    <mergeCell ref="D69:D71"/>
    <mergeCell ref="M70:M71"/>
    <mergeCell ref="N70:N71"/>
    <mergeCell ref="E70:E71"/>
    <mergeCell ref="F70:F71"/>
    <mergeCell ref="G70:G71"/>
    <mergeCell ref="H70:H71"/>
    <mergeCell ref="I70:I71"/>
    <mergeCell ref="J70:J71"/>
    <mergeCell ref="E69:J69"/>
  </mergeCells>
  <printOptions horizontalCentered="1"/>
  <pageMargins left="0.19685039370078741" right="7.874015748031496E-2" top="0.35433070866141736" bottom="0.23622047244094491" header="0.15748031496062992" footer="0.19685039370078741"/>
  <pageSetup paperSize="9" scale="75" orientation="portrait" horizontalDpi="4294967294" verticalDpi="4294967294" r:id="rId1"/>
  <headerFooter>
    <oddHeader>&amp;R&amp;8KL. 012-18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AE201"/>
  <sheetViews>
    <sheetView showGridLines="0" tabSelected="1" view="pageBreakPreview" topLeftCell="A90" zoomScaleNormal="100" zoomScaleSheetLayoutView="100" workbookViewId="0">
      <selection activeCell="B96" sqref="B96:M96"/>
    </sheetView>
  </sheetViews>
  <sheetFormatPr defaultColWidth="9.08984375" defaultRowHeight="13"/>
  <cols>
    <col min="1" max="1" width="4.08984375" style="4" customWidth="1"/>
    <col min="2" max="2" width="5.08984375" style="4" customWidth="1"/>
    <col min="3" max="3" width="12.36328125" style="4" customWidth="1"/>
    <col min="4" max="4" width="12.08984375" style="4" customWidth="1"/>
    <col min="5" max="7" width="9.54296875" style="4" customWidth="1"/>
    <col min="8" max="10" width="12.36328125" style="4" customWidth="1"/>
    <col min="11" max="11" width="12.08984375" style="4" customWidth="1"/>
    <col min="12" max="12" width="11.90625" style="4" customWidth="1"/>
    <col min="13" max="13" width="8.08984375" style="4" customWidth="1"/>
    <col min="14" max="14" width="11.36328125" style="4" customWidth="1"/>
    <col min="15" max="20" width="9.08984375" style="4"/>
    <col min="21" max="21" width="12.54296875" style="4" bestFit="1" customWidth="1"/>
    <col min="22" max="16384" width="9.08984375" style="4"/>
  </cols>
  <sheetData>
    <row r="1" spans="1:31" ht="18">
      <c r="A1" s="1513" t="s">
        <v>536</v>
      </c>
      <c r="B1" s="1513"/>
      <c r="C1" s="1513"/>
      <c r="D1" s="1513"/>
      <c r="E1" s="1513"/>
      <c r="F1" s="1513"/>
      <c r="G1" s="1513"/>
      <c r="H1" s="1513"/>
      <c r="I1" s="1513"/>
      <c r="J1" s="1513"/>
      <c r="K1" s="1513"/>
      <c r="L1" s="1513"/>
      <c r="M1" s="1513"/>
      <c r="N1" s="5"/>
    </row>
    <row r="2" spans="1:31" ht="15.5">
      <c r="A2" s="271"/>
      <c r="B2" s="271"/>
      <c r="C2" s="271"/>
      <c r="H2" s="272" t="str">
        <f>IF(Penyelia!J112&lt;70,'kata-kata'!B4,'kata-kata'!B3)</f>
        <v xml:space="preserve">Nomor Sertifikat : 7 / </v>
      </c>
      <c r="I2" s="288" t="s">
        <v>588</v>
      </c>
      <c r="J2" s="1231"/>
      <c r="K2" s="271"/>
      <c r="L2" s="271"/>
      <c r="M2" s="271"/>
    </row>
    <row r="3" spans="1:31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4" spans="1:31" ht="14">
      <c r="A4" s="80" t="str">
        <f>LK!A4</f>
        <v>Merek</v>
      </c>
      <c r="B4" s="80"/>
      <c r="D4" s="80"/>
      <c r="E4" s="95" t="s">
        <v>60</v>
      </c>
      <c r="F4" s="289" t="s">
        <v>565</v>
      </c>
      <c r="G4" s="1232"/>
      <c r="H4" s="1232"/>
      <c r="I4" s="1232"/>
      <c r="J4" s="1232"/>
      <c r="K4" s="79"/>
      <c r="L4" s="79"/>
      <c r="M4" s="79"/>
    </row>
    <row r="5" spans="1:31" ht="14">
      <c r="A5" s="80" t="str">
        <f>LK!A5</f>
        <v>Model/Tipe</v>
      </c>
      <c r="B5" s="80"/>
      <c r="D5" s="80"/>
      <c r="E5" s="95" t="s">
        <v>60</v>
      </c>
      <c r="F5" s="289" t="s">
        <v>566</v>
      </c>
      <c r="G5" s="1232"/>
      <c r="H5" s="1232"/>
      <c r="I5" s="1232"/>
      <c r="J5" s="1232"/>
      <c r="K5" s="79"/>
      <c r="L5" s="79"/>
      <c r="M5" s="79"/>
      <c r="N5" s="4" t="s">
        <v>81</v>
      </c>
    </row>
    <row r="6" spans="1:31" ht="14">
      <c r="A6" s="80" t="str">
        <f>LK!A6</f>
        <v>No. Seri</v>
      </c>
      <c r="B6" s="80"/>
      <c r="D6" s="80"/>
      <c r="E6" s="95" t="s">
        <v>60</v>
      </c>
      <c r="F6" s="290" t="s">
        <v>567</v>
      </c>
      <c r="G6" s="1232"/>
      <c r="H6" s="1232"/>
      <c r="I6" s="1232"/>
      <c r="J6" s="1232"/>
      <c r="K6" s="79"/>
      <c r="L6" s="79"/>
      <c r="M6" s="79"/>
    </row>
    <row r="7" spans="1:31" ht="14">
      <c r="A7" s="80" t="str">
        <f>LK!A7</f>
        <v>Tanggal Penerimaan Alat</v>
      </c>
      <c r="B7" s="80"/>
      <c r="D7" s="80"/>
      <c r="E7" s="95" t="s">
        <v>60</v>
      </c>
      <c r="F7" s="290" t="s">
        <v>572</v>
      </c>
      <c r="G7" s="1232"/>
      <c r="H7" s="1232"/>
      <c r="I7" s="1232"/>
      <c r="J7" s="1232"/>
      <c r="K7" s="79"/>
      <c r="L7" s="79"/>
      <c r="M7" s="79"/>
    </row>
    <row r="8" spans="1:31" ht="14">
      <c r="A8" s="80" t="str">
        <f>LK!A8</f>
        <v>Tanggal Kalibrasi</v>
      </c>
      <c r="B8" s="80"/>
      <c r="D8" s="80"/>
      <c r="E8" s="95" t="s">
        <v>60</v>
      </c>
      <c r="F8" s="290" t="s">
        <v>573</v>
      </c>
      <c r="G8" s="1232"/>
      <c r="H8" s="1232"/>
      <c r="I8" s="1232"/>
      <c r="J8" s="1232"/>
      <c r="K8" s="79"/>
      <c r="L8" s="79"/>
      <c r="M8" s="79"/>
    </row>
    <row r="9" spans="1:31" ht="14">
      <c r="A9" s="80" t="str">
        <f>LK!A9</f>
        <v>Tempat Kalibrasi</v>
      </c>
      <c r="B9" s="80"/>
      <c r="D9" s="80"/>
      <c r="E9" s="95" t="s">
        <v>60</v>
      </c>
      <c r="F9" s="1553" t="s">
        <v>568</v>
      </c>
      <c r="G9" s="1553"/>
      <c r="H9" s="1553"/>
      <c r="I9" s="1553"/>
      <c r="J9" s="1553"/>
      <c r="K9" s="79"/>
      <c r="L9" s="79"/>
      <c r="M9" s="79"/>
    </row>
    <row r="10" spans="1:31" ht="14">
      <c r="A10" s="80" t="s">
        <v>22</v>
      </c>
      <c r="B10" s="80"/>
      <c r="D10" s="80"/>
      <c r="E10" s="95" t="s">
        <v>60</v>
      </c>
      <c r="F10" s="294" t="s">
        <v>568</v>
      </c>
      <c r="G10" s="1232"/>
      <c r="H10" s="1232"/>
      <c r="I10" s="1232"/>
      <c r="J10" s="1233"/>
      <c r="K10" s="79"/>
      <c r="L10" s="79"/>
      <c r="M10" s="79"/>
    </row>
    <row r="11" spans="1:31" ht="14.5">
      <c r="A11" s="80" t="s">
        <v>69</v>
      </c>
      <c r="B11" s="80"/>
      <c r="D11" s="80"/>
      <c r="E11" s="95" t="s">
        <v>60</v>
      </c>
      <c r="F11" s="83" t="s">
        <v>569</v>
      </c>
      <c r="G11" s="80"/>
      <c r="H11" s="80"/>
      <c r="I11" s="80"/>
      <c r="J11" s="80"/>
      <c r="K11" s="79"/>
      <c r="L11" s="79"/>
      <c r="M11" s="79"/>
      <c r="O11" s="53"/>
    </row>
    <row r="12" spans="1:31">
      <c r="A12" s="79"/>
      <c r="B12" s="79"/>
      <c r="D12" s="79"/>
      <c r="E12" s="79"/>
      <c r="F12" s="79"/>
      <c r="G12" s="79"/>
      <c r="H12" s="79"/>
      <c r="I12" s="79"/>
      <c r="J12" s="79"/>
      <c r="K12" s="79"/>
      <c r="L12" s="79"/>
      <c r="M12" s="79"/>
    </row>
    <row r="13" spans="1:31" ht="14">
      <c r="A13" s="81" t="s">
        <v>558</v>
      </c>
      <c r="B13" s="81" t="s">
        <v>9</v>
      </c>
      <c r="D13" s="81"/>
      <c r="E13" s="79"/>
      <c r="F13" s="96" t="s">
        <v>56</v>
      </c>
      <c r="G13" s="96" t="s">
        <v>57</v>
      </c>
      <c r="H13" s="1507" t="s">
        <v>93</v>
      </c>
      <c r="I13" s="1508"/>
      <c r="J13" s="79"/>
      <c r="K13" s="79"/>
      <c r="L13" s="79"/>
    </row>
    <row r="14" spans="1:31" ht="14">
      <c r="A14" s="80"/>
      <c r="B14" s="80" t="s">
        <v>19</v>
      </c>
      <c r="D14" s="80"/>
      <c r="E14" s="95" t="s">
        <v>60</v>
      </c>
      <c r="F14" s="291">
        <v>26.6</v>
      </c>
      <c r="G14" s="291">
        <v>26.5</v>
      </c>
      <c r="H14" s="1556" t="str">
        <f>'DB Thermohygro'!M393</f>
        <v>26.9</v>
      </c>
      <c r="I14" s="1557"/>
      <c r="J14" s="80" t="s">
        <v>80</v>
      </c>
      <c r="K14" s="79"/>
      <c r="L14" s="79"/>
    </row>
    <row r="15" spans="1:31" ht="14">
      <c r="A15" s="80"/>
      <c r="B15" s="80" t="s">
        <v>125</v>
      </c>
      <c r="D15" s="80"/>
      <c r="E15" s="95" t="s">
        <v>60</v>
      </c>
      <c r="F15" s="292">
        <v>68.3</v>
      </c>
      <c r="G15" s="292">
        <v>68.7</v>
      </c>
      <c r="H15" s="1556" t="str">
        <f>'DB Thermohygro'!M394</f>
        <v>66.2</v>
      </c>
      <c r="I15" s="1557"/>
      <c r="J15" s="80" t="s">
        <v>76</v>
      </c>
      <c r="K15" s="79"/>
      <c r="L15" s="79"/>
      <c r="O15" s="310"/>
      <c r="P15" s="310"/>
      <c r="AE15" s="310"/>
    </row>
    <row r="16" spans="1:31" ht="14">
      <c r="A16" s="80"/>
      <c r="B16" s="80" t="s">
        <v>82</v>
      </c>
      <c r="D16" s="80"/>
      <c r="E16" s="95" t="s">
        <v>60</v>
      </c>
      <c r="F16" s="1554">
        <v>213.2</v>
      </c>
      <c r="G16" s="1555"/>
      <c r="H16" s="1546"/>
      <c r="I16" s="1546"/>
      <c r="J16" s="79"/>
      <c r="K16" s="79"/>
      <c r="L16" s="79"/>
      <c r="O16" s="310"/>
      <c r="P16" s="310"/>
      <c r="Y16" s="265"/>
      <c r="Z16" s="264"/>
      <c r="AE16" s="310"/>
    </row>
    <row r="17" spans="1:31" ht="14">
      <c r="A17" s="80"/>
      <c r="B17" s="80"/>
      <c r="D17" s="80"/>
      <c r="E17" s="79"/>
      <c r="F17" s="80"/>
      <c r="G17" s="80"/>
      <c r="H17" s="80"/>
      <c r="I17" s="79"/>
      <c r="J17" s="79"/>
      <c r="K17" s="79"/>
      <c r="L17" s="79"/>
      <c r="M17" s="79"/>
      <c r="O17" s="310"/>
      <c r="P17" s="310"/>
      <c r="Y17" s="265"/>
      <c r="AE17" s="310"/>
    </row>
    <row r="18" spans="1:31" ht="14">
      <c r="A18" s="81" t="s">
        <v>559</v>
      </c>
      <c r="B18" s="81" t="s">
        <v>96</v>
      </c>
      <c r="D18" s="81"/>
      <c r="E18" s="79"/>
      <c r="F18" s="81"/>
      <c r="G18" s="81"/>
      <c r="H18" s="81"/>
      <c r="I18" s="97"/>
      <c r="J18" s="79"/>
      <c r="K18" s="79"/>
      <c r="L18" s="79"/>
      <c r="M18" s="79"/>
      <c r="O18" s="310"/>
      <c r="P18" s="310"/>
      <c r="Y18" s="1234"/>
      <c r="Z18" s="264"/>
      <c r="AE18" s="310"/>
    </row>
    <row r="19" spans="1:31" ht="14">
      <c r="A19" s="80"/>
      <c r="B19" s="80" t="str">
        <f>LK!B19</f>
        <v>1. Fisik</v>
      </c>
      <c r="D19" s="80"/>
      <c r="E19" s="95" t="s">
        <v>60</v>
      </c>
      <c r="F19" s="94" t="s">
        <v>570</v>
      </c>
      <c r="G19" s="80"/>
      <c r="H19" s="80"/>
      <c r="I19" s="79"/>
      <c r="J19" s="79"/>
      <c r="K19" s="79"/>
      <c r="L19" s="79"/>
      <c r="M19" s="79"/>
      <c r="O19" s="310"/>
      <c r="Y19" s="265"/>
      <c r="Z19" s="913"/>
      <c r="AE19" s="310"/>
    </row>
    <row r="20" spans="1:31" ht="14.15" customHeight="1">
      <c r="A20" s="80"/>
      <c r="B20" s="80" t="str">
        <f>LK!B20</f>
        <v>2. Fungsi</v>
      </c>
      <c r="D20" s="80"/>
      <c r="E20" s="95" t="s">
        <v>60</v>
      </c>
      <c r="F20" s="94" t="s">
        <v>570</v>
      </c>
      <c r="G20" s="80"/>
      <c r="H20" s="80"/>
      <c r="I20" s="79"/>
      <c r="J20" s="79"/>
      <c r="K20" s="79"/>
      <c r="L20" s="79"/>
      <c r="M20" s="79"/>
      <c r="O20" s="310"/>
      <c r="Y20" s="286"/>
      <c r="Z20" s="264"/>
      <c r="AE20" s="310"/>
    </row>
    <row r="21" spans="1:31" ht="14.15" customHeight="1">
      <c r="A21" s="81"/>
      <c r="B21" s="81"/>
      <c r="D21" s="80"/>
      <c r="E21" s="80"/>
      <c r="F21" s="80"/>
      <c r="G21" s="80"/>
      <c r="H21" s="80"/>
      <c r="I21" s="79"/>
      <c r="J21" s="79"/>
      <c r="K21" s="79"/>
      <c r="L21" s="79"/>
      <c r="M21" s="79"/>
      <c r="O21" s="310"/>
      <c r="Z21" s="276"/>
      <c r="AE21" s="310"/>
    </row>
    <row r="22" spans="1:31" ht="14">
      <c r="A22" s="81" t="s">
        <v>2</v>
      </c>
      <c r="B22" s="81" t="s">
        <v>23</v>
      </c>
      <c r="D22" s="80"/>
      <c r="E22" s="80"/>
      <c r="F22" s="80"/>
      <c r="G22" s="80"/>
      <c r="H22" s="80"/>
      <c r="I22" s="79"/>
      <c r="J22" s="79"/>
      <c r="K22" s="79"/>
      <c r="L22" s="79"/>
      <c r="M22" s="79"/>
      <c r="N22" s="7"/>
      <c r="O22" s="1235"/>
      <c r="Y22" s="914"/>
      <c r="Z22" s="915"/>
      <c r="AE22" s="310"/>
    </row>
    <row r="23" spans="1:31" ht="12.75" customHeight="1">
      <c r="B23" s="1516" t="s">
        <v>12</v>
      </c>
      <c r="C23" s="1547" t="s">
        <v>3</v>
      </c>
      <c r="D23" s="1548"/>
      <c r="E23" s="1548"/>
      <c r="F23" s="1548"/>
      <c r="G23" s="1548"/>
      <c r="H23" s="1548"/>
      <c r="I23" s="1548"/>
      <c r="J23" s="1500" t="s">
        <v>68</v>
      </c>
      <c r="K23" s="1501"/>
      <c r="L23" s="1500" t="s">
        <v>13</v>
      </c>
      <c r="M23" s="1501"/>
      <c r="N23" s="7"/>
      <c r="O23" s="180"/>
      <c r="Y23" s="264"/>
      <c r="AE23" s="310"/>
    </row>
    <row r="24" spans="1:31" ht="17.25" customHeight="1">
      <c r="B24" s="1517"/>
      <c r="C24" s="1549"/>
      <c r="D24" s="1550"/>
      <c r="E24" s="1550"/>
      <c r="F24" s="1550"/>
      <c r="G24" s="1550"/>
      <c r="H24" s="1550"/>
      <c r="I24" s="1550"/>
      <c r="J24" s="1511"/>
      <c r="K24" s="1512"/>
      <c r="L24" s="1511"/>
      <c r="M24" s="1512"/>
      <c r="O24" s="180"/>
      <c r="AE24" s="310"/>
    </row>
    <row r="25" spans="1:31" ht="15.5">
      <c r="B25" s="98">
        <v>1</v>
      </c>
      <c r="C25" s="99" t="s">
        <v>260</v>
      </c>
      <c r="D25" s="100"/>
      <c r="E25" s="100"/>
      <c r="F25" s="100"/>
      <c r="G25" s="100"/>
      <c r="H25" s="100"/>
      <c r="I25" s="1236"/>
      <c r="J25" s="312">
        <v>12</v>
      </c>
      <c r="K25" s="119" t="s">
        <v>543</v>
      </c>
      <c r="L25" s="1174">
        <v>2</v>
      </c>
      <c r="M25" s="101" t="s">
        <v>83</v>
      </c>
      <c r="N25" s="29"/>
      <c r="O25" s="311"/>
      <c r="AE25" s="310"/>
    </row>
    <row r="26" spans="1:31" ht="14">
      <c r="B26" s="98">
        <v>2</v>
      </c>
      <c r="C26" s="1530" t="s">
        <v>264</v>
      </c>
      <c r="D26" s="1531"/>
      <c r="E26" s="1531"/>
      <c r="F26" s="1531"/>
      <c r="G26" s="1531"/>
      <c r="H26" s="1531"/>
      <c r="I26" s="1532"/>
      <c r="J26" s="313">
        <v>0.223</v>
      </c>
      <c r="K26" s="119" t="s">
        <v>71</v>
      </c>
      <c r="L26" s="944">
        <f>IF(C26='kata-kata'!D9,'kata-kata'!C9,'kata-kata'!C10)</f>
        <v>0.3</v>
      </c>
      <c r="M26" s="101" t="s">
        <v>84</v>
      </c>
      <c r="N26" s="29"/>
      <c r="O26" s="1476"/>
      <c r="R26" s="1519" t="s">
        <v>244</v>
      </c>
      <c r="S26" s="1520"/>
      <c r="T26" s="1518" t="s">
        <v>72</v>
      </c>
      <c r="U26" s="1518" t="s">
        <v>65</v>
      </c>
      <c r="AE26" s="310"/>
    </row>
    <row r="27" spans="1:31" ht="14">
      <c r="B27" s="98">
        <v>3</v>
      </c>
      <c r="C27" s="1530" t="s">
        <v>127</v>
      </c>
      <c r="D27" s="1531"/>
      <c r="E27" s="1531"/>
      <c r="F27" s="1531"/>
      <c r="G27" s="1531"/>
      <c r="H27" s="1531"/>
      <c r="I27" s="1532"/>
      <c r="J27" s="314">
        <v>670</v>
      </c>
      <c r="K27" s="119" t="s">
        <v>72</v>
      </c>
      <c r="L27" s="928">
        <f>IF(C27='kata-kata'!D11,'kata-kata'!C11,'kata-kata'!C12)</f>
        <v>500</v>
      </c>
      <c r="M27" s="101" t="s">
        <v>72</v>
      </c>
      <c r="O27" s="1476"/>
      <c r="P27" s="1230"/>
      <c r="R27" s="1521"/>
      <c r="S27" s="1522"/>
      <c r="T27" s="1518"/>
      <c r="U27" s="1518"/>
      <c r="AE27" s="310"/>
    </row>
    <row r="28" spans="1:31" ht="15.5">
      <c r="B28" s="98">
        <v>4</v>
      </c>
      <c r="C28" s="99" t="s">
        <v>101</v>
      </c>
      <c r="D28" s="100"/>
      <c r="E28" s="100"/>
      <c r="F28" s="100"/>
      <c r="G28" s="100"/>
      <c r="H28" s="100"/>
      <c r="I28" s="1236"/>
      <c r="J28" s="314">
        <v>34</v>
      </c>
      <c r="K28" s="119" t="s">
        <v>72</v>
      </c>
      <c r="L28" s="928">
        <v>50</v>
      </c>
      <c r="M28" s="101" t="s">
        <v>72</v>
      </c>
      <c r="O28" s="916"/>
      <c r="P28" s="917"/>
      <c r="Q28" s="918"/>
      <c r="R28" s="921" t="s">
        <v>527</v>
      </c>
      <c r="S28" s="849" t="s">
        <v>528</v>
      </c>
      <c r="T28" s="1237">
        <v>67</v>
      </c>
      <c r="U28" s="922">
        <v>100</v>
      </c>
      <c r="AE28" s="310"/>
    </row>
    <row r="29" spans="1:31">
      <c r="B29" s="1238"/>
      <c r="C29" s="79"/>
      <c r="D29" s="79"/>
      <c r="E29" s="79"/>
      <c r="F29" s="79"/>
      <c r="G29" s="79"/>
      <c r="H29" s="79"/>
      <c r="I29" s="102"/>
      <c r="J29" s="103"/>
      <c r="K29" s="79"/>
      <c r="L29" s="79"/>
      <c r="M29" s="79"/>
      <c r="O29" s="310"/>
      <c r="P29" s="310"/>
      <c r="Q29" s="310"/>
      <c r="R29" s="310"/>
      <c r="S29" s="310"/>
      <c r="T29" s="310"/>
      <c r="U29" s="310"/>
      <c r="AE29" s="310"/>
    </row>
    <row r="30" spans="1:31" ht="14">
      <c r="A30" s="82" t="str">
        <f>LK!A33</f>
        <v>IV.</v>
      </c>
      <c r="B30" s="82" t="str">
        <f>LK!B33</f>
        <v xml:space="preserve">Pengujian Kinerja </v>
      </c>
      <c r="O30" s="286"/>
    </row>
    <row r="31" spans="1:31" ht="14">
      <c r="A31" s="82"/>
      <c r="B31" s="82" t="str">
        <f>IF(C35='kata-kata'!J20,'kata-kata'!J15,'kata-kata'!J16)</f>
        <v>a. Kalibrasi Heart Rate</v>
      </c>
      <c r="D31" s="83"/>
      <c r="E31" s="82"/>
      <c r="F31" s="82"/>
      <c r="G31" s="82"/>
      <c r="H31" s="82"/>
      <c r="I31" s="82"/>
      <c r="J31" s="83"/>
      <c r="K31" s="83"/>
      <c r="L31" s="83"/>
      <c r="M31" s="79"/>
      <c r="O31" s="286"/>
    </row>
    <row r="32" spans="1:31" s="3" customFormat="1" ht="14.25" customHeight="1">
      <c r="B32" s="1471" t="s">
        <v>12</v>
      </c>
      <c r="C32" s="1471" t="s">
        <v>3</v>
      </c>
      <c r="D32" s="1463" t="s">
        <v>134</v>
      </c>
      <c r="E32" s="1525" t="s">
        <v>166</v>
      </c>
      <c r="F32" s="1525"/>
      <c r="G32" s="1525"/>
      <c r="H32" s="1525"/>
      <c r="I32" s="1525"/>
      <c r="J32" s="1525"/>
      <c r="K32" s="1463" t="s">
        <v>136</v>
      </c>
      <c r="L32" s="1463" t="s">
        <v>78</v>
      </c>
      <c r="M32" s="1516" t="s">
        <v>28</v>
      </c>
      <c r="O32" s="286"/>
    </row>
    <row r="33" spans="2:16" s="3" customFormat="1" ht="12.75" customHeight="1">
      <c r="B33" s="1477"/>
      <c r="C33" s="1477"/>
      <c r="D33" s="1464"/>
      <c r="E33" s="1525" t="s">
        <v>4</v>
      </c>
      <c r="F33" s="1525" t="s">
        <v>5</v>
      </c>
      <c r="G33" s="1525" t="s">
        <v>6</v>
      </c>
      <c r="H33" s="1525" t="s">
        <v>132</v>
      </c>
      <c r="I33" s="1525" t="s">
        <v>7</v>
      </c>
      <c r="J33" s="1526" t="s">
        <v>142</v>
      </c>
      <c r="K33" s="1464"/>
      <c r="L33" s="1464"/>
      <c r="M33" s="1560"/>
      <c r="O33" s="286"/>
    </row>
    <row r="34" spans="2:16" s="3" customFormat="1" ht="14">
      <c r="B34" s="1472"/>
      <c r="C34" s="1472"/>
      <c r="D34" s="1465"/>
      <c r="E34" s="1525"/>
      <c r="F34" s="1525"/>
      <c r="G34" s="1525"/>
      <c r="H34" s="1525"/>
      <c r="I34" s="1525"/>
      <c r="J34" s="1526"/>
      <c r="K34" s="1465"/>
      <c r="L34" s="1465"/>
      <c r="M34" s="1517"/>
      <c r="O34" s="286"/>
    </row>
    <row r="35" spans="2:16" ht="17.149999999999999" customHeight="1">
      <c r="B35" s="1499">
        <v>1</v>
      </c>
      <c r="C35" s="1527" t="s">
        <v>366</v>
      </c>
      <c r="D35" s="187">
        <v>30</v>
      </c>
      <c r="E35" s="628">
        <v>28</v>
      </c>
      <c r="F35" s="628">
        <v>28</v>
      </c>
      <c r="G35" s="628">
        <v>28</v>
      </c>
      <c r="H35" s="628">
        <v>28</v>
      </c>
      <c r="I35" s="628">
        <v>30</v>
      </c>
      <c r="J35" s="628">
        <v>30</v>
      </c>
      <c r="K35" s="630">
        <f>AVERAGE(E35:J35)</f>
        <v>28.666666666666668</v>
      </c>
      <c r="L35" s="631">
        <f>'DB ECG SIM'!S271</f>
        <v>28.666667824959351</v>
      </c>
      <c r="M35" s="186">
        <f>STDEV(E35:J35)</f>
        <v>1.0327955589886446</v>
      </c>
    </row>
    <row r="36" spans="2:16" ht="17.149999999999999" customHeight="1">
      <c r="B36" s="1479"/>
      <c r="C36" s="1528"/>
      <c r="D36" s="187">
        <v>60</v>
      </c>
      <c r="E36" s="628">
        <v>59</v>
      </c>
      <c r="F36" s="628">
        <v>60</v>
      </c>
      <c r="G36" s="628">
        <v>60</v>
      </c>
      <c r="H36" s="628">
        <v>60</v>
      </c>
      <c r="I36" s="628">
        <v>60</v>
      </c>
      <c r="J36" s="628">
        <v>60</v>
      </c>
      <c r="K36" s="630">
        <f>AVERAGE(E36:J36)</f>
        <v>59.833333333333336</v>
      </c>
      <c r="L36" s="631">
        <f>'DB ECG SIM'!S272</f>
        <v>59.833334383302848</v>
      </c>
      <c r="M36" s="186">
        <f>STDEV(E36:J36)</f>
        <v>0.40824829046386302</v>
      </c>
    </row>
    <row r="37" spans="2:16" ht="17.149999999999999" customHeight="1">
      <c r="B37" s="1479"/>
      <c r="C37" s="1528"/>
      <c r="D37" s="187">
        <v>120</v>
      </c>
      <c r="E37" s="628">
        <v>119</v>
      </c>
      <c r="F37" s="628">
        <v>120</v>
      </c>
      <c r="G37" s="628">
        <v>120</v>
      </c>
      <c r="H37" s="628">
        <v>120</v>
      </c>
      <c r="I37" s="628">
        <v>120</v>
      </c>
      <c r="J37" s="628">
        <v>120</v>
      </c>
      <c r="K37" s="630">
        <f>AVERAGE(E37:J37)</f>
        <v>119.83333333333333</v>
      </c>
      <c r="L37" s="631">
        <f>'DB ECG SIM'!S273</f>
        <v>119.83333417476625</v>
      </c>
      <c r="M37" s="186">
        <f>STDEV(E37:J37)</f>
        <v>0.40824829046386302</v>
      </c>
    </row>
    <row r="38" spans="2:16" ht="17.149999999999999" customHeight="1">
      <c r="B38" s="1480"/>
      <c r="C38" s="1529"/>
      <c r="D38" s="188">
        <v>180</v>
      </c>
      <c r="E38" s="628">
        <v>182</v>
      </c>
      <c r="F38" s="628">
        <v>184</v>
      </c>
      <c r="G38" s="628">
        <v>180</v>
      </c>
      <c r="H38" s="628">
        <v>184</v>
      </c>
      <c r="I38" s="628">
        <v>180</v>
      </c>
      <c r="J38" s="628">
        <v>180</v>
      </c>
      <c r="K38" s="630">
        <f>AVERAGE(E38:J38)</f>
        <v>181.66666666666666</v>
      </c>
      <c r="L38" s="631">
        <f>'DB ECG SIM'!S274</f>
        <v>181.66666729319104</v>
      </c>
      <c r="M38" s="186">
        <f>STDEV(E38:J38)</f>
        <v>1.9663841605003503</v>
      </c>
    </row>
    <row r="39" spans="2:16" ht="17.149999999999999" customHeight="1">
      <c r="B39" s="195"/>
      <c r="C39" s="123"/>
      <c r="D39" s="194"/>
      <c r="E39" s="209"/>
      <c r="F39" s="207"/>
      <c r="G39" s="207"/>
      <c r="H39" s="207"/>
      <c r="I39" s="207"/>
      <c r="J39" s="207"/>
      <c r="K39" s="207"/>
      <c r="L39" s="207"/>
      <c r="M39" s="104"/>
      <c r="P39" s="8"/>
    </row>
    <row r="40" spans="2:16" ht="17.149999999999999" customHeight="1">
      <c r="B40" s="82" t="str">
        <f>LK!B43</f>
        <v>b. Kalibrasi Pulse Oximetri</v>
      </c>
      <c r="D40" s="194"/>
      <c r="E40" s="209"/>
      <c r="F40" s="209"/>
      <c r="G40" s="209"/>
      <c r="H40" s="209"/>
      <c r="I40" s="209"/>
      <c r="J40" s="209"/>
      <c r="K40" s="208"/>
      <c r="L40" s="208"/>
      <c r="M40" s="104"/>
      <c r="P40" s="8"/>
    </row>
    <row r="41" spans="2:16" ht="17.149999999999999" customHeight="1">
      <c r="B41" s="1471" t="s">
        <v>12</v>
      </c>
      <c r="C41" s="1471" t="s">
        <v>3</v>
      </c>
      <c r="D41" s="1463" t="s">
        <v>134</v>
      </c>
      <c r="E41" s="1525" t="s">
        <v>166</v>
      </c>
      <c r="F41" s="1525"/>
      <c r="G41" s="1525"/>
      <c r="H41" s="1525"/>
      <c r="I41" s="1525"/>
      <c r="J41" s="1525"/>
      <c r="K41" s="1463" t="s">
        <v>136</v>
      </c>
      <c r="L41" s="1463" t="s">
        <v>78</v>
      </c>
      <c r="M41" s="1526" t="s">
        <v>28</v>
      </c>
      <c r="P41" s="8"/>
    </row>
    <row r="42" spans="2:16" ht="17.149999999999999" customHeight="1">
      <c r="B42" s="1477"/>
      <c r="C42" s="1477"/>
      <c r="D42" s="1464"/>
      <c r="E42" s="1525" t="s">
        <v>4</v>
      </c>
      <c r="F42" s="1525" t="s">
        <v>5</v>
      </c>
      <c r="G42" s="1525" t="s">
        <v>6</v>
      </c>
      <c r="H42" s="1525" t="s">
        <v>132</v>
      </c>
      <c r="I42" s="1525" t="s">
        <v>7</v>
      </c>
      <c r="J42" s="1526" t="s">
        <v>142</v>
      </c>
      <c r="K42" s="1464"/>
      <c r="L42" s="1464"/>
      <c r="M42" s="1526"/>
      <c r="P42" s="8"/>
    </row>
    <row r="43" spans="2:16" ht="17.149999999999999" customHeight="1">
      <c r="B43" s="1472"/>
      <c r="C43" s="1472"/>
      <c r="D43" s="1465"/>
      <c r="E43" s="1525"/>
      <c r="F43" s="1525"/>
      <c r="G43" s="1525"/>
      <c r="H43" s="1525"/>
      <c r="I43" s="1525"/>
      <c r="J43" s="1526"/>
      <c r="K43" s="1465"/>
      <c r="L43" s="1465"/>
      <c r="M43" s="1526"/>
      <c r="P43" s="8"/>
    </row>
    <row r="44" spans="2:16" ht="14">
      <c r="B44" s="1552">
        <v>1</v>
      </c>
      <c r="C44" s="1551" t="s">
        <v>364</v>
      </c>
      <c r="D44" s="1239">
        <f>LK!D47</f>
        <v>90</v>
      </c>
      <c r="E44" s="628">
        <v>90</v>
      </c>
      <c r="F44" s="628">
        <v>90</v>
      </c>
      <c r="G44" s="628">
        <v>90</v>
      </c>
      <c r="H44" s="628">
        <v>90</v>
      </c>
      <c r="I44" s="628">
        <v>90</v>
      </c>
      <c r="J44" s="628">
        <v>90</v>
      </c>
      <c r="K44" s="173">
        <f>AVERAGE(E44:J44)</f>
        <v>90</v>
      </c>
      <c r="L44" s="185">
        <f>'DB SPO2'!Q94</f>
        <v>90.000000999999997</v>
      </c>
      <c r="M44" s="181">
        <f>STDEV(E44:J44)</f>
        <v>0</v>
      </c>
    </row>
    <row r="45" spans="2:16" ht="15" customHeight="1">
      <c r="B45" s="1552"/>
      <c r="C45" s="1551"/>
      <c r="D45" s="1239">
        <f>LK!D48</f>
        <v>95</v>
      </c>
      <c r="E45" s="628">
        <v>95</v>
      </c>
      <c r="F45" s="628">
        <v>95</v>
      </c>
      <c r="G45" s="628">
        <v>95</v>
      </c>
      <c r="H45" s="628">
        <v>95</v>
      </c>
      <c r="I45" s="628">
        <v>95</v>
      </c>
      <c r="J45" s="628">
        <v>95</v>
      </c>
      <c r="K45" s="173">
        <f>AVERAGE(E45:J45)</f>
        <v>95</v>
      </c>
      <c r="L45" s="185">
        <f>'DB SPO2'!Q95</f>
        <v>95.000000999999997</v>
      </c>
      <c r="M45" s="181">
        <f>STDEV(E45:J45)</f>
        <v>0</v>
      </c>
    </row>
    <row r="46" spans="2:16" ht="14.25" customHeight="1">
      <c r="B46" s="1552"/>
      <c r="C46" s="1551"/>
      <c r="D46" s="1239">
        <f>LK!D49</f>
        <v>98</v>
      </c>
      <c r="E46" s="628">
        <v>98</v>
      </c>
      <c r="F46" s="628">
        <v>98</v>
      </c>
      <c r="G46" s="628">
        <v>98</v>
      </c>
      <c r="H46" s="628">
        <v>98</v>
      </c>
      <c r="I46" s="628">
        <v>98</v>
      </c>
      <c r="J46" s="628">
        <v>98</v>
      </c>
      <c r="K46" s="173">
        <f>AVERAGE(E46:J46)</f>
        <v>98</v>
      </c>
      <c r="L46" s="185">
        <f>'DB SPO2'!Q96</f>
        <v>98.000000999999997</v>
      </c>
      <c r="M46" s="181">
        <f>STDEV(E46:J46)</f>
        <v>0</v>
      </c>
    </row>
    <row r="47" spans="2:16" ht="12.75" customHeight="1">
      <c r="B47" s="1552"/>
      <c r="C47" s="1551"/>
      <c r="D47" s="1239">
        <f>LK!D50</f>
        <v>99</v>
      </c>
      <c r="E47" s="628">
        <v>99</v>
      </c>
      <c r="F47" s="628">
        <v>99</v>
      </c>
      <c r="G47" s="628">
        <v>99</v>
      </c>
      <c r="H47" s="628">
        <v>99</v>
      </c>
      <c r="I47" s="628">
        <v>99</v>
      </c>
      <c r="J47" s="628">
        <v>99</v>
      </c>
      <c r="K47" s="173">
        <f>AVERAGE(E47:J47)</f>
        <v>99</v>
      </c>
      <c r="L47" s="185">
        <f>'DB SPO2'!Q97</f>
        <v>99</v>
      </c>
      <c r="M47" s="181">
        <f>STDEV(E47:J47)</f>
        <v>0</v>
      </c>
      <c r="P47" s="59"/>
    </row>
    <row r="48" spans="2:16" ht="14.25" customHeight="1">
      <c r="B48" s="1552"/>
      <c r="C48" s="1551"/>
      <c r="D48" s="1239">
        <f>LK!D51</f>
        <v>100</v>
      </c>
      <c r="E48" s="628">
        <v>100</v>
      </c>
      <c r="F48" s="628">
        <v>100</v>
      </c>
      <c r="G48" s="628">
        <v>100</v>
      </c>
      <c r="H48" s="628">
        <v>100</v>
      </c>
      <c r="I48" s="628">
        <v>100</v>
      </c>
      <c r="J48" s="628">
        <v>100</v>
      </c>
      <c r="K48" s="173">
        <f>AVERAGE(E48:J48)</f>
        <v>100</v>
      </c>
      <c r="L48" s="185">
        <f>'DB SPO2'!Q98</f>
        <v>100.000001</v>
      </c>
      <c r="M48" s="181">
        <f>STDEV(E48:J48)</f>
        <v>0</v>
      </c>
      <c r="P48" s="59"/>
    </row>
    <row r="49" spans="2:26" ht="14.5">
      <c r="P49" s="59"/>
    </row>
    <row r="50" spans="2:26" ht="14">
      <c r="B50" s="82" t="str">
        <f>LK!B54</f>
        <v>c. Kalibrasi NIBP (Non Invasive Blood Pressure)</v>
      </c>
      <c r="D50" s="83"/>
      <c r="E50" s="79"/>
      <c r="F50" s="79"/>
      <c r="G50" s="79"/>
      <c r="H50" s="79"/>
      <c r="I50" s="79"/>
      <c r="J50" s="79"/>
      <c r="K50" s="79"/>
      <c r="L50" s="79"/>
      <c r="M50" s="79"/>
    </row>
    <row r="51" spans="2:26" ht="45" customHeight="1">
      <c r="B51" s="1533" t="s">
        <v>12</v>
      </c>
      <c r="C51" s="1536" t="s">
        <v>145</v>
      </c>
      <c r="D51" s="1536" t="s">
        <v>134</v>
      </c>
      <c r="E51" s="1543" t="s">
        <v>166</v>
      </c>
      <c r="F51" s="1544"/>
      <c r="G51" s="1545"/>
      <c r="H51" s="1536" t="s">
        <v>136</v>
      </c>
      <c r="I51" s="1536" t="s">
        <v>78</v>
      </c>
      <c r="J51" s="1540" t="s">
        <v>28</v>
      </c>
      <c r="O51" s="127"/>
      <c r="P51" s="127"/>
      <c r="X51" s="524"/>
      <c r="Y51" s="524"/>
      <c r="Z51" s="524"/>
    </row>
    <row r="52" spans="2:26" ht="12.75" customHeight="1">
      <c r="B52" s="1534"/>
      <c r="C52" s="1537"/>
      <c r="D52" s="1537"/>
      <c r="E52" s="1542" t="s">
        <v>4</v>
      </c>
      <c r="F52" s="1542" t="s">
        <v>5</v>
      </c>
      <c r="G52" s="1542" t="s">
        <v>6</v>
      </c>
      <c r="H52" s="1537"/>
      <c r="I52" s="1537"/>
      <c r="J52" s="1540"/>
    </row>
    <row r="53" spans="2:26" ht="7.5" customHeight="1">
      <c r="B53" s="1535"/>
      <c r="C53" s="1538"/>
      <c r="D53" s="1538"/>
      <c r="E53" s="1542"/>
      <c r="F53" s="1542"/>
      <c r="G53" s="1542"/>
      <c r="H53" s="1538"/>
      <c r="I53" s="1538"/>
      <c r="J53" s="1540"/>
    </row>
    <row r="54" spans="2:26" ht="14">
      <c r="B54" s="1497">
        <v>1</v>
      </c>
      <c r="C54" s="196" t="s">
        <v>146</v>
      </c>
      <c r="D54" s="197">
        <f>IF($D$62='kata-kata'!$B$15,'kata-kata'!B16,IF($D$62='kata-kata'!$C$15,'kata-kata'!C16,IF($D$62='kata-kata'!$D$15,'kata-kata'!D16)))</f>
        <v>120</v>
      </c>
      <c r="E54" s="309">
        <v>120</v>
      </c>
      <c r="F54" s="309">
        <v>120</v>
      </c>
      <c r="G54" s="309">
        <v>120</v>
      </c>
      <c r="H54" s="182">
        <f t="shared" ref="H54:H61" si="0">AVERAGE(E54:G54)</f>
        <v>120</v>
      </c>
      <c r="I54" s="182">
        <f>'DB NIBP'!N85</f>
        <v>119.85257967705802</v>
      </c>
      <c r="J54" s="193">
        <f t="shared" ref="J54:J61" si="1">STDEV(E54:G54)</f>
        <v>0</v>
      </c>
    </row>
    <row r="55" spans="2:26" ht="15" customHeight="1">
      <c r="B55" s="1498"/>
      <c r="C55" s="196" t="s">
        <v>147</v>
      </c>
      <c r="D55" s="197">
        <f>IF($D$62='kata-kata'!$B$15,'kata-kata'!B17,IF($D$62='kata-kata'!$C$15,'kata-kata'!C17,IF($D$62='kata-kata'!$D$15,'kata-kata'!D17)))</f>
        <v>80</v>
      </c>
      <c r="E55" s="309">
        <v>79</v>
      </c>
      <c r="F55" s="309">
        <v>80</v>
      </c>
      <c r="G55" s="309">
        <v>80</v>
      </c>
      <c r="H55" s="182">
        <f t="shared" si="0"/>
        <v>79.666666666666671</v>
      </c>
      <c r="I55" s="182">
        <f>'DB NIBP'!N86</f>
        <v>79.56209019455423</v>
      </c>
      <c r="J55" s="193">
        <f t="shared" si="1"/>
        <v>0.57735026918962573</v>
      </c>
    </row>
    <row r="56" spans="2:26" ht="14">
      <c r="B56" s="1497">
        <v>2</v>
      </c>
      <c r="C56" s="196" t="s">
        <v>146</v>
      </c>
      <c r="D56" s="197">
        <f>IF($D$62='kata-kata'!$B$15,'kata-kata'!B18,IF($D$62='kata-kata'!$C$15,'kata-kata'!C18,IF($D$62='kata-kata'!$D$15,'kata-kata'!D18)))</f>
        <v>150</v>
      </c>
      <c r="E56" s="309">
        <v>149</v>
      </c>
      <c r="F56" s="309">
        <v>150</v>
      </c>
      <c r="G56" s="309">
        <v>150</v>
      </c>
      <c r="H56" s="182">
        <f t="shared" si="0"/>
        <v>149.66666666666666</v>
      </c>
      <c r="I56" s="182">
        <f>'DB NIBP'!N87</f>
        <v>149.48773309807319</v>
      </c>
      <c r="J56" s="193">
        <f t="shared" si="1"/>
        <v>0.57735026918962584</v>
      </c>
    </row>
    <row r="57" spans="2:26" ht="14">
      <c r="B57" s="1498"/>
      <c r="C57" s="196" t="s">
        <v>147</v>
      </c>
      <c r="D57" s="197">
        <f>IF($D$62='kata-kata'!$B$15,'kata-kata'!B19,IF($D$62='kata-kata'!$C$15,'kata-kata'!C19,IF($D$62='kata-kata'!$D$15,'kata-kata'!D19)))</f>
        <v>100</v>
      </c>
      <c r="E57" s="309">
        <v>99</v>
      </c>
      <c r="F57" s="309">
        <v>100</v>
      </c>
      <c r="G57" s="309">
        <v>100</v>
      </c>
      <c r="H57" s="182">
        <f t="shared" si="0"/>
        <v>99.666666666666671</v>
      </c>
      <c r="I57" s="182">
        <f>'DB NIBP'!N88</f>
        <v>99.540845309845366</v>
      </c>
      <c r="J57" s="193">
        <f t="shared" si="1"/>
        <v>0.57735026918962573</v>
      </c>
    </row>
    <row r="58" spans="2:26" ht="15" customHeight="1">
      <c r="B58" s="1497">
        <v>3</v>
      </c>
      <c r="C58" s="196" t="s">
        <v>146</v>
      </c>
      <c r="D58" s="197">
        <f>IF($D$62='kata-kata'!$B$15,'kata-kata'!B20,IF($D$62='kata-kata'!$C$15,'kata-kata'!C20,IF($D$62='kata-kata'!$D$15,'kata-kata'!D20)))</f>
        <v>200</v>
      </c>
      <c r="E58" s="309">
        <v>199</v>
      </c>
      <c r="F58" s="309">
        <v>200</v>
      </c>
      <c r="G58" s="309">
        <v>200</v>
      </c>
      <c r="H58" s="182">
        <f t="shared" si="0"/>
        <v>199.66666666666666</v>
      </c>
      <c r="I58" s="182">
        <f>'DB NIBP'!N89</f>
        <v>199.43462088630102</v>
      </c>
      <c r="J58" s="193">
        <f t="shared" si="1"/>
        <v>0.57735026918962584</v>
      </c>
    </row>
    <row r="59" spans="2:26" ht="14">
      <c r="B59" s="1498"/>
      <c r="C59" s="196" t="s">
        <v>147</v>
      </c>
      <c r="D59" s="197">
        <f>IF($D$62='kata-kata'!$B$15,'kata-kata'!B21,IF($D$62='kata-kata'!$C$15,'kata-kata'!C21,IF($D$62='kata-kata'!$D$15,'kata-kata'!D21)))</f>
        <v>150</v>
      </c>
      <c r="E59" s="309">
        <v>149</v>
      </c>
      <c r="F59" s="309">
        <v>150</v>
      </c>
      <c r="G59" s="309">
        <v>150</v>
      </c>
      <c r="H59" s="182">
        <f t="shared" si="0"/>
        <v>149.66666666666666</v>
      </c>
      <c r="I59" s="182">
        <f>'DB NIBP'!N90</f>
        <v>149.48773309807319</v>
      </c>
      <c r="J59" s="193">
        <f t="shared" si="1"/>
        <v>0.57735026918962584</v>
      </c>
    </row>
    <row r="60" spans="2:26" ht="14">
      <c r="B60" s="1497">
        <v>4</v>
      </c>
      <c r="C60" s="196" t="s">
        <v>146</v>
      </c>
      <c r="D60" s="197">
        <f>IF($D$62='kata-kata'!$B$15,'kata-kata'!B22,IF($D$62='kata-kata'!$C$15,'kata-kata'!C22,IF($D$62='kata-kata'!$D$15,'kata-kata'!D22)))</f>
        <v>80</v>
      </c>
      <c r="E60" s="309">
        <v>79</v>
      </c>
      <c r="F60" s="309">
        <v>82</v>
      </c>
      <c r="G60" s="309">
        <v>81</v>
      </c>
      <c r="H60" s="182">
        <f t="shared" si="0"/>
        <v>80.666666666666671</v>
      </c>
      <c r="I60" s="182">
        <f>'DB NIBP'!N91</f>
        <v>80.561027950318788</v>
      </c>
      <c r="J60" s="193">
        <f t="shared" si="1"/>
        <v>1.5275252316519468</v>
      </c>
    </row>
    <row r="61" spans="2:26" ht="14">
      <c r="B61" s="1498"/>
      <c r="C61" s="196" t="s">
        <v>147</v>
      </c>
      <c r="D61" s="197">
        <f>IF($D$62='kata-kata'!$B$15,'kata-kata'!B23,IF($D$62='kata-kata'!$C$15,'kata-kata'!C23,IF($D$62='kata-kata'!$D$15,'kata-kata'!D23)))</f>
        <v>50</v>
      </c>
      <c r="E61" s="309">
        <v>53</v>
      </c>
      <c r="F61" s="309">
        <v>53</v>
      </c>
      <c r="G61" s="309">
        <v>52</v>
      </c>
      <c r="H61" s="182">
        <f t="shared" si="0"/>
        <v>52.666666666666664</v>
      </c>
      <c r="I61" s="182">
        <f>'DB NIBP'!N92</f>
        <v>52.590770788911193</v>
      </c>
      <c r="J61" s="193">
        <f t="shared" si="1"/>
        <v>0.57735026918962584</v>
      </c>
    </row>
    <row r="62" spans="2:26" ht="14">
      <c r="C62" s="198" t="s">
        <v>269</v>
      </c>
      <c r="D62" s="1229" t="s">
        <v>271</v>
      </c>
    </row>
    <row r="66" spans="1:16" ht="14">
      <c r="B66" s="82" t="str">
        <f>LK!B68</f>
        <v>d. Kalibrasi Respirasi</v>
      </c>
      <c r="D66" s="83"/>
      <c r="E66" s="210"/>
      <c r="F66" s="210"/>
      <c r="G66" s="210"/>
      <c r="H66" s="210"/>
      <c r="I66" s="210"/>
      <c r="J66" s="189"/>
      <c r="K66" s="189"/>
      <c r="L66" s="190"/>
      <c r="O66" s="127"/>
      <c r="P66" s="127"/>
    </row>
    <row r="67" spans="1:16" ht="14.25" customHeight="1">
      <c r="B67" s="1471" t="s">
        <v>12</v>
      </c>
      <c r="C67" s="1471" t="s">
        <v>3</v>
      </c>
      <c r="D67" s="1463" t="s">
        <v>134</v>
      </c>
      <c r="E67" s="1525" t="s">
        <v>166</v>
      </c>
      <c r="F67" s="1525"/>
      <c r="G67" s="1525"/>
      <c r="H67" s="1525"/>
      <c r="I67" s="1525"/>
      <c r="J67" s="1525"/>
      <c r="K67" s="1463" t="s">
        <v>136</v>
      </c>
      <c r="L67" s="1463" t="s">
        <v>78</v>
      </c>
      <c r="M67" s="1526" t="s">
        <v>28</v>
      </c>
      <c r="O67" s="127"/>
      <c r="P67" s="127"/>
    </row>
    <row r="68" spans="1:16" ht="14.25" customHeight="1">
      <c r="B68" s="1477"/>
      <c r="C68" s="1477"/>
      <c r="D68" s="1464"/>
      <c r="E68" s="1525" t="s">
        <v>4</v>
      </c>
      <c r="F68" s="1525" t="s">
        <v>5</v>
      </c>
      <c r="G68" s="1525" t="s">
        <v>6</v>
      </c>
      <c r="H68" s="1525" t="s">
        <v>132</v>
      </c>
      <c r="I68" s="1525" t="s">
        <v>7</v>
      </c>
      <c r="J68" s="1526" t="s">
        <v>142</v>
      </c>
      <c r="K68" s="1464"/>
      <c r="L68" s="1464"/>
      <c r="M68" s="1526"/>
      <c r="O68" s="127"/>
      <c r="P68" s="127"/>
    </row>
    <row r="69" spans="1:16" ht="14.25" customHeight="1">
      <c r="B69" s="1472"/>
      <c r="C69" s="1472"/>
      <c r="D69" s="1465"/>
      <c r="E69" s="1525"/>
      <c r="F69" s="1525"/>
      <c r="G69" s="1525"/>
      <c r="H69" s="1525"/>
      <c r="I69" s="1525"/>
      <c r="J69" s="1526"/>
      <c r="K69" s="1465"/>
      <c r="L69" s="1465"/>
      <c r="M69" s="1526"/>
      <c r="O69" s="127"/>
      <c r="P69" s="127"/>
    </row>
    <row r="70" spans="1:16" ht="14">
      <c r="B70" s="1491">
        <v>1</v>
      </c>
      <c r="C70" s="1527" t="s">
        <v>273</v>
      </c>
      <c r="D70" s="197">
        <f>LK!D72</f>
        <v>20</v>
      </c>
      <c r="E70" s="309">
        <v>19</v>
      </c>
      <c r="F70" s="309">
        <v>19</v>
      </c>
      <c r="G70" s="309">
        <v>19</v>
      </c>
      <c r="H70" s="309">
        <v>19</v>
      </c>
      <c r="I70" s="309">
        <v>20</v>
      </c>
      <c r="J70" s="309">
        <v>20</v>
      </c>
      <c r="K70" s="629">
        <f>AVERAGE(E70:J70)</f>
        <v>19.333333333333332</v>
      </c>
      <c r="L70" s="629">
        <f>IF($C$35='kata-kata'!$J$19,"-",'DB ECG SIM'!S280)</f>
        <v>19.333334524065041</v>
      </c>
      <c r="M70" s="193">
        <f>STDEV(E70:J70)</f>
        <v>0.5163977794943222</v>
      </c>
      <c r="O70" s="249"/>
      <c r="P70" s="127"/>
    </row>
    <row r="71" spans="1:16" ht="14">
      <c r="B71" s="1492"/>
      <c r="C71" s="1528"/>
      <c r="D71" s="197">
        <f>LK!D73</f>
        <v>30</v>
      </c>
      <c r="E71" s="309">
        <v>30</v>
      </c>
      <c r="F71" s="309">
        <v>30</v>
      </c>
      <c r="G71" s="309">
        <v>30</v>
      </c>
      <c r="H71" s="309">
        <v>30</v>
      </c>
      <c r="I71" s="309">
        <v>30</v>
      </c>
      <c r="J71" s="309">
        <v>30</v>
      </c>
      <c r="K71" s="629">
        <f>AVERAGE(E71:J71)</f>
        <v>30</v>
      </c>
      <c r="L71" s="629">
        <f>IF($C$35='kata-kata'!$J$19,"-",'DB ECG SIM'!S281)</f>
        <v>30.000001153658538</v>
      </c>
      <c r="M71" s="193">
        <f>STDEV(E71:J71)</f>
        <v>0</v>
      </c>
      <c r="O71" s="249"/>
      <c r="P71" s="127"/>
    </row>
    <row r="72" spans="1:16" ht="14">
      <c r="B72" s="1492"/>
      <c r="C72" s="1528"/>
      <c r="D72" s="197">
        <f>LK!D74</f>
        <v>40</v>
      </c>
      <c r="E72" s="309">
        <v>42</v>
      </c>
      <c r="F72" s="309">
        <v>42</v>
      </c>
      <c r="G72" s="309">
        <v>42</v>
      </c>
      <c r="H72" s="309">
        <v>40</v>
      </c>
      <c r="I72" s="309">
        <v>40</v>
      </c>
      <c r="J72" s="309">
        <v>40</v>
      </c>
      <c r="K72" s="629">
        <f t="shared" ref="K72:K73" si="2">AVERAGE(E72:J72)</f>
        <v>41</v>
      </c>
      <c r="L72" s="629">
        <f>IF($C$35='kata-kata'!$J$19,"-",'DB ECG SIM'!S282)</f>
        <v>41.000001115426826</v>
      </c>
      <c r="M72" s="193">
        <f>STDEV(E72:J72)</f>
        <v>1.0954451150103321</v>
      </c>
      <c r="O72" s="127"/>
      <c r="P72" s="127"/>
    </row>
    <row r="73" spans="1:16" ht="14">
      <c r="B73" s="1493"/>
      <c r="C73" s="1529"/>
      <c r="D73" s="197">
        <f>LK!D75</f>
        <v>60</v>
      </c>
      <c r="E73" s="309">
        <v>60</v>
      </c>
      <c r="F73" s="309">
        <v>60</v>
      </c>
      <c r="G73" s="309">
        <v>60</v>
      </c>
      <c r="H73" s="309">
        <v>60</v>
      </c>
      <c r="I73" s="309">
        <v>60</v>
      </c>
      <c r="J73" s="309">
        <v>60</v>
      </c>
      <c r="K73" s="629">
        <f t="shared" si="2"/>
        <v>60</v>
      </c>
      <c r="L73" s="629">
        <f>IF($C$35='kata-kata'!$J$19,"-",'DB ECG SIM'!S283)</f>
        <v>60.000001049390242</v>
      </c>
      <c r="M73" s="193">
        <f>STDEV(E73:J73)</f>
        <v>0</v>
      </c>
      <c r="O73" s="127"/>
      <c r="P73" s="127"/>
    </row>
    <row r="74" spans="1:16" ht="12.75" customHeight="1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</row>
    <row r="75" spans="1:16" ht="13.5" customHeight="1">
      <c r="A75" s="106" t="str">
        <f>LK!A77</f>
        <v>V.</v>
      </c>
      <c r="B75" s="106" t="s">
        <v>16</v>
      </c>
      <c r="D75" s="87"/>
      <c r="E75" s="107"/>
      <c r="F75" s="107"/>
      <c r="G75" s="107"/>
      <c r="H75" s="107"/>
      <c r="I75" s="107"/>
      <c r="J75" s="108"/>
      <c r="K75" s="108"/>
      <c r="L75" s="108"/>
      <c r="M75" s="108"/>
      <c r="N75" s="3"/>
    </row>
    <row r="76" spans="1:16" ht="13.5" customHeight="1">
      <c r="B76" s="109" t="s">
        <v>596</v>
      </c>
      <c r="D76" s="87"/>
      <c r="E76" s="107"/>
      <c r="F76" s="107"/>
      <c r="G76" s="107"/>
      <c r="H76" s="107"/>
      <c r="I76" s="107"/>
      <c r="J76" s="108"/>
      <c r="K76" s="108"/>
      <c r="L76" s="108"/>
      <c r="M76" s="108"/>
      <c r="N76" s="3"/>
    </row>
    <row r="77" spans="1:16" ht="13.5" customHeight="1">
      <c r="B77" s="109" t="s">
        <v>524</v>
      </c>
      <c r="D77" s="87"/>
      <c r="E77" s="107"/>
      <c r="F77" s="107"/>
      <c r="G77" s="107"/>
      <c r="H77" s="107"/>
      <c r="I77" s="107"/>
      <c r="J77" s="108"/>
      <c r="K77" s="108"/>
      <c r="L77" s="108"/>
      <c r="M77" s="108"/>
      <c r="N77" s="3"/>
    </row>
    <row r="78" spans="1:16" ht="13.5" customHeight="1">
      <c r="B78" s="109" t="s">
        <v>167</v>
      </c>
      <c r="D78" s="87"/>
      <c r="E78" s="107"/>
      <c r="F78" s="107"/>
      <c r="G78" s="107"/>
      <c r="H78" s="107"/>
      <c r="I78" s="107"/>
      <c r="J78" s="108"/>
      <c r="K78" s="108"/>
      <c r="L78" s="108"/>
      <c r="M78" s="108"/>
      <c r="N78" s="3"/>
    </row>
    <row r="79" spans="1:16" ht="13.5" customHeight="1">
      <c r="B79" s="109" t="s">
        <v>208</v>
      </c>
      <c r="D79" s="87"/>
      <c r="E79" s="107"/>
      <c r="F79" s="107"/>
      <c r="G79" s="107"/>
      <c r="H79" s="107"/>
      <c r="I79" s="107"/>
      <c r="J79" s="108"/>
      <c r="K79" s="108"/>
      <c r="L79" s="108"/>
      <c r="M79" s="108"/>
      <c r="N79" s="3"/>
    </row>
    <row r="80" spans="1:16" ht="14">
      <c r="B80" s="110" t="s">
        <v>586</v>
      </c>
      <c r="D80" s="80"/>
      <c r="E80" s="80"/>
      <c r="F80" s="80"/>
      <c r="G80" s="80"/>
      <c r="H80" s="80"/>
      <c r="I80" s="80"/>
      <c r="J80" s="80"/>
      <c r="K80" s="108"/>
      <c r="L80" s="108"/>
      <c r="M80" s="108"/>
      <c r="N80" s="9"/>
    </row>
    <row r="81" spans="1:26" ht="14">
      <c r="B81" s="111" t="str">
        <f>'DB ECG SIM'!Q314</f>
        <v>Hasil kalibrasi Heart Rate tertelusur ke Satuan Internasional ( SI ) melalui Caltek PTE LTD</v>
      </c>
      <c r="D81" s="80"/>
      <c r="E81" s="80"/>
      <c r="F81" s="80"/>
      <c r="G81" s="80"/>
      <c r="H81" s="80"/>
      <c r="I81" s="80"/>
      <c r="J81" s="80"/>
      <c r="K81" s="108"/>
      <c r="L81" s="108"/>
      <c r="M81" s="108"/>
      <c r="N81" s="9"/>
    </row>
    <row r="82" spans="1:26" ht="14">
      <c r="B82" s="111" t="str">
        <f>'DB SPO2'!A133</f>
        <v>Hasil kalibrasi Pulse Oximetri tertelusur ke Satuan Internasional melalui Caltek PTE LTD</v>
      </c>
      <c r="D82" s="80"/>
      <c r="E82" s="80"/>
      <c r="F82" s="80"/>
      <c r="G82" s="80"/>
      <c r="H82" s="80"/>
      <c r="I82" s="80"/>
      <c r="J82" s="80"/>
      <c r="K82" s="108"/>
      <c r="L82" s="108"/>
      <c r="M82" s="108"/>
    </row>
    <row r="83" spans="1:26" ht="14">
      <c r="B83" s="111" t="str">
        <f>'DB NIBP'!A123</f>
        <v>Hasil kalibrasi NIBP tertelusur ke Satuan Internasional ( SI ) melalui PT. Kaliman</v>
      </c>
      <c r="C83" s="13"/>
      <c r="D83" s="94"/>
      <c r="E83" s="94"/>
      <c r="F83" s="94"/>
      <c r="G83" s="94"/>
      <c r="H83" s="94"/>
      <c r="I83" s="94"/>
      <c r="J83" s="94"/>
      <c r="K83" s="92"/>
      <c r="L83" s="108"/>
      <c r="M83" s="108"/>
      <c r="N83" s="9"/>
    </row>
    <row r="84" spans="1:26" ht="14">
      <c r="B84" s="111" t="str">
        <f>'DB ECG SIM'!Q315</f>
        <v>Hasil kalibrasi Respirasi tertelusur ke Satuan Internasional ( SI ) melalui Caltek PTE LTD</v>
      </c>
      <c r="C84" s="13"/>
      <c r="D84" s="94"/>
      <c r="E84" s="94"/>
      <c r="F84" s="94"/>
      <c r="G84" s="94"/>
      <c r="H84" s="94"/>
      <c r="I84" s="94"/>
      <c r="J84" s="94"/>
      <c r="K84" s="92"/>
      <c r="L84" s="108"/>
      <c r="M84" s="108"/>
      <c r="N84" s="9"/>
    </row>
    <row r="85" spans="1:26" ht="14">
      <c r="B85" s="1539" t="str">
        <f>Penyelia!Y20</f>
        <v>Alat tidak boleh digunakan pada instalasi tanpa dilengkapi grounding</v>
      </c>
      <c r="C85" s="1539"/>
      <c r="D85" s="1539"/>
      <c r="E85" s="1539"/>
      <c r="F85" s="1539"/>
      <c r="G85" s="1539"/>
      <c r="H85" s="1539"/>
      <c r="I85" s="1539"/>
      <c r="J85" s="1539"/>
      <c r="K85" s="1539"/>
      <c r="L85" s="1539"/>
      <c r="M85" s="1539"/>
      <c r="N85" s="9"/>
    </row>
    <row r="86" spans="1:26" ht="14">
      <c r="B86" s="1539"/>
      <c r="C86" s="1539"/>
      <c r="D86" s="1539"/>
      <c r="E86" s="1539"/>
      <c r="F86" s="1539"/>
      <c r="G86" s="1539"/>
      <c r="H86" s="1539"/>
      <c r="I86" s="1539"/>
      <c r="J86" s="1539"/>
      <c r="K86" s="1539"/>
      <c r="L86" s="1539"/>
      <c r="M86" s="1539"/>
      <c r="N86" s="9"/>
    </row>
    <row r="87" spans="1:26" ht="14">
      <c r="B87" s="81"/>
      <c r="C87" s="112" t="s">
        <v>100</v>
      </c>
      <c r="D87" s="80"/>
      <c r="E87" s="80"/>
      <c r="F87" s="80"/>
      <c r="G87" s="80"/>
      <c r="H87" s="80"/>
      <c r="I87" s="80"/>
      <c r="J87" s="80"/>
      <c r="K87" s="108"/>
      <c r="L87" s="108"/>
      <c r="M87" s="108"/>
      <c r="N87" s="9"/>
    </row>
    <row r="88" spans="1:26" ht="14">
      <c r="A88" s="81" t="str">
        <f>LK!A83</f>
        <v>VI.</v>
      </c>
      <c r="B88" s="81" t="s">
        <v>14</v>
      </c>
      <c r="D88" s="80"/>
      <c r="E88" s="79"/>
      <c r="F88" s="79"/>
      <c r="G88" s="79"/>
      <c r="H88" s="79"/>
      <c r="I88" s="79"/>
      <c r="J88" s="79"/>
      <c r="K88" s="79"/>
      <c r="L88" s="79"/>
      <c r="M88" s="79"/>
    </row>
    <row r="89" spans="1:26" ht="14">
      <c r="A89" s="81"/>
      <c r="B89" s="81" t="s">
        <v>168</v>
      </c>
      <c r="D89" s="80"/>
      <c r="E89" s="79"/>
      <c r="F89" s="79"/>
      <c r="G89" s="79"/>
      <c r="H89" s="79"/>
      <c r="I89" s="79"/>
      <c r="J89" s="79"/>
      <c r="K89" s="79"/>
      <c r="L89" s="79"/>
      <c r="M89" s="79"/>
    </row>
    <row r="90" spans="1:26" ht="14">
      <c r="B90" s="1541" t="s">
        <v>324</v>
      </c>
      <c r="C90" s="1541"/>
      <c r="D90" s="1541"/>
      <c r="E90" s="1541"/>
      <c r="F90" s="1541"/>
      <c r="G90" s="1541"/>
      <c r="H90" s="1541"/>
      <c r="I90" s="1541"/>
      <c r="J90" s="1541"/>
      <c r="K90" s="1541"/>
      <c r="L90" s="1541"/>
      <c r="M90" s="1541"/>
    </row>
    <row r="91" spans="1:26" ht="14">
      <c r="B91" s="429" t="s">
        <v>169</v>
      </c>
      <c r="C91" s="428"/>
      <c r="D91" s="430"/>
      <c r="E91" s="1240"/>
      <c r="F91" s="1240"/>
      <c r="G91" s="1240"/>
      <c r="H91" s="1240"/>
      <c r="I91" s="1240"/>
      <c r="J91" s="1240"/>
      <c r="K91" s="1240"/>
      <c r="L91" s="1240"/>
      <c r="M91" s="1240"/>
    </row>
    <row r="92" spans="1:26" ht="14">
      <c r="B92" s="1524" t="s">
        <v>319</v>
      </c>
      <c r="C92" s="1524"/>
      <c r="D92" s="1524"/>
      <c r="E92" s="1524"/>
      <c r="F92" s="1524"/>
      <c r="G92" s="1524"/>
      <c r="H92" s="1524"/>
      <c r="I92" s="1524"/>
      <c r="J92" s="1524"/>
      <c r="K92" s="1524"/>
      <c r="L92" s="1524"/>
      <c r="M92" s="1524"/>
    </row>
    <row r="93" spans="1:26" ht="14">
      <c r="B93" s="429" t="s">
        <v>170</v>
      </c>
      <c r="C93" s="428"/>
      <c r="D93" s="430"/>
      <c r="E93" s="1240"/>
      <c r="F93" s="1240"/>
      <c r="G93" s="1240"/>
      <c r="H93" s="1240"/>
      <c r="I93" s="1240"/>
      <c r="J93" s="1240"/>
      <c r="K93" s="1240"/>
      <c r="L93" s="1240"/>
      <c r="M93" s="1240"/>
      <c r="Z93" s="428"/>
    </row>
    <row r="94" spans="1:26" ht="14.25" customHeight="1">
      <c r="B94" s="1561" t="s">
        <v>319</v>
      </c>
      <c r="C94" s="1561"/>
      <c r="D94" s="1561"/>
      <c r="E94" s="1561"/>
      <c r="F94" s="1561"/>
      <c r="G94" s="1561"/>
      <c r="H94" s="1561"/>
      <c r="I94" s="1561"/>
      <c r="J94" s="1561"/>
      <c r="K94" s="1561"/>
      <c r="L94" s="1561"/>
      <c r="M94" s="1561"/>
    </row>
    <row r="95" spans="1:26" ht="14">
      <c r="B95" s="429" t="s">
        <v>171</v>
      </c>
      <c r="C95" s="428"/>
      <c r="D95" s="430"/>
      <c r="E95" s="1240"/>
      <c r="F95" s="1240"/>
      <c r="G95" s="1240"/>
      <c r="H95" s="1240"/>
      <c r="I95" s="1240"/>
      <c r="J95" s="1240"/>
      <c r="K95" s="1240"/>
      <c r="L95" s="1240"/>
      <c r="M95" s="1240"/>
    </row>
    <row r="96" spans="1:26" ht="14.25" customHeight="1">
      <c r="B96" s="1523" t="s">
        <v>415</v>
      </c>
      <c r="C96" s="1523"/>
      <c r="D96" s="1523"/>
      <c r="E96" s="1523"/>
      <c r="F96" s="1523"/>
      <c r="G96" s="1523"/>
      <c r="H96" s="1523"/>
      <c r="I96" s="1523"/>
      <c r="J96" s="1523"/>
      <c r="K96" s="1523"/>
      <c r="L96" s="1523"/>
      <c r="M96" s="1523"/>
    </row>
    <row r="97" spans="1:15" ht="14">
      <c r="B97" s="429" t="s">
        <v>172</v>
      </c>
      <c r="C97" s="428"/>
      <c r="D97" s="430"/>
      <c r="E97" s="1240"/>
      <c r="F97" s="1240"/>
      <c r="G97" s="1240"/>
      <c r="H97" s="1240"/>
      <c r="I97" s="1240"/>
      <c r="J97" s="1240"/>
      <c r="K97" s="1240"/>
      <c r="L97" s="1240"/>
      <c r="M97" s="1240"/>
    </row>
    <row r="98" spans="1:15" ht="14">
      <c r="B98" s="1524" t="s">
        <v>230</v>
      </c>
      <c r="C98" s="1524"/>
      <c r="D98" s="1524"/>
      <c r="E98" s="1524"/>
      <c r="F98" s="1524"/>
      <c r="G98" s="1524"/>
      <c r="H98" s="1524"/>
      <c r="I98" s="1524"/>
      <c r="J98" s="1524"/>
      <c r="K98" s="1524"/>
      <c r="L98" s="1524"/>
      <c r="M98" s="1524"/>
    </row>
    <row r="99" spans="1:15" ht="6.75" customHeight="1">
      <c r="B99" s="80"/>
      <c r="C99" s="113"/>
      <c r="D99" s="113"/>
      <c r="E99" s="113"/>
      <c r="F99" s="113"/>
      <c r="G99" s="113"/>
      <c r="H99" s="113"/>
      <c r="I99" s="113"/>
      <c r="J99" s="113"/>
      <c r="K99" s="113"/>
      <c r="L99" s="79"/>
      <c r="M99" s="79"/>
    </row>
    <row r="100" spans="1:15" ht="12.75" customHeight="1">
      <c r="A100" s="81" t="str">
        <f>LK!A99</f>
        <v>VII.</v>
      </c>
      <c r="B100" s="82" t="s">
        <v>26</v>
      </c>
      <c r="D100" s="80"/>
      <c r="E100" s="79"/>
      <c r="F100" s="79"/>
      <c r="G100" s="79"/>
      <c r="H100" s="79"/>
      <c r="I100" s="79"/>
      <c r="J100" s="79"/>
      <c r="K100" s="79"/>
      <c r="L100" s="79"/>
      <c r="M100" s="79"/>
    </row>
    <row r="101" spans="1:15" s="70" customFormat="1" ht="33" customHeight="1">
      <c r="B101" s="1558" t="str">
        <f>LOOKUP(H2,'kata-kata'!B3:B4,'kata-kata'!C3:C4)</f>
        <v>Alat yang dikalibrasi dalam batas toleransi dan dinyatakan LAIK PAKAI, dimana hasil atau skor akhir sama dengan atau melampaui 70 % berdasarkan Keputusan Direktur Jenderal Pelayanan Kesehatan No : HK.02.02/V/0412/2020</v>
      </c>
      <c r="C101" s="1558"/>
      <c r="D101" s="1558"/>
      <c r="E101" s="1558"/>
      <c r="F101" s="1558"/>
      <c r="G101" s="1558"/>
      <c r="H101" s="1558"/>
      <c r="I101" s="1558"/>
      <c r="J101" s="1558"/>
      <c r="K101" s="1558"/>
      <c r="L101" s="1558"/>
      <c r="M101" s="1558"/>
      <c r="O101" s="4"/>
    </row>
    <row r="102" spans="1:15" ht="3" customHeight="1">
      <c r="B102" s="81"/>
      <c r="C102" s="82"/>
      <c r="D102" s="80"/>
      <c r="E102" s="79"/>
      <c r="F102" s="79"/>
      <c r="G102" s="79"/>
      <c r="H102" s="79"/>
      <c r="I102" s="79"/>
      <c r="J102" s="79"/>
      <c r="K102" s="79"/>
      <c r="L102" s="79"/>
      <c r="M102" s="79"/>
    </row>
    <row r="103" spans="1:15" ht="14">
      <c r="A103" s="81" t="s">
        <v>27</v>
      </c>
      <c r="B103" s="81" t="s">
        <v>280</v>
      </c>
      <c r="D103" s="81"/>
      <c r="E103" s="79"/>
      <c r="F103" s="79"/>
      <c r="G103" s="79"/>
      <c r="H103" s="79"/>
      <c r="I103" s="79"/>
      <c r="J103" s="79"/>
      <c r="K103" s="79"/>
      <c r="L103" s="79"/>
      <c r="M103" s="79"/>
      <c r="O103" s="70"/>
    </row>
    <row r="104" spans="1:15" ht="14">
      <c r="B104" s="1559" t="s">
        <v>118</v>
      </c>
      <c r="C104" s="1559"/>
      <c r="D104" s="1559"/>
      <c r="E104" s="1559"/>
      <c r="F104" s="79"/>
      <c r="G104" s="79"/>
      <c r="H104" s="79"/>
      <c r="I104" s="79"/>
      <c r="J104" s="79"/>
      <c r="K104" s="79"/>
      <c r="L104" s="79"/>
      <c r="M104" s="79"/>
    </row>
    <row r="105" spans="1:15" ht="6" customHeight="1">
      <c r="B105" s="80"/>
      <c r="C105" s="89"/>
      <c r="D105" s="80"/>
      <c r="E105" s="79"/>
      <c r="F105" s="79"/>
      <c r="G105" s="79"/>
      <c r="H105" s="79"/>
      <c r="I105" s="79"/>
      <c r="J105" s="79"/>
      <c r="K105" s="79"/>
      <c r="L105" s="79"/>
      <c r="M105" s="79"/>
    </row>
    <row r="106" spans="1:15" ht="14">
      <c r="A106" s="81" t="s">
        <v>58</v>
      </c>
      <c r="B106" s="106" t="s">
        <v>59</v>
      </c>
      <c r="D106" s="80"/>
      <c r="E106" s="79"/>
      <c r="F106" s="79"/>
      <c r="G106" s="79"/>
      <c r="H106" s="79"/>
      <c r="I106" s="79"/>
      <c r="J106" s="79"/>
      <c r="K106" s="79"/>
      <c r="L106" s="79"/>
      <c r="M106" s="83"/>
    </row>
    <row r="107" spans="1:15" ht="14">
      <c r="B107" s="293" t="s">
        <v>398</v>
      </c>
      <c r="C107" s="293"/>
      <c r="D107" s="80"/>
      <c r="E107" s="79"/>
      <c r="F107" s="79"/>
      <c r="G107" s="79"/>
      <c r="H107" s="79"/>
      <c r="I107" s="79"/>
      <c r="J107" s="79"/>
      <c r="K107" s="79"/>
      <c r="L107" s="79"/>
      <c r="M107" s="83"/>
    </row>
    <row r="108" spans="1:15">
      <c r="C108" s="4" t="s">
        <v>81</v>
      </c>
    </row>
    <row r="111" spans="1:15" ht="14.5">
      <c r="L111" s="43"/>
    </row>
    <row r="112" spans="1:15">
      <c r="C112" s="1241"/>
    </row>
    <row r="113" spans="3:3">
      <c r="C113" s="1241"/>
    </row>
    <row r="114" spans="3:3">
      <c r="C114" s="1241"/>
    </row>
    <row r="115" spans="3:3">
      <c r="C115" s="1241"/>
    </row>
    <row r="116" spans="3:3">
      <c r="C116" s="1241"/>
    </row>
    <row r="117" spans="3:3">
      <c r="C117" s="1241"/>
    </row>
    <row r="118" spans="3:3">
      <c r="C118" s="1241"/>
    </row>
    <row r="119" spans="3:3">
      <c r="C119" s="1241"/>
    </row>
    <row r="120" spans="3:3">
      <c r="C120" s="1241"/>
    </row>
    <row r="121" spans="3:3">
      <c r="C121" s="1241"/>
    </row>
    <row r="122" spans="3:3">
      <c r="C122" s="1241"/>
    </row>
    <row r="123" spans="3:3">
      <c r="C123" s="1241"/>
    </row>
    <row r="124" spans="3:3">
      <c r="C124" s="1241"/>
    </row>
    <row r="125" spans="3:3">
      <c r="C125" s="1241"/>
    </row>
    <row r="126" spans="3:3">
      <c r="C126" s="1241"/>
    </row>
    <row r="127" spans="3:3">
      <c r="C127" s="1241"/>
    </row>
    <row r="128" spans="3:3">
      <c r="C128" s="1241"/>
    </row>
    <row r="129" spans="3:3">
      <c r="C129" s="15"/>
    </row>
    <row r="131" spans="3:3">
      <c r="C131" s="15"/>
    </row>
    <row r="132" spans="3:3">
      <c r="C132" s="15"/>
    </row>
    <row r="133" spans="3:3">
      <c r="C133" s="15"/>
    </row>
    <row r="134" spans="3:3">
      <c r="C134" s="15"/>
    </row>
    <row r="135" spans="3:3">
      <c r="C135" s="15"/>
    </row>
    <row r="136" spans="3:3">
      <c r="C136" s="15"/>
    </row>
    <row r="137" spans="3:3">
      <c r="C137" s="15"/>
    </row>
    <row r="138" spans="3:3">
      <c r="C138" s="15"/>
    </row>
    <row r="139" spans="3:3">
      <c r="C139" s="1241"/>
    </row>
    <row r="140" spans="3:3">
      <c r="C140" s="1241"/>
    </row>
    <row r="141" spans="3:3">
      <c r="C141" s="1241"/>
    </row>
    <row r="142" spans="3:3">
      <c r="C142" s="1241"/>
    </row>
    <row r="143" spans="3:3">
      <c r="C143" s="1241"/>
    </row>
    <row r="144" spans="3:3">
      <c r="C144" s="1241"/>
    </row>
    <row r="145" spans="3:3">
      <c r="C145" s="1241"/>
    </row>
    <row r="146" spans="3:3">
      <c r="C146" s="1241"/>
    </row>
    <row r="147" spans="3:3">
      <c r="C147" s="1241"/>
    </row>
    <row r="148" spans="3:3">
      <c r="C148" s="1241"/>
    </row>
    <row r="149" spans="3:3">
      <c r="C149" s="1241"/>
    </row>
    <row r="150" spans="3:3">
      <c r="C150" s="1241"/>
    </row>
    <row r="151" spans="3:3">
      <c r="C151" s="1241"/>
    </row>
    <row r="152" spans="3:3">
      <c r="C152" s="15"/>
    </row>
    <row r="154" spans="3:3">
      <c r="C154" s="15"/>
    </row>
    <row r="155" spans="3:3">
      <c r="C155" s="15"/>
    </row>
    <row r="156" spans="3:3">
      <c r="C156" s="1241"/>
    </row>
    <row r="157" spans="3:3">
      <c r="C157" s="1241"/>
    </row>
    <row r="158" spans="3:3">
      <c r="C158" s="1241"/>
    </row>
    <row r="159" spans="3:3">
      <c r="C159" s="1241"/>
    </row>
    <row r="160" spans="3:3">
      <c r="C160" s="1241"/>
    </row>
    <row r="161" spans="3:3">
      <c r="C161" s="1241"/>
    </row>
    <row r="162" spans="3:3">
      <c r="C162" s="1241"/>
    </row>
    <row r="163" spans="3:3">
      <c r="C163" s="1241"/>
    </row>
    <row r="164" spans="3:3">
      <c r="C164" s="1241"/>
    </row>
    <row r="165" spans="3:3">
      <c r="C165" s="1241"/>
    </row>
    <row r="166" spans="3:3">
      <c r="C166" s="1241"/>
    </row>
    <row r="167" spans="3:3">
      <c r="C167" s="1241"/>
    </row>
    <row r="168" spans="3:3">
      <c r="C168" s="1241"/>
    </row>
    <row r="169" spans="3:3">
      <c r="C169" s="15"/>
    </row>
    <row r="171" spans="3:3" ht="14">
      <c r="C171" s="259"/>
    </row>
    <row r="172" spans="3:3" ht="14">
      <c r="C172" s="259"/>
    </row>
    <row r="173" spans="3:3" ht="14">
      <c r="C173" s="259"/>
    </row>
    <row r="174" spans="3:3" ht="14">
      <c r="C174" s="259"/>
    </row>
    <row r="175" spans="3:3" ht="14">
      <c r="C175" s="259"/>
    </row>
    <row r="176" spans="3:3" ht="14">
      <c r="C176" s="259"/>
    </row>
    <row r="177" spans="3:3" ht="14">
      <c r="C177" s="259"/>
    </row>
    <row r="178" spans="3:3" ht="14">
      <c r="C178" s="259"/>
    </row>
    <row r="179" spans="3:3" ht="14">
      <c r="C179" s="259"/>
    </row>
    <row r="180" spans="3:3" ht="14.5">
      <c r="C180" s="43"/>
    </row>
    <row r="181" spans="3:3" ht="14.5">
      <c r="C181" s="43"/>
    </row>
    <row r="182" spans="3:3" ht="14">
      <c r="C182" s="14"/>
    </row>
    <row r="187" spans="3:3">
      <c r="C187" s="482"/>
    </row>
    <row r="188" spans="3:3">
      <c r="C188" s="482"/>
    </row>
    <row r="189" spans="3:3">
      <c r="C189" s="482"/>
    </row>
    <row r="190" spans="3:3">
      <c r="C190" s="482"/>
    </row>
    <row r="191" spans="3:3">
      <c r="C191" s="482"/>
    </row>
    <row r="192" spans="3:3">
      <c r="C192" s="482"/>
    </row>
    <row r="193" spans="3:3">
      <c r="C193" s="482"/>
    </row>
    <row r="194" spans="3:3">
      <c r="C194" s="482"/>
    </row>
    <row r="195" spans="3:3">
      <c r="C195" s="482"/>
    </row>
    <row r="196" spans="3:3">
      <c r="C196" s="482"/>
    </row>
    <row r="197" spans="3:3">
      <c r="C197" s="482"/>
    </row>
    <row r="198" spans="3:3">
      <c r="C198" s="483"/>
    </row>
    <row r="199" spans="3:3" ht="14.5">
      <c r="C199" s="38"/>
    </row>
    <row r="200" spans="3:3" ht="14.5">
      <c r="C200" s="38"/>
    </row>
    <row r="201" spans="3:3" ht="14.5">
      <c r="C201" s="38"/>
    </row>
  </sheetData>
  <sheetProtection insertRows="0" selectLockedCells="1"/>
  <mergeCells count="85">
    <mergeCell ref="B101:M101"/>
    <mergeCell ref="O26:O27"/>
    <mergeCell ref="B104:E104"/>
    <mergeCell ref="M32:M34"/>
    <mergeCell ref="I33:I34"/>
    <mergeCell ref="E32:J32"/>
    <mergeCell ref="E33:E34"/>
    <mergeCell ref="F33:F34"/>
    <mergeCell ref="G33:G34"/>
    <mergeCell ref="H33:H34"/>
    <mergeCell ref="K32:K34"/>
    <mergeCell ref="K41:K43"/>
    <mergeCell ref="J42:J43"/>
    <mergeCell ref="M41:M43"/>
    <mergeCell ref="B94:M94"/>
    <mergeCell ref="B32:B34"/>
    <mergeCell ref="F9:J9"/>
    <mergeCell ref="F16:G16"/>
    <mergeCell ref="H13:I13"/>
    <mergeCell ref="H14:I14"/>
    <mergeCell ref="H15:I15"/>
    <mergeCell ref="L32:L34"/>
    <mergeCell ref="L23:M24"/>
    <mergeCell ref="C32:C34"/>
    <mergeCell ref="D32:D34"/>
    <mergeCell ref="B85:M85"/>
    <mergeCell ref="G42:G43"/>
    <mergeCell ref="H42:H43"/>
    <mergeCell ref="I51:I53"/>
    <mergeCell ref="C23:I24"/>
    <mergeCell ref="C41:C43"/>
    <mergeCell ref="D41:D43"/>
    <mergeCell ref="E42:E43"/>
    <mergeCell ref="C44:C48"/>
    <mergeCell ref="B44:B48"/>
    <mergeCell ref="B23:B24"/>
    <mergeCell ref="J23:K24"/>
    <mergeCell ref="B86:M86"/>
    <mergeCell ref="J51:J53"/>
    <mergeCell ref="B41:B43"/>
    <mergeCell ref="A1:M1"/>
    <mergeCell ref="B90:M90"/>
    <mergeCell ref="B54:B55"/>
    <mergeCell ref="E52:E53"/>
    <mergeCell ref="B56:B57"/>
    <mergeCell ref="F52:F53"/>
    <mergeCell ref="G52:G53"/>
    <mergeCell ref="E51:G51"/>
    <mergeCell ref="D67:D69"/>
    <mergeCell ref="C70:C73"/>
    <mergeCell ref="B70:B73"/>
    <mergeCell ref="H16:I16"/>
    <mergeCell ref="F42:F43"/>
    <mergeCell ref="B92:M92"/>
    <mergeCell ref="J33:J34"/>
    <mergeCell ref="B35:B38"/>
    <mergeCell ref="C35:C38"/>
    <mergeCell ref="C26:I26"/>
    <mergeCell ref="C27:I27"/>
    <mergeCell ref="L41:L43"/>
    <mergeCell ref="I42:I43"/>
    <mergeCell ref="E41:J41"/>
    <mergeCell ref="C67:C69"/>
    <mergeCell ref="B51:B53"/>
    <mergeCell ref="C51:C53"/>
    <mergeCell ref="D51:D53"/>
    <mergeCell ref="H51:H53"/>
    <mergeCell ref="B58:B59"/>
    <mergeCell ref="B60:B61"/>
    <mergeCell ref="T26:T27"/>
    <mergeCell ref="R26:S27"/>
    <mergeCell ref="U26:U27"/>
    <mergeCell ref="B96:M96"/>
    <mergeCell ref="B98:M98"/>
    <mergeCell ref="E67:J67"/>
    <mergeCell ref="K67:K69"/>
    <mergeCell ref="L67:L69"/>
    <mergeCell ref="M67:M69"/>
    <mergeCell ref="E68:E69"/>
    <mergeCell ref="F68:F69"/>
    <mergeCell ref="G68:G69"/>
    <mergeCell ref="H68:H69"/>
    <mergeCell ref="I68:I69"/>
    <mergeCell ref="J68:J69"/>
    <mergeCell ref="B67:B69"/>
  </mergeCells>
  <phoneticPr fontId="50" type="noConversion"/>
  <dataValidations count="1">
    <dataValidation allowBlank="1" showInputMessage="1" sqref="F9:J9 H2:M2 A2:C2" xr:uid="{00000000-0002-0000-0700-000000000000}"/>
  </dataValidations>
  <printOptions horizontalCentered="1"/>
  <pageMargins left="0.35433070866141736" right="0.31496062992125984" top="0.47244094488188981" bottom="7.874015748031496E-2" header="0.23622047244094491" footer="0.27559055118110237"/>
  <pageSetup paperSize="9" scale="74" orientation="portrait" horizontalDpi="4294967294" verticalDpi="4294967294" r:id="rId1"/>
  <headerFooter>
    <oddHeader xml:space="preserve">&amp;R&amp;8KL. 012-18
</oddHead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700-000001000000}">
          <x14:formula1>
            <xm:f>'DB NIBP'!$A$108:$A$121</xm:f>
          </x14:formula1>
          <xm:sqref>B94:M94</xm:sqref>
        </x14:dataValidation>
        <x14:dataValidation type="list" allowBlank="1" showInputMessage="1" xr:uid="{00000000-0002-0000-0700-000002000000}">
          <x14:formula1>
            <xm:f>'kata-kata'!$D$9:$D$10</xm:f>
          </x14:formula1>
          <xm:sqref>C26:I26</xm:sqref>
        </x14:dataValidation>
        <x14:dataValidation type="list" allowBlank="1" showInputMessage="1" xr:uid="{00000000-0002-0000-0700-000003000000}">
          <x14:formula1>
            <xm:f>'kata-kata'!$D$11:$D$12</xm:f>
          </x14:formula1>
          <xm:sqref>C27:I27</xm:sqref>
        </x14:dataValidation>
        <x14:dataValidation type="list" allowBlank="1" showInputMessage="1" xr:uid="{00000000-0002-0000-0700-000004000000}">
          <x14:formula1>
            <xm:f>'kata-kata'!$K$9:$K$10</xm:f>
          </x14:formula1>
          <xm:sqref>F19:F20</xm:sqref>
        </x14:dataValidation>
        <x14:dataValidation type="list" allowBlank="1" showInputMessage="1" showErrorMessage="1" xr:uid="{00000000-0002-0000-0700-000005000000}">
          <x14:formula1>
            <xm:f>'kata-kata'!$F$15:$F$17</xm:f>
          </x14:formula1>
          <xm:sqref>D62</xm:sqref>
        </x14:dataValidation>
        <x14:dataValidation type="list" allowBlank="1" showInputMessage="1" showErrorMessage="1" xr:uid="{00000000-0002-0000-0700-000006000000}">
          <x14:formula1>
            <xm:f>'kata-kata'!$J$19:$J$20</xm:f>
          </x14:formula1>
          <xm:sqref>C35:C38</xm:sqref>
        </x14:dataValidation>
        <x14:dataValidation type="list" allowBlank="1" showInputMessage="1" showErrorMessage="1" xr:uid="{00000000-0002-0000-0700-000007000000}">
          <x14:formula1>
            <xm:f>'kata-kata'!$J$25:$J$26</xm:f>
          </x14:formula1>
          <xm:sqref>P76</xm:sqref>
        </x14:dataValidation>
        <x14:dataValidation type="list" allowBlank="1" showInputMessage="1" showErrorMessage="1" xr:uid="{00000000-0002-0000-0700-000008000000}">
          <x14:formula1>
            <xm:f>'DB Thermohygro'!$A$393:$A$410</xm:f>
          </x14:formula1>
          <xm:sqref>B98:M98</xm:sqref>
        </x14:dataValidation>
        <x14:dataValidation type="list" allowBlank="1" showInputMessage="1" showErrorMessage="1" xr:uid="{00000000-0002-0000-0700-000009000000}">
          <x14:formula1>
            <xm:f>'DB SPO2'!$A$114:$A$131</xm:f>
          </x14:formula1>
          <xm:sqref>B92:M92</xm:sqref>
        </x14:dataValidation>
        <x14:dataValidation type="list" allowBlank="1" showInputMessage="1" showErrorMessage="1" xr:uid="{00000000-0002-0000-0700-00000A000000}">
          <x14:formula1>
            <xm:f>'DB ECG SIM'!$A$289:$A$312</xm:f>
          </x14:formula1>
          <xm:sqref>B90:M90</xm:sqref>
        </x14:dataValidation>
        <x14:dataValidation type="list" allowBlank="1" showInputMessage="1" showErrorMessage="1" xr:uid="{00000000-0002-0000-0700-00000B000000}">
          <x14:formula1>
            <xm:f>ESA!$A$166:$A$175</xm:f>
          </x14:formula1>
          <xm:sqref>B96:M96</xm:sqref>
        </x14:dataValidation>
        <x14:dataValidation type="list" allowBlank="1" showInputMessage="1" xr:uid="{00000000-0002-0000-0700-00000C000000}">
          <x14:formula1>
            <xm:f>'kata-kata'!$B$37:$B$52</xm:f>
          </x14:formula1>
          <xm:sqref>B104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P128"/>
  <sheetViews>
    <sheetView topLeftCell="K13" workbookViewId="0">
      <selection activeCell="X16" sqref="X16"/>
    </sheetView>
  </sheetViews>
  <sheetFormatPr defaultColWidth="9.08984375" defaultRowHeight="10"/>
  <cols>
    <col min="1" max="1" width="9.08984375" style="475"/>
    <col min="2" max="2" width="64.54296875" style="475" customWidth="1"/>
    <col min="3" max="3" width="15.6328125" style="475" customWidth="1"/>
    <col min="4" max="4" width="9.08984375" style="475"/>
    <col min="5" max="6" width="9.36328125" style="475" bestFit="1" customWidth="1"/>
    <col min="7" max="8" width="9.08984375" style="475"/>
    <col min="9" max="9" width="9.36328125" style="475" bestFit="1" customWidth="1"/>
    <col min="10" max="10" width="11" style="475" bestFit="1" customWidth="1"/>
    <col min="11" max="16384" width="9.08984375" style="475"/>
  </cols>
  <sheetData>
    <row r="3" spans="2:30" ht="10.5">
      <c r="B3" s="484" t="s">
        <v>589</v>
      </c>
      <c r="C3" s="485" t="s">
        <v>281</v>
      </c>
    </row>
    <row r="4" spans="2:30" ht="10.5">
      <c r="B4" s="486" t="s">
        <v>591</v>
      </c>
      <c r="C4" s="487" t="s">
        <v>282</v>
      </c>
    </row>
    <row r="7" spans="2:30" ht="10.5">
      <c r="B7" s="488"/>
      <c r="C7" s="488"/>
      <c r="D7" s="488"/>
      <c r="E7" s="488"/>
    </row>
    <row r="8" spans="2:30" ht="10.5">
      <c r="B8" s="488"/>
      <c r="C8" s="488">
        <f>IF(ID!L26=C9,0.2,0.3)</f>
        <v>0.3</v>
      </c>
      <c r="D8" s="488"/>
      <c r="E8" s="488"/>
    </row>
    <row r="9" spans="2:30" ht="10.5">
      <c r="B9" s="488">
        <f>IF(ID!L26=C9,0.2,0.3)</f>
        <v>0.3</v>
      </c>
      <c r="C9" s="930">
        <v>0.2</v>
      </c>
      <c r="D9" s="489" t="s">
        <v>263</v>
      </c>
      <c r="E9" s="488"/>
      <c r="K9" s="490" t="s">
        <v>570</v>
      </c>
    </row>
    <row r="10" spans="2:30" ht="10.5">
      <c r="B10" s="488"/>
      <c r="C10" s="930">
        <v>0.3</v>
      </c>
      <c r="D10" s="489" t="s">
        <v>264</v>
      </c>
      <c r="E10" s="488"/>
      <c r="K10" s="488" t="s">
        <v>571</v>
      </c>
    </row>
    <row r="11" spans="2:30" ht="10.5">
      <c r="B11" s="491">
        <f>IF(ID!L27=C11,500,100)</f>
        <v>500</v>
      </c>
      <c r="C11" s="929">
        <v>500</v>
      </c>
      <c r="D11" s="489" t="s">
        <v>127</v>
      </c>
      <c r="E11" s="488"/>
    </row>
    <row r="12" spans="2:30" ht="10.5">
      <c r="B12" s="488"/>
      <c r="C12" s="929">
        <v>100</v>
      </c>
      <c r="D12" s="489" t="s">
        <v>128</v>
      </c>
      <c r="E12" s="488"/>
    </row>
    <row r="13" spans="2:30" ht="10.5">
      <c r="B13" s="488"/>
      <c r="C13" s="488"/>
      <c r="D13" s="488"/>
      <c r="E13" s="488"/>
    </row>
    <row r="15" spans="2:30" ht="10.5">
      <c r="B15" s="492" t="s">
        <v>271</v>
      </c>
      <c r="C15" s="493" t="s">
        <v>267</v>
      </c>
      <c r="D15" s="492" t="s">
        <v>268</v>
      </c>
      <c r="F15" s="488" t="s">
        <v>271</v>
      </c>
      <c r="G15" s="1572" t="s">
        <v>267</v>
      </c>
      <c r="H15" s="1570" t="s">
        <v>268</v>
      </c>
      <c r="I15" s="492" t="s">
        <v>271</v>
      </c>
      <c r="J15" s="488" t="s">
        <v>216</v>
      </c>
      <c r="S15" s="542" t="s">
        <v>132</v>
      </c>
      <c r="T15" s="542" t="s">
        <v>7</v>
      </c>
      <c r="U15" s="543" t="s">
        <v>142</v>
      </c>
      <c r="V15" s="1566">
        <v>5</v>
      </c>
      <c r="W15" s="545" t="s">
        <v>146</v>
      </c>
      <c r="X15" s="546" t="str">
        <f>IF(ID!$D$62='kata-kata'!$B$15,'kata-kata'!B24,IF(ID!$D$62='kata-kata'!$C$15,'kata-kata'!C24,IF(ID!$D$62='kata-kata'!$D$15,'kata-kata'!D24)))</f>
        <v>-</v>
      </c>
      <c r="Y15" s="544">
        <v>185</v>
      </c>
      <c r="Z15" s="544">
        <v>188</v>
      </c>
      <c r="AA15" s="544">
        <v>189</v>
      </c>
      <c r="AB15" s="547"/>
      <c r="AC15" s="547"/>
      <c r="AD15" s="548"/>
    </row>
    <row r="16" spans="2:30" ht="10.5">
      <c r="B16" s="494">
        <f>LK!D58</f>
        <v>120</v>
      </c>
      <c r="C16" s="1186">
        <v>80</v>
      </c>
      <c r="D16" s="1187">
        <v>35</v>
      </c>
      <c r="F16" s="488" t="s">
        <v>267</v>
      </c>
      <c r="G16" s="1573"/>
      <c r="H16" s="1571"/>
      <c r="I16" s="494">
        <v>120</v>
      </c>
      <c r="J16" s="488" t="s">
        <v>222</v>
      </c>
      <c r="S16" s="542"/>
      <c r="T16" s="542"/>
      <c r="U16" s="543"/>
      <c r="V16" s="1567"/>
      <c r="W16" s="545" t="s">
        <v>147</v>
      </c>
      <c r="X16" s="546" t="str">
        <f>IF(ID!$D$62='kata-kata'!$B$15,'kata-kata'!B25,IF(ID!$D$62='kata-kata'!$C$15,'kata-kata'!C25,IF(ID!$D$62='kata-kata'!$D$15,'kata-kata'!D25)))</f>
        <v>-</v>
      </c>
      <c r="Y16" s="544">
        <v>147</v>
      </c>
      <c r="Z16" s="544">
        <v>147</v>
      </c>
      <c r="AA16" s="544">
        <v>147</v>
      </c>
      <c r="AB16" s="547"/>
      <c r="AC16" s="547"/>
      <c r="AD16" s="548"/>
    </row>
    <row r="17" spans="1:41" ht="10.5">
      <c r="B17" s="494">
        <f>LK!D59</f>
        <v>80</v>
      </c>
      <c r="C17" s="1186">
        <v>50</v>
      </c>
      <c r="D17" s="1187">
        <v>15</v>
      </c>
      <c r="F17" s="488" t="s">
        <v>268</v>
      </c>
      <c r="G17" s="499">
        <v>80</v>
      </c>
      <c r="H17" s="500">
        <v>35</v>
      </c>
      <c r="I17" s="494">
        <v>80</v>
      </c>
      <c r="J17" s="488" t="s">
        <v>223</v>
      </c>
      <c r="S17" s="544">
        <v>118</v>
      </c>
      <c r="T17" s="544">
        <v>121</v>
      </c>
      <c r="U17" s="544">
        <v>120</v>
      </c>
      <c r="V17" s="1566">
        <v>6</v>
      </c>
      <c r="W17" s="545" t="s">
        <v>146</v>
      </c>
      <c r="X17" s="546">
        <f>IF(ID!$D$62='kata-kata'!$B$15,'kata-kata'!B26,IF(ID!$D$62='kata-kata'!$C$15,'kata-kata'!C26,IF(ID!$D$62='kata-kata'!$D$15,'kata-kata'!D26)))</f>
        <v>0</v>
      </c>
      <c r="Y17" s="544">
        <v>101</v>
      </c>
      <c r="Z17" s="544">
        <v>101</v>
      </c>
      <c r="AA17" s="544">
        <v>103</v>
      </c>
      <c r="AB17" s="547"/>
      <c r="AC17" s="547"/>
      <c r="AD17" s="548"/>
    </row>
    <row r="18" spans="1:41" ht="10.5">
      <c r="B18" s="494">
        <f>LK!D60</f>
        <v>150</v>
      </c>
      <c r="C18" s="1186">
        <v>100</v>
      </c>
      <c r="D18" s="1187">
        <v>60</v>
      </c>
      <c r="G18" s="499">
        <v>50</v>
      </c>
      <c r="H18" s="500">
        <v>15</v>
      </c>
      <c r="I18" s="494">
        <v>150</v>
      </c>
      <c r="J18" s="488" t="s">
        <v>224</v>
      </c>
      <c r="S18" s="544">
        <v>78</v>
      </c>
      <c r="T18" s="544">
        <v>80</v>
      </c>
      <c r="U18" s="544">
        <v>80</v>
      </c>
      <c r="V18" s="1567"/>
      <c r="W18" s="545" t="s">
        <v>147</v>
      </c>
      <c r="X18" s="546">
        <f>IF(ID!$D$62='kata-kata'!$B$15,'kata-kata'!B27,IF(ID!$D$62='kata-kata'!$C$15,'kata-kata'!C27,IF(ID!$D$62='kata-kata'!$D$15,'kata-kata'!D27)))</f>
        <v>0</v>
      </c>
      <c r="Y18" s="544">
        <v>64</v>
      </c>
      <c r="Z18" s="544">
        <v>64</v>
      </c>
      <c r="AA18" s="544">
        <v>63</v>
      </c>
      <c r="AB18" s="547"/>
      <c r="AC18" s="547"/>
      <c r="AD18" s="548"/>
    </row>
    <row r="19" spans="1:41" ht="10.5">
      <c r="B19" s="494">
        <f>LK!D61</f>
        <v>100</v>
      </c>
      <c r="C19" s="1186">
        <v>65</v>
      </c>
      <c r="D19" s="1187">
        <v>30</v>
      </c>
      <c r="G19" s="499">
        <v>100</v>
      </c>
      <c r="H19" s="500">
        <v>60</v>
      </c>
      <c r="I19" s="494">
        <v>100</v>
      </c>
      <c r="J19" s="488" t="s">
        <v>367</v>
      </c>
      <c r="S19" s="544">
        <v>152</v>
      </c>
      <c r="T19" s="544">
        <v>150</v>
      </c>
      <c r="U19" s="544">
        <v>150</v>
      </c>
      <c r="V19" s="1566">
        <v>7</v>
      </c>
      <c r="W19" s="545" t="s">
        <v>146</v>
      </c>
      <c r="X19" s="546">
        <f>IF(ID!$D$62='kata-kata'!$B$15,'kata-kata'!B28,IF(ID!$D$62='kata-kata'!$C$15,'kata-kata'!C28,IF(ID!$D$62='kata-kata'!$D$15,'kata-kata'!D28)))</f>
        <v>0</v>
      </c>
      <c r="Y19" s="544">
        <v>253</v>
      </c>
      <c r="Z19" s="544">
        <v>252</v>
      </c>
      <c r="AA19" s="544">
        <v>256</v>
      </c>
      <c r="AB19" s="547"/>
      <c r="AC19" s="547"/>
      <c r="AD19" s="548"/>
    </row>
    <row r="20" spans="1:41" ht="10.5">
      <c r="B20" s="494">
        <f>LK!D62</f>
        <v>200</v>
      </c>
      <c r="C20" s="1186">
        <v>120</v>
      </c>
      <c r="D20" s="1187">
        <v>80</v>
      </c>
      <c r="G20" s="499">
        <v>65</v>
      </c>
      <c r="H20" s="500">
        <v>30</v>
      </c>
      <c r="I20" s="494">
        <v>200</v>
      </c>
      <c r="J20" s="488" t="s">
        <v>366</v>
      </c>
      <c r="S20" s="544">
        <v>103</v>
      </c>
      <c r="T20" s="544">
        <v>101</v>
      </c>
      <c r="U20" s="544">
        <v>100</v>
      </c>
      <c r="V20" s="1567"/>
      <c r="W20" s="545" t="s">
        <v>147</v>
      </c>
      <c r="X20" s="549">
        <f>IF(ID!$D$62='kata-kata'!$B$15,'kata-kata'!B29,IF(ID!$D$62='kata-kata'!$C$15,'kata-kata'!C29,IF(ID!$D$62='kata-kata'!$D$15,'kata-kata'!D29)))</f>
        <v>0</v>
      </c>
      <c r="Y20" s="544">
        <v>193</v>
      </c>
      <c r="Z20" s="544">
        <v>193</v>
      </c>
      <c r="AA20" s="544">
        <v>192</v>
      </c>
      <c r="AB20" s="547"/>
      <c r="AC20" s="547"/>
      <c r="AD20" s="548"/>
    </row>
    <row r="21" spans="1:41" ht="10.5">
      <c r="B21" s="494">
        <f>LK!D63</f>
        <v>150</v>
      </c>
      <c r="C21" s="1186">
        <v>80</v>
      </c>
      <c r="D21" s="1187">
        <v>50</v>
      </c>
      <c r="G21" s="499">
        <v>120</v>
      </c>
      <c r="H21" s="500">
        <v>80</v>
      </c>
      <c r="I21" s="494">
        <v>150</v>
      </c>
      <c r="J21" s="497" t="s">
        <v>129</v>
      </c>
      <c r="S21" s="544">
        <v>197</v>
      </c>
      <c r="T21" s="544">
        <v>200</v>
      </c>
      <c r="U21" s="544">
        <v>200</v>
      </c>
    </row>
    <row r="22" spans="1:41" ht="10.5">
      <c r="B22" s="494">
        <f>LK!D64</f>
        <v>80</v>
      </c>
      <c r="C22" s="495">
        <v>150</v>
      </c>
      <c r="D22" s="496">
        <v>100</v>
      </c>
      <c r="G22" s="499">
        <v>80</v>
      </c>
      <c r="H22" s="500">
        <v>50</v>
      </c>
      <c r="I22" s="494">
        <v>60</v>
      </c>
      <c r="J22" s="497" t="s">
        <v>130</v>
      </c>
      <c r="S22" s="544">
        <v>149</v>
      </c>
      <c r="T22" s="544">
        <v>152</v>
      </c>
      <c r="U22" s="544">
        <v>153</v>
      </c>
    </row>
    <row r="23" spans="1:41" ht="10.5">
      <c r="B23" s="494">
        <f>LK!D65</f>
        <v>50</v>
      </c>
      <c r="C23" s="495">
        <v>100</v>
      </c>
      <c r="D23" s="496">
        <v>70</v>
      </c>
      <c r="G23" s="499">
        <v>150</v>
      </c>
      <c r="H23" s="500">
        <v>100</v>
      </c>
      <c r="I23" s="494">
        <v>30</v>
      </c>
      <c r="S23" s="544">
        <v>60</v>
      </c>
      <c r="T23" s="544">
        <v>60</v>
      </c>
      <c r="U23" s="544">
        <v>60</v>
      </c>
    </row>
    <row r="24" spans="1:41" ht="10.5">
      <c r="B24" s="494" t="s">
        <v>62</v>
      </c>
      <c r="C24" s="496" t="s">
        <v>62</v>
      </c>
      <c r="D24" s="498" t="s">
        <v>62</v>
      </c>
      <c r="G24" s="499">
        <v>100</v>
      </c>
      <c r="H24" s="500">
        <v>70</v>
      </c>
      <c r="I24" s="494">
        <v>80</v>
      </c>
      <c r="S24" s="544">
        <v>28</v>
      </c>
      <c r="T24" s="544">
        <v>30</v>
      </c>
      <c r="U24" s="544">
        <v>30</v>
      </c>
    </row>
    <row r="25" spans="1:41" ht="13">
      <c r="B25" s="494" t="s">
        <v>62</v>
      </c>
      <c r="C25" s="496" t="s">
        <v>62</v>
      </c>
      <c r="D25" s="498" t="s">
        <v>62</v>
      </c>
      <c r="I25" s="494">
        <v>50</v>
      </c>
      <c r="J25" s="550"/>
      <c r="S25" s="544">
        <v>79</v>
      </c>
      <c r="T25" s="544">
        <v>80</v>
      </c>
      <c r="U25" s="544">
        <v>80</v>
      </c>
    </row>
    <row r="26" spans="1:41" ht="13">
      <c r="B26" s="494"/>
      <c r="C26" s="496" t="s">
        <v>62</v>
      </c>
      <c r="D26" s="498" t="s">
        <v>62</v>
      </c>
      <c r="I26" s="494">
        <v>100</v>
      </c>
      <c r="J26" s="551"/>
      <c r="S26" s="544">
        <v>53</v>
      </c>
      <c r="T26" s="544">
        <v>50</v>
      </c>
      <c r="U26" s="544">
        <v>50</v>
      </c>
    </row>
    <row r="27" spans="1:41" ht="13">
      <c r="B27" s="494"/>
      <c r="C27" s="496" t="s">
        <v>62</v>
      </c>
      <c r="D27" s="498" t="s">
        <v>62</v>
      </c>
      <c r="I27" s="494">
        <v>65</v>
      </c>
      <c r="J27" s="552" t="str">
        <f>""</f>
        <v/>
      </c>
      <c r="S27" s="544">
        <v>106</v>
      </c>
      <c r="T27" s="544">
        <v>100</v>
      </c>
      <c r="U27" s="544">
        <v>100</v>
      </c>
      <c r="W27" s="575"/>
      <c r="X27" s="1568"/>
      <c r="Y27" s="576"/>
      <c r="Z27" s="577"/>
      <c r="AA27" s="577"/>
      <c r="AB27" s="577"/>
      <c r="AC27" s="577"/>
      <c r="AD27" s="577"/>
      <c r="AE27" s="577"/>
      <c r="AF27" s="578"/>
      <c r="AG27" s="579"/>
      <c r="AH27" s="580"/>
    </row>
    <row r="28" spans="1:41" ht="11.5">
      <c r="B28" s="494"/>
      <c r="C28" s="498" t="s">
        <v>62</v>
      </c>
      <c r="D28" s="498" t="s">
        <v>62</v>
      </c>
      <c r="I28" s="494">
        <v>255</v>
      </c>
      <c r="S28" s="544">
        <v>66</v>
      </c>
      <c r="T28" s="544">
        <v>65</v>
      </c>
      <c r="U28" s="544">
        <v>65</v>
      </c>
      <c r="W28" s="581"/>
      <c r="X28" s="1569"/>
      <c r="Y28" s="576"/>
      <c r="Z28" s="577"/>
      <c r="AA28" s="577"/>
      <c r="AB28" s="577"/>
      <c r="AC28" s="577"/>
      <c r="AD28" s="577"/>
      <c r="AE28" s="577"/>
      <c r="AF28" s="578"/>
      <c r="AG28" s="579"/>
      <c r="AH28" s="580"/>
    </row>
    <row r="29" spans="1:41" ht="10.5">
      <c r="B29" s="494"/>
      <c r="C29" s="498" t="s">
        <v>62</v>
      </c>
      <c r="D29" s="498" t="s">
        <v>62</v>
      </c>
      <c r="I29" s="494">
        <v>195</v>
      </c>
      <c r="S29" s="544">
        <v>255</v>
      </c>
      <c r="T29" s="544">
        <v>255</v>
      </c>
      <c r="U29" s="544">
        <v>255</v>
      </c>
    </row>
    <row r="30" spans="1:41" ht="10.5">
      <c r="S30" s="544">
        <v>191</v>
      </c>
      <c r="T30" s="544">
        <v>197</v>
      </c>
      <c r="U30" s="544">
        <v>195</v>
      </c>
      <c r="W30" s="582"/>
      <c r="X30" s="583"/>
      <c r="Y30" s="554"/>
      <c r="Z30" s="555"/>
      <c r="AA30" s="584"/>
      <c r="AB30" s="585"/>
      <c r="AC30" s="557"/>
      <c r="AD30" s="558"/>
      <c r="AE30" s="559"/>
      <c r="AF30" s="567"/>
      <c r="AG30" s="1562"/>
      <c r="AH30" s="1562"/>
      <c r="AI30" s="586"/>
    </row>
    <row r="31" spans="1:41" s="488" customFormat="1" ht="14.25" customHeight="1">
      <c r="A31" s="1563" t="s">
        <v>369</v>
      </c>
      <c r="B31" s="1564">
        <v>6</v>
      </c>
      <c r="C31" s="553" t="s">
        <v>146</v>
      </c>
      <c r="D31" s="554">
        <f>'kata-kata'!X17</f>
        <v>0</v>
      </c>
      <c r="E31" s="555">
        <f>IFERROR('kata-kata'!AC17,"-")</f>
        <v>0</v>
      </c>
      <c r="F31" s="464"/>
      <c r="G31" s="556"/>
      <c r="H31" s="557" t="str">
        <f t="shared" ref="H31:H36" si="0">IF(I31="-","","±")</f>
        <v>±</v>
      </c>
      <c r="I31" s="558">
        <f>IFERROR(Budget!V135,"-")</f>
        <v>0</v>
      </c>
      <c r="J31" s="559"/>
      <c r="K31" s="560"/>
      <c r="L31" s="1565"/>
      <c r="M31" s="1565"/>
      <c r="N31" s="561"/>
      <c r="Q31" s="562">
        <f>IF(T31="YES",Penyelia!$AA$56+Penyelia!$AA$55+Penyelia!$AA$57,0)</f>
        <v>0</v>
      </c>
      <c r="R31" s="563"/>
      <c r="S31" s="564">
        <f>IFERROR(Q31,0)</f>
        <v>0</v>
      </c>
      <c r="T31" s="562"/>
      <c r="W31" s="587"/>
      <c r="X31" s="588"/>
      <c r="Y31" s="554"/>
      <c r="Z31" s="555"/>
      <c r="AA31" s="584"/>
      <c r="AB31" s="585"/>
      <c r="AC31" s="557"/>
      <c r="AD31" s="558"/>
      <c r="AE31" s="559"/>
      <c r="AF31" s="559"/>
      <c r="AG31" s="1562"/>
      <c r="AH31" s="1562"/>
      <c r="AI31" s="589"/>
      <c r="AL31" s="565"/>
      <c r="AM31" s="566"/>
      <c r="AN31" s="566"/>
      <c r="AO31" s="565"/>
    </row>
    <row r="32" spans="1:41" s="488" customFormat="1" ht="14.25" customHeight="1">
      <c r="A32" s="1563"/>
      <c r="B32" s="1564"/>
      <c r="C32" s="553" t="s">
        <v>147</v>
      </c>
      <c r="D32" s="554">
        <f>'kata-kata'!X18</f>
        <v>0</v>
      </c>
      <c r="E32" s="555">
        <f>IFERROR('kata-kata'!AC18,"-")</f>
        <v>0</v>
      </c>
      <c r="F32" s="464"/>
      <c r="G32" s="556"/>
      <c r="H32" s="557" t="str">
        <f t="shared" si="0"/>
        <v>±</v>
      </c>
      <c r="I32" s="558">
        <f>IFERROR(Budget!V147,"-")</f>
        <v>0</v>
      </c>
      <c r="J32" s="559"/>
      <c r="K32" s="560"/>
      <c r="L32" s="1565"/>
      <c r="M32" s="1565"/>
      <c r="N32" s="561"/>
      <c r="Q32" s="562">
        <f>IF(T32="YES",Penyelia!$AA$56+Penyelia!$AA$55+Penyelia!$AA$57,0)</f>
        <v>0</v>
      </c>
      <c r="R32" s="563"/>
      <c r="S32" s="564">
        <f>IFERROR(Q32,0)</f>
        <v>0</v>
      </c>
      <c r="T32" s="562"/>
      <c r="AL32" s="565"/>
      <c r="AM32" s="566"/>
      <c r="AN32" s="566"/>
      <c r="AO32" s="565"/>
    </row>
    <row r="33" spans="1:42" s="488" customFormat="1" ht="14.25" customHeight="1">
      <c r="A33" s="1563"/>
      <c r="B33" s="1564">
        <v>7</v>
      </c>
      <c r="C33" s="553" t="s">
        <v>146</v>
      </c>
      <c r="D33" s="554">
        <f>'kata-kata'!X19</f>
        <v>0</v>
      </c>
      <c r="E33" s="555">
        <f>IFERROR('kata-kata'!AC19,"-")</f>
        <v>0</v>
      </c>
      <c r="F33" s="464"/>
      <c r="G33" s="556"/>
      <c r="H33" s="557" t="str">
        <f t="shared" si="0"/>
        <v/>
      </c>
      <c r="I33" s="558" t="str">
        <f>IFERROR(Budget!#REF!,"-")</f>
        <v>-</v>
      </c>
      <c r="J33" s="559"/>
      <c r="K33" s="567"/>
      <c r="L33" s="1565" t="e">
        <f>IF(E33="-","-",ABS(F33)+I33)</f>
        <v>#VALUE!</v>
      </c>
      <c r="M33" s="1565"/>
      <c r="Q33" s="562">
        <f>IF(T33="YES",Penyelia!$AA$56+Penyelia!$AA$55+Penyelia!$AA$57,0)</f>
        <v>0</v>
      </c>
      <c r="R33" s="563"/>
      <c r="S33" s="564">
        <f>IFERROR(Q33,0)</f>
        <v>0</v>
      </c>
      <c r="T33" s="562"/>
      <c r="AI33" s="568"/>
      <c r="AO33" s="566"/>
      <c r="AP33" s="566"/>
    </row>
    <row r="34" spans="1:42" s="488" customFormat="1" ht="14.25" customHeight="1">
      <c r="A34" s="1563"/>
      <c r="B34" s="1564"/>
      <c r="C34" s="553" t="s">
        <v>147</v>
      </c>
      <c r="D34" s="554">
        <f>'kata-kata'!X20</f>
        <v>0</v>
      </c>
      <c r="E34" s="555">
        <f>IFERROR('kata-kata'!AC20,"-")</f>
        <v>0</v>
      </c>
      <c r="F34" s="464"/>
      <c r="G34" s="569"/>
      <c r="H34" s="557" t="str">
        <f t="shared" si="0"/>
        <v/>
      </c>
      <c r="I34" s="558" t="str">
        <f>IFERROR(Budget!#REF!,"-")</f>
        <v>-</v>
      </c>
      <c r="J34" s="559"/>
      <c r="K34" s="567"/>
      <c r="L34" s="1565" t="e">
        <f>IF(E34="-","-",ABS(F34)+I34)</f>
        <v>#VALUE!</v>
      </c>
      <c r="M34" s="1565"/>
      <c r="Q34" s="562">
        <f>IF(T34="YES",Penyelia!$AA$56+Penyelia!$AA$55+Penyelia!$AA$57,0)</f>
        <v>0</v>
      </c>
      <c r="R34" s="563"/>
      <c r="S34" s="564">
        <f>IFERROR(Q34,0)</f>
        <v>0</v>
      </c>
      <c r="T34" s="562"/>
      <c r="AG34" s="567"/>
      <c r="AI34" s="561"/>
      <c r="AL34" s="570"/>
      <c r="AM34" s="571"/>
      <c r="AP34" s="566"/>
    </row>
    <row r="35" spans="1:42" ht="10.5">
      <c r="B35" s="1564">
        <v>5</v>
      </c>
      <c r="C35" s="553" t="s">
        <v>146</v>
      </c>
      <c r="D35" s="554" t="str">
        <f>'kata-kata'!X15</f>
        <v>-</v>
      </c>
      <c r="E35" s="555">
        <f>IFERROR('kata-kata'!AC15,"-")</f>
        <v>0</v>
      </c>
      <c r="F35" s="464"/>
      <c r="G35" s="556"/>
      <c r="H35" s="557" t="str">
        <f t="shared" si="0"/>
        <v>±</v>
      </c>
      <c r="I35" s="558">
        <f>IFERROR(Budget!V111,"-")</f>
        <v>0.57982691537132647</v>
      </c>
      <c r="J35" s="559"/>
      <c r="K35" s="560"/>
      <c r="L35" s="1565">
        <f>IF(E35="-","-",ABS(F35))</f>
        <v>0</v>
      </c>
      <c r="M35" s="1565"/>
    </row>
    <row r="36" spans="1:42" ht="10.5">
      <c r="B36" s="1564"/>
      <c r="C36" s="553" t="s">
        <v>147</v>
      </c>
      <c r="D36" s="554" t="str">
        <f>'kata-kata'!X16</f>
        <v>-</v>
      </c>
      <c r="E36" s="555">
        <f>IFERROR('kata-kata'!AC16,"-")</f>
        <v>0</v>
      </c>
      <c r="F36" s="464"/>
      <c r="G36" s="569"/>
      <c r="H36" s="557" t="str">
        <f t="shared" si="0"/>
        <v>±</v>
      </c>
      <c r="I36" s="558">
        <f>IFERROR(Budget!V123,"-")</f>
        <v>0.57982691537132647</v>
      </c>
      <c r="J36" s="559"/>
      <c r="K36" s="560"/>
      <c r="L36" s="1565">
        <f>IF(E36="-","-",ABS(F36))</f>
        <v>0</v>
      </c>
      <c r="M36" s="1565"/>
    </row>
    <row r="37" spans="1:42">
      <c r="B37" s="475" t="s">
        <v>121</v>
      </c>
    </row>
    <row r="38" spans="1:42">
      <c r="B38" s="475" t="s">
        <v>24</v>
      </c>
    </row>
    <row r="39" spans="1:42">
      <c r="B39" s="475" t="s">
        <v>88</v>
      </c>
    </row>
    <row r="40" spans="1:42">
      <c r="B40" s="475" t="s">
        <v>116</v>
      </c>
    </row>
    <row r="41" spans="1:42">
      <c r="B41" s="475" t="s">
        <v>117</v>
      </c>
    </row>
    <row r="42" spans="1:42">
      <c r="B42" s="475" t="s">
        <v>114</v>
      </c>
      <c r="C42" s="475" t="s">
        <v>592</v>
      </c>
    </row>
    <row r="43" spans="1:42">
      <c r="B43" s="475" t="s">
        <v>98</v>
      </c>
      <c r="C43" s="475" t="s">
        <v>593</v>
      </c>
    </row>
    <row r="44" spans="1:42">
      <c r="B44" s="475" t="s">
        <v>92</v>
      </c>
    </row>
    <row r="45" spans="1:42">
      <c r="B45" s="475" t="s">
        <v>90</v>
      </c>
    </row>
    <row r="46" spans="1:42">
      <c r="B46" s="475" t="s">
        <v>122</v>
      </c>
    </row>
    <row r="47" spans="1:42">
      <c r="B47" s="475" t="s">
        <v>118</v>
      </c>
    </row>
    <row r="48" spans="1:42">
      <c r="B48" s="475" t="s">
        <v>99</v>
      </c>
    </row>
    <row r="49" spans="2:5">
      <c r="B49" s="475" t="s">
        <v>91</v>
      </c>
    </row>
    <row r="50" spans="2:5">
      <c r="B50" s="475" t="s">
        <v>89</v>
      </c>
    </row>
    <row r="51" spans="2:5">
      <c r="B51" s="475" t="s">
        <v>119</v>
      </c>
    </row>
    <row r="52" spans="2:5">
      <c r="B52" s="475" t="s">
        <v>120</v>
      </c>
    </row>
    <row r="61" spans="2:5" ht="13">
      <c r="B61" s="201" t="str">
        <f>ID!B88</f>
        <v>Alat Yang Digunakan :</v>
      </c>
      <c r="C61"/>
      <c r="D61"/>
      <c r="E61"/>
    </row>
    <row r="62" spans="2:5" ht="12.5">
      <c r="B62" s="903" t="s">
        <v>449</v>
      </c>
      <c r="C62" s="903" t="s">
        <v>18</v>
      </c>
      <c r="D62" s="903" t="s">
        <v>450</v>
      </c>
      <c r="E62" s="903" t="s">
        <v>451</v>
      </c>
    </row>
    <row r="63" spans="2:5" ht="12.5">
      <c r="B63" s="903"/>
      <c r="C63" s="903"/>
      <c r="D63" s="903"/>
      <c r="E63" s="903"/>
    </row>
    <row r="64" spans="2:5">
      <c r="B64" s="904" t="s">
        <v>467</v>
      </c>
      <c r="C64" s="905" t="s">
        <v>463</v>
      </c>
      <c r="D64" s="905" t="s">
        <v>457</v>
      </c>
      <c r="E64" s="906">
        <v>21033</v>
      </c>
    </row>
    <row r="65" spans="2:5">
      <c r="B65" s="904" t="s">
        <v>467</v>
      </c>
      <c r="C65" s="905" t="s">
        <v>463</v>
      </c>
      <c r="D65" s="905" t="s">
        <v>458</v>
      </c>
      <c r="E65" s="906">
        <v>1826055</v>
      </c>
    </row>
    <row r="66" spans="2:5">
      <c r="B66" s="904" t="s">
        <v>467</v>
      </c>
      <c r="C66" s="905" t="s">
        <v>463</v>
      </c>
      <c r="D66" s="905" t="s">
        <v>458</v>
      </c>
      <c r="E66" s="906">
        <v>1827060</v>
      </c>
    </row>
    <row r="67" spans="2:5">
      <c r="B67" s="904" t="s">
        <v>467</v>
      </c>
      <c r="C67" s="905" t="s">
        <v>463</v>
      </c>
      <c r="D67" s="905" t="s">
        <v>459</v>
      </c>
      <c r="E67" s="906">
        <v>184633</v>
      </c>
    </row>
    <row r="68" spans="2:5">
      <c r="B68" s="904" t="s">
        <v>467</v>
      </c>
      <c r="C68" s="905" t="s">
        <v>463</v>
      </c>
      <c r="D68" s="905" t="s">
        <v>459</v>
      </c>
      <c r="E68" s="906">
        <v>184635</v>
      </c>
    </row>
    <row r="69" spans="2:5">
      <c r="B69" s="904" t="s">
        <v>468</v>
      </c>
      <c r="C69" s="905" t="s">
        <v>463</v>
      </c>
      <c r="D69" s="905" t="s">
        <v>460</v>
      </c>
      <c r="E69" s="906">
        <v>3217028</v>
      </c>
    </row>
    <row r="70" spans="2:5">
      <c r="B70" s="904" t="s">
        <v>468</v>
      </c>
      <c r="C70" s="905" t="s">
        <v>463</v>
      </c>
      <c r="D70" s="905" t="s">
        <v>460</v>
      </c>
      <c r="E70" s="906">
        <v>3188428</v>
      </c>
    </row>
    <row r="71" spans="2:5">
      <c r="B71" s="904" t="s">
        <v>468</v>
      </c>
      <c r="C71" s="905" t="s">
        <v>464</v>
      </c>
      <c r="D71" s="905" t="s">
        <v>461</v>
      </c>
      <c r="E71" s="906" t="s">
        <v>452</v>
      </c>
    </row>
    <row r="72" spans="2:5">
      <c r="B72" s="904" t="s">
        <v>468</v>
      </c>
      <c r="C72" s="905" t="s">
        <v>464</v>
      </c>
      <c r="D72" s="905" t="s">
        <v>461</v>
      </c>
      <c r="E72" s="906" t="s">
        <v>453</v>
      </c>
    </row>
    <row r="73" spans="2:5">
      <c r="B73" s="904" t="s">
        <v>468</v>
      </c>
      <c r="C73" s="905" t="s">
        <v>464</v>
      </c>
      <c r="D73" s="905" t="s">
        <v>461</v>
      </c>
      <c r="E73" s="906" t="s">
        <v>454</v>
      </c>
    </row>
    <row r="74" spans="2:5">
      <c r="B74" s="904" t="s">
        <v>467</v>
      </c>
      <c r="C74" s="905" t="s">
        <v>464</v>
      </c>
      <c r="D74" s="905" t="s">
        <v>462</v>
      </c>
      <c r="E74" s="906" t="s">
        <v>455</v>
      </c>
    </row>
    <row r="75" spans="2:5">
      <c r="B75" s="904" t="s">
        <v>467</v>
      </c>
      <c r="C75" s="905" t="s">
        <v>464</v>
      </c>
      <c r="D75" s="905" t="s">
        <v>462</v>
      </c>
      <c r="E75" s="906" t="s">
        <v>456</v>
      </c>
    </row>
    <row r="76" spans="2:5">
      <c r="B76" s="905"/>
      <c r="C76" s="905"/>
      <c r="D76" s="905"/>
      <c r="E76" s="905"/>
    </row>
    <row r="77" spans="2:5">
      <c r="B77" s="905" t="s">
        <v>469</v>
      </c>
      <c r="C77" s="905" t="s">
        <v>466</v>
      </c>
      <c r="D77" s="905" t="s">
        <v>465</v>
      </c>
      <c r="E77" s="905">
        <v>2799069</v>
      </c>
    </row>
    <row r="78" spans="2:5">
      <c r="B78" s="905" t="s">
        <v>469</v>
      </c>
      <c r="C78" s="905" t="s">
        <v>466</v>
      </c>
      <c r="D78" s="905" t="s">
        <v>465</v>
      </c>
      <c r="E78" s="905">
        <v>2799009</v>
      </c>
    </row>
    <row r="79" spans="2:5">
      <c r="B79" s="905" t="s">
        <v>469</v>
      </c>
      <c r="C79" s="905" t="s">
        <v>466</v>
      </c>
      <c r="D79" s="905" t="s">
        <v>465</v>
      </c>
      <c r="E79" s="905">
        <v>2812009</v>
      </c>
    </row>
    <row r="80" spans="2:5">
      <c r="B80" s="905" t="s">
        <v>469</v>
      </c>
      <c r="C80" s="905" t="s">
        <v>466</v>
      </c>
      <c r="D80" s="905" t="s">
        <v>465</v>
      </c>
      <c r="E80" s="905">
        <v>4403084</v>
      </c>
    </row>
    <row r="81" spans="2:5">
      <c r="B81" s="905" t="s">
        <v>469</v>
      </c>
      <c r="C81" s="905" t="s">
        <v>466</v>
      </c>
      <c r="D81" s="905" t="s">
        <v>465</v>
      </c>
      <c r="E81" s="905">
        <v>4352022</v>
      </c>
    </row>
    <row r="82" spans="2:5">
      <c r="B82" s="905" t="s">
        <v>469</v>
      </c>
      <c r="C82" s="905" t="s">
        <v>466</v>
      </c>
      <c r="D82" s="905" t="s">
        <v>465</v>
      </c>
      <c r="E82" s="905">
        <v>4404040</v>
      </c>
    </row>
    <row r="83" spans="2:5">
      <c r="B83" s="905" t="s">
        <v>469</v>
      </c>
      <c r="C83" s="905" t="s">
        <v>466</v>
      </c>
      <c r="D83" s="905" t="s">
        <v>465</v>
      </c>
      <c r="E83" s="905">
        <v>4589019</v>
      </c>
    </row>
    <row r="84" spans="2:5">
      <c r="B84" s="904" t="s">
        <v>467</v>
      </c>
      <c r="C84" s="905" t="s">
        <v>463</v>
      </c>
      <c r="D84" s="905" t="s">
        <v>460</v>
      </c>
      <c r="E84" s="905">
        <v>3188428</v>
      </c>
    </row>
    <row r="85" spans="2:5">
      <c r="B85" s="904" t="s">
        <v>467</v>
      </c>
      <c r="C85" s="905" t="s">
        <v>463</v>
      </c>
      <c r="D85" s="905" t="s">
        <v>460</v>
      </c>
      <c r="E85" s="905">
        <v>3217028</v>
      </c>
    </row>
    <row r="86" spans="2:5">
      <c r="B86" s="905"/>
      <c r="C86" s="905"/>
      <c r="D86" s="905"/>
      <c r="E86" s="905"/>
    </row>
    <row r="87" spans="2:5">
      <c r="B87" s="905" t="s">
        <v>515</v>
      </c>
      <c r="C87" s="905"/>
      <c r="D87" s="905"/>
      <c r="E87" s="905" t="s">
        <v>470</v>
      </c>
    </row>
    <row r="88" spans="2:5">
      <c r="B88" s="905" t="s">
        <v>468</v>
      </c>
      <c r="C88" s="905" t="s">
        <v>463</v>
      </c>
      <c r="D88" s="905" t="s">
        <v>460</v>
      </c>
      <c r="E88" s="905">
        <v>3188428</v>
      </c>
    </row>
    <row r="89" spans="2:5">
      <c r="B89" s="905" t="s">
        <v>468</v>
      </c>
      <c r="C89" s="905" t="s">
        <v>463</v>
      </c>
      <c r="D89" s="905" t="s">
        <v>460</v>
      </c>
      <c r="E89" s="905">
        <v>3217028</v>
      </c>
    </row>
    <row r="90" spans="2:5">
      <c r="B90" s="905" t="s">
        <v>515</v>
      </c>
      <c r="C90" s="905" t="s">
        <v>478</v>
      </c>
      <c r="D90" s="905" t="s">
        <v>479</v>
      </c>
      <c r="E90" s="905" t="s">
        <v>471</v>
      </c>
    </row>
    <row r="91" spans="2:5">
      <c r="B91" s="905" t="s">
        <v>468</v>
      </c>
      <c r="C91" s="905" t="s">
        <v>464</v>
      </c>
      <c r="D91" s="905" t="s">
        <v>461</v>
      </c>
      <c r="E91" s="906" t="s">
        <v>452</v>
      </c>
    </row>
    <row r="92" spans="2:5">
      <c r="B92" s="905" t="s">
        <v>468</v>
      </c>
      <c r="C92" s="905" t="s">
        <v>463</v>
      </c>
      <c r="D92" s="905" t="s">
        <v>472</v>
      </c>
      <c r="E92" s="905">
        <v>4422046</v>
      </c>
    </row>
    <row r="93" spans="2:5">
      <c r="B93" s="905" t="s">
        <v>468</v>
      </c>
      <c r="C93" s="905" t="s">
        <v>463</v>
      </c>
      <c r="D93" s="905" t="s">
        <v>472</v>
      </c>
      <c r="E93" s="905">
        <v>4416070</v>
      </c>
    </row>
    <row r="94" spans="2:5">
      <c r="B94" s="905" t="s">
        <v>516</v>
      </c>
      <c r="C94" s="905" t="s">
        <v>464</v>
      </c>
      <c r="D94" s="905" t="s">
        <v>473</v>
      </c>
      <c r="E94" s="905" t="s">
        <v>474</v>
      </c>
    </row>
    <row r="95" spans="2:5">
      <c r="B95" s="905" t="s">
        <v>468</v>
      </c>
      <c r="C95" s="905" t="s">
        <v>464</v>
      </c>
      <c r="D95" s="905" t="s">
        <v>461</v>
      </c>
      <c r="E95" s="906" t="s">
        <v>453</v>
      </c>
    </row>
    <row r="96" spans="2:5">
      <c r="B96" s="905" t="s">
        <v>468</v>
      </c>
      <c r="C96" s="905" t="s">
        <v>464</v>
      </c>
      <c r="D96" s="905" t="s">
        <v>461</v>
      </c>
      <c r="E96" s="906" t="s">
        <v>454</v>
      </c>
    </row>
    <row r="97" spans="2:5">
      <c r="B97" s="905" t="s">
        <v>516</v>
      </c>
      <c r="C97" s="905" t="s">
        <v>464</v>
      </c>
      <c r="D97" s="905" t="s">
        <v>473</v>
      </c>
      <c r="E97" s="905" t="s">
        <v>475</v>
      </c>
    </row>
    <row r="98" spans="2:5">
      <c r="B98" s="905" t="s">
        <v>516</v>
      </c>
      <c r="C98" s="905" t="s">
        <v>464</v>
      </c>
      <c r="D98" s="905" t="s">
        <v>473</v>
      </c>
      <c r="E98" s="905" t="s">
        <v>476</v>
      </c>
    </row>
    <row r="99" spans="2:5">
      <c r="B99" s="905" t="s">
        <v>516</v>
      </c>
      <c r="C99" s="905" t="s">
        <v>464</v>
      </c>
      <c r="D99" s="905" t="s">
        <v>473</v>
      </c>
      <c r="E99" s="905" t="s">
        <v>477</v>
      </c>
    </row>
    <row r="100" spans="2:5" ht="11.5">
      <c r="B100" s="907"/>
      <c r="C100" s="905"/>
      <c r="D100" s="905"/>
      <c r="E100" s="905"/>
    </row>
    <row r="101" spans="2:5" ht="10.5">
      <c r="B101" s="908" t="s">
        <v>480</v>
      </c>
      <c r="C101" s="909" t="s">
        <v>466</v>
      </c>
      <c r="D101" s="909" t="s">
        <v>481</v>
      </c>
      <c r="E101" s="910">
        <v>1837056</v>
      </c>
    </row>
    <row r="102" spans="2:5" ht="10.5">
      <c r="B102" s="908" t="s">
        <v>480</v>
      </c>
      <c r="C102" s="909" t="s">
        <v>466</v>
      </c>
      <c r="D102" s="909" t="s">
        <v>482</v>
      </c>
      <c r="E102" s="910">
        <v>1834020</v>
      </c>
    </row>
    <row r="103" spans="2:5" ht="10.5">
      <c r="B103" s="908" t="s">
        <v>480</v>
      </c>
      <c r="C103" s="909" t="s">
        <v>466</v>
      </c>
      <c r="D103" s="909" t="s">
        <v>483</v>
      </c>
      <c r="E103" s="910">
        <v>2853077</v>
      </c>
    </row>
    <row r="104" spans="2:5" ht="10.5">
      <c r="B104" s="908" t="s">
        <v>480</v>
      </c>
      <c r="C104" s="909" t="s">
        <v>466</v>
      </c>
      <c r="D104" s="909" t="s">
        <v>484</v>
      </c>
      <c r="E104" s="910">
        <v>2853078</v>
      </c>
    </row>
    <row r="105" spans="2:5" ht="10.5">
      <c r="B105" s="908" t="s">
        <v>480</v>
      </c>
      <c r="C105" s="909" t="s">
        <v>466</v>
      </c>
      <c r="D105" s="909" t="s">
        <v>485</v>
      </c>
      <c r="E105" s="910">
        <v>3148907</v>
      </c>
    </row>
    <row r="106" spans="2:5" ht="10.5">
      <c r="B106" s="908" t="s">
        <v>480</v>
      </c>
      <c r="C106" s="909" t="s">
        <v>466</v>
      </c>
      <c r="D106" s="909" t="s">
        <v>486</v>
      </c>
      <c r="E106" s="910">
        <v>3148908</v>
      </c>
    </row>
    <row r="107" spans="2:5" ht="10.5">
      <c r="B107" s="908" t="s">
        <v>480</v>
      </c>
      <c r="C107" s="909" t="s">
        <v>466</v>
      </c>
      <c r="D107" s="909" t="s">
        <v>487</v>
      </c>
      <c r="E107" s="910">
        <v>3699030</v>
      </c>
    </row>
    <row r="108" spans="2:5" ht="10.5">
      <c r="B108" s="908" t="s">
        <v>480</v>
      </c>
      <c r="C108" s="909" t="s">
        <v>466</v>
      </c>
      <c r="D108" s="909" t="s">
        <v>481</v>
      </c>
      <c r="E108" s="910">
        <v>4670010</v>
      </c>
    </row>
    <row r="109" spans="2:5" ht="10.5">
      <c r="B109" s="908" t="s">
        <v>480</v>
      </c>
      <c r="C109" s="909" t="s">
        <v>466</v>
      </c>
      <c r="D109" s="909" t="s">
        <v>482</v>
      </c>
      <c r="E109" s="910">
        <v>4669058</v>
      </c>
    </row>
    <row r="110" spans="2:5">
      <c r="B110" s="905"/>
      <c r="C110" s="905"/>
      <c r="D110" s="905"/>
      <c r="E110" s="912"/>
    </row>
    <row r="111" spans="2:5">
      <c r="B111" s="911" t="s">
        <v>488</v>
      </c>
      <c r="C111" s="909" t="s">
        <v>489</v>
      </c>
      <c r="D111" s="909" t="s">
        <v>490</v>
      </c>
      <c r="E111" s="910">
        <v>15062873</v>
      </c>
    </row>
    <row r="112" spans="2:5">
      <c r="B112" s="911" t="s">
        <v>488</v>
      </c>
      <c r="C112" s="909" t="s">
        <v>489</v>
      </c>
      <c r="D112" s="909" t="s">
        <v>490</v>
      </c>
      <c r="E112" s="910">
        <v>15062874</v>
      </c>
    </row>
    <row r="113" spans="2:5">
      <c r="B113" s="911" t="s">
        <v>488</v>
      </c>
      <c r="C113" s="909" t="s">
        <v>489</v>
      </c>
      <c r="D113" s="909" t="s">
        <v>490</v>
      </c>
      <c r="E113" s="910">
        <v>14082463</v>
      </c>
    </row>
    <row r="114" spans="2:5">
      <c r="B114" s="911" t="s">
        <v>488</v>
      </c>
      <c r="C114" s="909" t="s">
        <v>489</v>
      </c>
      <c r="D114" s="909" t="s">
        <v>490</v>
      </c>
      <c r="E114" s="910">
        <v>15062872</v>
      </c>
    </row>
    <row r="115" spans="2:5">
      <c r="B115" s="911" t="s">
        <v>488</v>
      </c>
      <c r="C115" s="909" t="s">
        <v>489</v>
      </c>
      <c r="D115" s="909" t="s">
        <v>490</v>
      </c>
      <c r="E115" s="910">
        <v>15062875</v>
      </c>
    </row>
    <row r="116" spans="2:5">
      <c r="B116" s="911" t="s">
        <v>488</v>
      </c>
      <c r="C116" s="909" t="s">
        <v>491</v>
      </c>
      <c r="D116" s="909" t="s">
        <v>492</v>
      </c>
      <c r="E116" s="910">
        <v>34903046</v>
      </c>
    </row>
    <row r="117" spans="2:5">
      <c r="B117" s="911" t="s">
        <v>488</v>
      </c>
      <c r="C117" s="909" t="s">
        <v>491</v>
      </c>
      <c r="D117" s="909" t="s">
        <v>493</v>
      </c>
      <c r="E117" s="910">
        <v>34903053</v>
      </c>
    </row>
    <row r="118" spans="2:5">
      <c r="B118" s="911" t="s">
        <v>488</v>
      </c>
      <c r="C118" s="909" t="s">
        <v>491</v>
      </c>
      <c r="D118" s="909" t="s">
        <v>494</v>
      </c>
      <c r="E118" s="910">
        <v>34903051</v>
      </c>
    </row>
    <row r="119" spans="2:5">
      <c r="B119" s="911" t="s">
        <v>488</v>
      </c>
      <c r="C119" s="909" t="s">
        <v>491</v>
      </c>
      <c r="D119" s="909" t="s">
        <v>495</v>
      </c>
      <c r="E119" s="910">
        <v>34904091</v>
      </c>
    </row>
    <row r="120" spans="2:5">
      <c r="B120" s="911" t="s">
        <v>488</v>
      </c>
      <c r="C120" s="909" t="s">
        <v>496</v>
      </c>
      <c r="D120" s="909" t="s">
        <v>497</v>
      </c>
      <c r="E120" s="910" t="s">
        <v>498</v>
      </c>
    </row>
    <row r="121" spans="2:5">
      <c r="B121" s="911" t="s">
        <v>488</v>
      </c>
      <c r="C121" s="909" t="s">
        <v>496</v>
      </c>
      <c r="D121" s="909" t="s">
        <v>497</v>
      </c>
      <c r="E121" s="910" t="s">
        <v>499</v>
      </c>
    </row>
    <row r="122" spans="2:5">
      <c r="B122" s="911" t="s">
        <v>488</v>
      </c>
      <c r="C122" s="909" t="s">
        <v>500</v>
      </c>
      <c r="D122" s="909" t="s">
        <v>501</v>
      </c>
      <c r="E122" s="910" t="s">
        <v>502</v>
      </c>
    </row>
    <row r="123" spans="2:5">
      <c r="B123" s="911" t="s">
        <v>488</v>
      </c>
      <c r="C123" s="909" t="s">
        <v>500</v>
      </c>
      <c r="D123" s="909" t="s">
        <v>503</v>
      </c>
      <c r="E123" s="910" t="s">
        <v>504</v>
      </c>
    </row>
    <row r="124" spans="2:5">
      <c r="B124" s="911" t="s">
        <v>488</v>
      </c>
      <c r="C124" s="909" t="s">
        <v>500</v>
      </c>
      <c r="D124" s="909" t="s">
        <v>505</v>
      </c>
      <c r="E124" s="910" t="s">
        <v>506</v>
      </c>
    </row>
    <row r="125" spans="2:5">
      <c r="B125" s="911" t="s">
        <v>488</v>
      </c>
      <c r="C125" s="909" t="s">
        <v>500</v>
      </c>
      <c r="D125" s="909" t="s">
        <v>507</v>
      </c>
      <c r="E125" s="910" t="s">
        <v>508</v>
      </c>
    </row>
    <row r="126" spans="2:5">
      <c r="B126" s="911" t="s">
        <v>488</v>
      </c>
      <c r="C126" s="909" t="s">
        <v>500</v>
      </c>
      <c r="D126" s="909" t="s">
        <v>509</v>
      </c>
      <c r="E126" s="910" t="s">
        <v>510</v>
      </c>
    </row>
    <row r="127" spans="2:5">
      <c r="B127" s="911" t="s">
        <v>488</v>
      </c>
      <c r="C127" s="909" t="s">
        <v>500</v>
      </c>
      <c r="D127" s="909" t="s">
        <v>511</v>
      </c>
      <c r="E127" s="910" t="s">
        <v>512</v>
      </c>
    </row>
    <row r="128" spans="2:5">
      <c r="B128" s="911" t="s">
        <v>488</v>
      </c>
      <c r="C128" s="909" t="s">
        <v>500</v>
      </c>
      <c r="D128" s="909" t="s">
        <v>513</v>
      </c>
      <c r="E128" s="910" t="s">
        <v>514</v>
      </c>
    </row>
  </sheetData>
  <mergeCells count="18">
    <mergeCell ref="L36:M36"/>
    <mergeCell ref="L35:M35"/>
    <mergeCell ref="B35:B36"/>
    <mergeCell ref="H15:H16"/>
    <mergeCell ref="G15:G16"/>
    <mergeCell ref="V17:V18"/>
    <mergeCell ref="V19:V20"/>
    <mergeCell ref="B31:B32"/>
    <mergeCell ref="V15:V16"/>
    <mergeCell ref="X27:X28"/>
    <mergeCell ref="AG30:AH30"/>
    <mergeCell ref="AG31:AH31"/>
    <mergeCell ref="A31:A34"/>
    <mergeCell ref="B33:B34"/>
    <mergeCell ref="L31:M31"/>
    <mergeCell ref="L32:M32"/>
    <mergeCell ref="L33:M33"/>
    <mergeCell ref="L34:M34"/>
  </mergeCells>
  <phoneticPr fontId="50" type="noConversion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AO225"/>
  <sheetViews>
    <sheetView view="pageBreakPreview" topLeftCell="H52" zoomScale="75" zoomScaleNormal="100" zoomScaleSheetLayoutView="75" zoomScalePageLayoutView="86" workbookViewId="0">
      <selection activeCell="W51" sqref="W51"/>
    </sheetView>
  </sheetViews>
  <sheetFormatPr defaultRowHeight="12.5"/>
  <cols>
    <col min="1" max="1" width="22" customWidth="1"/>
    <col min="3" max="3" width="17" customWidth="1"/>
    <col min="4" max="4" width="7.54296875" customWidth="1"/>
    <col min="6" max="6" width="9.08984375" customWidth="1"/>
    <col min="8" max="8" width="11.08984375" customWidth="1"/>
    <col min="9" max="9" width="11.453125" customWidth="1"/>
    <col min="10" max="10" width="11.08984375" customWidth="1"/>
    <col min="11" max="11" width="12.453125" customWidth="1"/>
    <col min="12" max="12" width="6.453125" customWidth="1"/>
    <col min="13" max="13" width="15.08984375" customWidth="1"/>
    <col min="14" max="14" width="9" customWidth="1"/>
    <col min="15" max="15" width="18.6328125" customWidth="1"/>
    <col min="16" max="16" width="8.6328125" customWidth="1"/>
    <col min="17" max="17" width="14.54296875" customWidth="1"/>
    <col min="18" max="18" width="12.54296875" customWidth="1"/>
    <col min="19" max="20" width="10.6328125" customWidth="1"/>
    <col min="21" max="21" width="12.90625" customWidth="1"/>
    <col min="22" max="22" width="11.36328125" customWidth="1"/>
    <col min="23" max="23" width="13.453125" customWidth="1"/>
    <col min="24" max="24" width="11.08984375" customWidth="1"/>
    <col min="30" max="30" width="10.54296875" customWidth="1"/>
  </cols>
  <sheetData>
    <row r="1" spans="1:23" ht="13" thickBot="1">
      <c r="W1" s="176" t="s">
        <v>517</v>
      </c>
    </row>
    <row r="2" spans="1:23" ht="13">
      <c r="A2" s="1586" t="s">
        <v>32</v>
      </c>
      <c r="B2" s="1587"/>
      <c r="C2" s="1587"/>
      <c r="D2" s="1587"/>
      <c r="E2" s="1587"/>
      <c r="F2" s="1587"/>
      <c r="G2" s="1587"/>
      <c r="H2" s="1587"/>
      <c r="I2" s="1587"/>
      <c r="J2" s="1587"/>
      <c r="K2" s="1587"/>
      <c r="L2" s="1587"/>
      <c r="M2" s="1587"/>
      <c r="N2" s="1587"/>
      <c r="O2" s="1587"/>
      <c r="P2" s="1587"/>
      <c r="Q2" s="1587"/>
      <c r="R2" s="1587"/>
      <c r="S2" s="1587"/>
      <c r="T2" s="1587"/>
      <c r="U2" s="1587"/>
      <c r="V2" s="1587"/>
      <c r="W2" s="1588"/>
    </row>
    <row r="3" spans="1:23" ht="13.5" thickBot="1">
      <c r="A3" s="1589"/>
      <c r="B3" s="1584"/>
      <c r="C3" s="1584"/>
      <c r="D3" s="1584"/>
      <c r="E3" s="1584"/>
      <c r="F3" s="1584"/>
      <c r="G3" s="1584"/>
      <c r="H3" s="1584"/>
      <c r="I3" s="1584"/>
      <c r="J3" s="1584"/>
      <c r="K3" s="1584"/>
      <c r="M3" s="1584"/>
      <c r="N3" s="1584"/>
      <c r="O3" s="1584"/>
      <c r="P3" s="1584"/>
      <c r="Q3" s="1584"/>
      <c r="R3" s="1584"/>
      <c r="S3" s="1584"/>
      <c r="T3" s="1584"/>
      <c r="U3" s="1584"/>
      <c r="V3" s="1584"/>
      <c r="W3" s="1590"/>
    </row>
    <row r="4" spans="1:23" ht="13">
      <c r="A4" s="597" t="s">
        <v>135</v>
      </c>
      <c r="B4" s="598"/>
      <c r="C4" s="599">
        <f>ID!K35/60</f>
        <v>0.4777777777777778</v>
      </c>
      <c r="D4" s="600" t="s">
        <v>138</v>
      </c>
      <c r="E4" s="601"/>
      <c r="F4" s="601"/>
      <c r="G4" s="601"/>
      <c r="H4" s="601"/>
      <c r="I4" s="601"/>
      <c r="J4" s="601"/>
      <c r="K4" s="602"/>
      <c r="M4" s="604" t="s">
        <v>186</v>
      </c>
      <c r="N4" s="598"/>
      <c r="O4" s="599">
        <f>ID!K71/60</f>
        <v>0.5</v>
      </c>
      <c r="P4" s="600" t="s">
        <v>138</v>
      </c>
      <c r="Q4" s="605" t="s">
        <v>342</v>
      </c>
      <c r="R4" s="601"/>
      <c r="S4" s="601"/>
      <c r="T4" s="601"/>
      <c r="U4" s="601"/>
      <c r="V4" s="601"/>
      <c r="W4" s="602"/>
    </row>
    <row r="5" spans="1:23" ht="14">
      <c r="A5" s="135" t="s">
        <v>33</v>
      </c>
      <c r="B5" s="136" t="s">
        <v>34</v>
      </c>
      <c r="C5" s="137" t="s">
        <v>35</v>
      </c>
      <c r="D5" s="136" t="s">
        <v>36</v>
      </c>
      <c r="E5" s="138" t="s">
        <v>37</v>
      </c>
      <c r="F5" s="136" t="s">
        <v>38</v>
      </c>
      <c r="G5" s="137" t="s">
        <v>39</v>
      </c>
      <c r="H5" s="136" t="s">
        <v>40</v>
      </c>
      <c r="I5" s="137" t="s">
        <v>41</v>
      </c>
      <c r="J5" s="136" t="s">
        <v>42</v>
      </c>
      <c r="K5" s="139" t="s">
        <v>43</v>
      </c>
      <c r="M5" s="135" t="s">
        <v>33</v>
      </c>
      <c r="N5" s="136" t="s">
        <v>34</v>
      </c>
      <c r="O5" s="137" t="s">
        <v>35</v>
      </c>
      <c r="P5" s="136" t="s">
        <v>36</v>
      </c>
      <c r="Q5" s="138" t="s">
        <v>37</v>
      </c>
      <c r="R5" s="136" t="s">
        <v>38</v>
      </c>
      <c r="S5" s="137" t="s">
        <v>39</v>
      </c>
      <c r="T5" s="136" t="s">
        <v>40</v>
      </c>
      <c r="U5" s="137" t="s">
        <v>41</v>
      </c>
      <c r="V5" s="136" t="s">
        <v>42</v>
      </c>
      <c r="W5" s="139" t="s">
        <v>43</v>
      </c>
    </row>
    <row r="6" spans="1:23" ht="13">
      <c r="A6" s="140" t="s">
        <v>44</v>
      </c>
      <c r="B6" s="213" t="s">
        <v>137</v>
      </c>
      <c r="C6" s="223" t="s">
        <v>45</v>
      </c>
      <c r="D6" s="358">
        <f>'DB ECG SIM'!T271</f>
        <v>1.0327955589886446</v>
      </c>
      <c r="E6" s="224">
        <f>SQRT(6)</f>
        <v>2.4494897427831779</v>
      </c>
      <c r="F6" s="141">
        <v>5</v>
      </c>
      <c r="G6" s="225">
        <f>D6/E6</f>
        <v>0.42163702135578401</v>
      </c>
      <c r="H6" s="142">
        <v>1</v>
      </c>
      <c r="I6" s="225">
        <f>G6*H6</f>
        <v>0.42163702135578401</v>
      </c>
      <c r="J6" s="143">
        <f>I6^2</f>
        <v>0.17777777777777787</v>
      </c>
      <c r="K6" s="144">
        <f>I6^4/F6</f>
        <v>6.3209876543209951E-3</v>
      </c>
      <c r="M6" s="140" t="s">
        <v>44</v>
      </c>
      <c r="N6" s="213" t="str">
        <f>Q4</f>
        <v>BrPM</v>
      </c>
      <c r="O6" s="223" t="s">
        <v>45</v>
      </c>
      <c r="P6" s="362">
        <f>'DB ECG SIM'!T281</f>
        <v>0</v>
      </c>
      <c r="Q6" s="224">
        <f>SQRT(6)</f>
        <v>2.4494897427831779</v>
      </c>
      <c r="R6" s="141">
        <v>5</v>
      </c>
      <c r="S6" s="225">
        <f>P6/Q6</f>
        <v>0</v>
      </c>
      <c r="T6" s="142">
        <v>1</v>
      </c>
      <c r="U6" s="225">
        <f>S6*T6</f>
        <v>0</v>
      </c>
      <c r="V6" s="143">
        <f>U6^2</f>
        <v>0</v>
      </c>
      <c r="W6" s="144">
        <f>U6^4/R6</f>
        <v>0</v>
      </c>
    </row>
    <row r="7" spans="1:23" ht="13">
      <c r="A7" s="145" t="s">
        <v>46</v>
      </c>
      <c r="B7" s="213" t="s">
        <v>137</v>
      </c>
      <c r="C7" s="146" t="s">
        <v>47</v>
      </c>
      <c r="D7" s="359">
        <f>0.5*1</f>
        <v>0.5</v>
      </c>
      <c r="E7" s="147">
        <f>SQRT(3)</f>
        <v>1.7320508075688772</v>
      </c>
      <c r="F7" s="141">
        <v>50</v>
      </c>
      <c r="G7" s="148">
        <f>D7/E7</f>
        <v>0.28867513459481292</v>
      </c>
      <c r="H7" s="141">
        <v>1</v>
      </c>
      <c r="I7" s="148">
        <f>G7*H7</f>
        <v>0.28867513459481292</v>
      </c>
      <c r="J7" s="149">
        <f>I7^2</f>
        <v>8.3333333333333356E-2</v>
      </c>
      <c r="K7" s="150">
        <f>I7^4/F7</f>
        <v>1.3888888888888897E-4</v>
      </c>
      <c r="M7" s="145" t="s">
        <v>46</v>
      </c>
      <c r="N7" s="213" t="str">
        <f>N6</f>
        <v>BrPM</v>
      </c>
      <c r="O7" s="146" t="s">
        <v>47</v>
      </c>
      <c r="P7" s="363">
        <f>0.5*1</f>
        <v>0.5</v>
      </c>
      <c r="Q7" s="147">
        <f>SQRT(3)</f>
        <v>1.7320508075688772</v>
      </c>
      <c r="R7" s="141">
        <v>50</v>
      </c>
      <c r="S7" s="148">
        <f>P7/Q7</f>
        <v>0.28867513459481292</v>
      </c>
      <c r="T7" s="141">
        <v>1</v>
      </c>
      <c r="U7" s="148">
        <f>S7*T7</f>
        <v>0.28867513459481292</v>
      </c>
      <c r="V7" s="149">
        <f>U7^2</f>
        <v>8.3333333333333356E-2</v>
      </c>
      <c r="W7" s="150">
        <f>U7^4/R7</f>
        <v>1.3888888888888897E-4</v>
      </c>
    </row>
    <row r="8" spans="1:23" ht="13">
      <c r="A8" s="140" t="s">
        <v>108</v>
      </c>
      <c r="B8" s="213" t="s">
        <v>137</v>
      </c>
      <c r="C8" s="141" t="s">
        <v>47</v>
      </c>
      <c r="D8" s="360">
        <f>'DB ECG SIM'!W241</f>
        <v>9.9999999999999995E-7</v>
      </c>
      <c r="E8" s="151">
        <f>SQRT(3)</f>
        <v>1.7320508075688772</v>
      </c>
      <c r="F8" s="141">
        <v>50</v>
      </c>
      <c r="G8" s="152">
        <f>D8/E8</f>
        <v>5.7735026918962578E-7</v>
      </c>
      <c r="H8" s="141">
        <v>1</v>
      </c>
      <c r="I8" s="152">
        <f>G8*H8</f>
        <v>5.7735026918962578E-7</v>
      </c>
      <c r="J8" s="149">
        <f>I8^2</f>
        <v>3.3333333333333334E-13</v>
      </c>
      <c r="K8" s="153">
        <f>I8^4/F8</f>
        <v>2.2222222222222221E-27</v>
      </c>
      <c r="M8" s="140" t="s">
        <v>108</v>
      </c>
      <c r="N8" s="213" t="str">
        <f>N7</f>
        <v>BrPM</v>
      </c>
      <c r="O8" s="141" t="s">
        <v>47</v>
      </c>
      <c r="P8" s="364">
        <f>'DB ECG SIM'!W257</f>
        <v>9.9999999999999995E-7</v>
      </c>
      <c r="Q8" s="151">
        <f>SQRT(3)</f>
        <v>1.7320508075688772</v>
      </c>
      <c r="R8" s="141">
        <v>50</v>
      </c>
      <c r="S8" s="152">
        <f>P8/Q8</f>
        <v>5.7735026918962578E-7</v>
      </c>
      <c r="T8" s="141">
        <v>1</v>
      </c>
      <c r="U8" s="152">
        <f>S8*T8</f>
        <v>5.7735026918962578E-7</v>
      </c>
      <c r="V8" s="149">
        <f>U8^2</f>
        <v>3.3333333333333334E-13</v>
      </c>
      <c r="W8" s="153">
        <f>U8^4/R8</f>
        <v>2.2222222222222221E-27</v>
      </c>
    </row>
    <row r="9" spans="1:23" ht="13">
      <c r="A9" s="154" t="s">
        <v>109</v>
      </c>
      <c r="B9" s="213" t="s">
        <v>137</v>
      </c>
      <c r="C9" s="146" t="s">
        <v>45</v>
      </c>
      <c r="D9" s="361">
        <f>'DB ECG SIM'!Y241</f>
        <v>0.15766667303727641</v>
      </c>
      <c r="E9" s="155">
        <v>2</v>
      </c>
      <c r="F9" s="141">
        <v>50</v>
      </c>
      <c r="G9" s="148">
        <f>D9/E9</f>
        <v>7.8833336518638206E-2</v>
      </c>
      <c r="H9" s="141">
        <v>1</v>
      </c>
      <c r="I9" s="148">
        <f>G9*H9</f>
        <v>7.8833336518638206E-2</v>
      </c>
      <c r="J9" s="149">
        <f>I9^2</f>
        <v>6.2146949466608562E-3</v>
      </c>
      <c r="K9" s="153">
        <f>I9^4/F9</f>
        <v>7.7244866560103969E-7</v>
      </c>
      <c r="M9" s="154" t="s">
        <v>109</v>
      </c>
      <c r="N9" s="213" t="str">
        <f>N8</f>
        <v>BrPM</v>
      </c>
      <c r="O9" s="146" t="s">
        <v>45</v>
      </c>
      <c r="P9" s="365">
        <f>'DB ECG SIM'!Y257</f>
        <v>3.5999999999999997E-2</v>
      </c>
      <c r="Q9" s="155">
        <v>2</v>
      </c>
      <c r="R9" s="141">
        <v>50</v>
      </c>
      <c r="S9" s="148">
        <f>P9/Q9</f>
        <v>1.7999999999999999E-2</v>
      </c>
      <c r="T9" s="141">
        <v>1</v>
      </c>
      <c r="U9" s="148">
        <f>S9*T9</f>
        <v>1.7999999999999999E-2</v>
      </c>
      <c r="V9" s="149">
        <f>U9^2</f>
        <v>3.2399999999999996E-4</v>
      </c>
      <c r="W9" s="153">
        <f>U9^4/R9</f>
        <v>2.0995199999999994E-9</v>
      </c>
    </row>
    <row r="10" spans="1:23" ht="13">
      <c r="A10" s="154"/>
      <c r="B10" s="141"/>
      <c r="C10" s="141"/>
      <c r="D10" s="141"/>
      <c r="E10" s="151"/>
      <c r="F10" s="141"/>
      <c r="G10" s="152"/>
      <c r="H10" s="141"/>
      <c r="I10" s="152"/>
      <c r="J10" s="149"/>
      <c r="K10" s="153"/>
      <c r="M10" s="154"/>
      <c r="N10" s="141"/>
      <c r="O10" s="141"/>
      <c r="P10" s="141"/>
      <c r="Q10" s="151"/>
      <c r="R10" s="141"/>
      <c r="S10" s="152"/>
      <c r="T10" s="141"/>
      <c r="U10" s="152"/>
      <c r="V10" s="149"/>
      <c r="W10" s="153"/>
    </row>
    <row r="11" spans="1:23" ht="15.75" customHeight="1">
      <c r="A11" s="10" t="s">
        <v>48</v>
      </c>
      <c r="B11" s="226"/>
      <c r="C11" s="226"/>
      <c r="D11" s="226"/>
      <c r="E11" s="227"/>
      <c r="F11" s="226"/>
      <c r="G11" s="226"/>
      <c r="H11" s="226"/>
      <c r="I11" s="226"/>
      <c r="J11" s="156">
        <f>SUM(J6:J9)</f>
        <v>0.26732580605810546</v>
      </c>
      <c r="K11" s="157">
        <f>SUM(K6:K9)</f>
        <v>6.4606489918754848E-3</v>
      </c>
      <c r="M11" s="10" t="s">
        <v>48</v>
      </c>
      <c r="N11" s="226"/>
      <c r="O11" s="226"/>
      <c r="P11" s="226"/>
      <c r="Q11" s="227"/>
      <c r="R11" s="226"/>
      <c r="S11" s="226"/>
      <c r="T11" s="226"/>
      <c r="U11" s="226"/>
      <c r="V11" s="156">
        <f>SUM(V6:V9)</f>
        <v>8.3657333333666692E-2</v>
      </c>
      <c r="W11" s="157">
        <f>SUM(W6:W9)</f>
        <v>1.3889098840888896E-4</v>
      </c>
    </row>
    <row r="12" spans="1:23" ht="17">
      <c r="A12" s="158" t="s">
        <v>49</v>
      </c>
      <c r="B12" s="159"/>
      <c r="C12" s="159"/>
      <c r="D12" s="159"/>
      <c r="E12" s="160"/>
      <c r="F12" s="159"/>
      <c r="G12" s="161" t="s">
        <v>50</v>
      </c>
      <c r="H12" s="159"/>
      <c r="I12" s="159"/>
      <c r="J12" s="162">
        <f>SQRT(J11)</f>
        <v>0.51703559457556247</v>
      </c>
      <c r="K12" s="163"/>
      <c r="M12" s="158" t="s">
        <v>49</v>
      </c>
      <c r="N12" s="159"/>
      <c r="O12" s="159"/>
      <c r="P12" s="159"/>
      <c r="Q12" s="160"/>
      <c r="R12" s="159"/>
      <c r="S12" s="161" t="s">
        <v>50</v>
      </c>
      <c r="T12" s="159"/>
      <c r="U12" s="159"/>
      <c r="V12" s="162">
        <f>SQRT(V11)</f>
        <v>0.2892357746435712</v>
      </c>
      <c r="W12" s="163"/>
    </row>
    <row r="13" spans="1:23" ht="17.5">
      <c r="A13" s="10" t="s">
        <v>51</v>
      </c>
      <c r="B13" s="11"/>
      <c r="C13" s="11"/>
      <c r="D13" s="11"/>
      <c r="E13" s="12"/>
      <c r="F13" s="11"/>
      <c r="G13" s="228" t="s">
        <v>52</v>
      </c>
      <c r="H13" s="11"/>
      <c r="I13" s="11"/>
      <c r="J13" s="164">
        <f>J12^4/(K11)</f>
        <v>11.061286052606071</v>
      </c>
      <c r="K13" s="165"/>
      <c r="M13" s="10" t="s">
        <v>51</v>
      </c>
      <c r="N13" s="11"/>
      <c r="O13" s="11"/>
      <c r="P13" s="11"/>
      <c r="Q13" s="12"/>
      <c r="R13" s="11"/>
      <c r="S13" s="228" t="s">
        <v>52</v>
      </c>
      <c r="T13" s="11"/>
      <c r="U13" s="11"/>
      <c r="V13" s="164">
        <f>V12^4/(W11)</f>
        <v>50.388794123178108</v>
      </c>
      <c r="W13" s="165"/>
    </row>
    <row r="14" spans="1:23" ht="15.5">
      <c r="A14" s="158" t="s">
        <v>110</v>
      </c>
      <c r="B14" s="159"/>
      <c r="C14" s="159"/>
      <c r="D14" s="159"/>
      <c r="E14" s="160"/>
      <c r="F14" s="159"/>
      <c r="G14" s="166" t="s">
        <v>53</v>
      </c>
      <c r="H14" s="159"/>
      <c r="I14" s="159"/>
      <c r="J14" s="167">
        <f>1.95996+(2.37356/J13)+(2.818745/J13^2)+(2.546662/J13^3)+(1.761829/J13^4)+(0.245458/J13^5)+(1.000764/J13^6)</f>
        <v>2.1995820677684716</v>
      </c>
      <c r="K14" s="357">
        <f>TINV(0.05,J13)</f>
        <v>2.2009851600916384</v>
      </c>
      <c r="M14" s="158" t="s">
        <v>110</v>
      </c>
      <c r="N14" s="159"/>
      <c r="O14" s="159"/>
      <c r="P14" s="159"/>
      <c r="Q14" s="160"/>
      <c r="R14" s="159"/>
      <c r="S14" s="166" t="s">
        <v>53</v>
      </c>
      <c r="T14" s="159"/>
      <c r="U14" s="159"/>
      <c r="V14" s="167">
        <f>1.95996+(2.37356/V13)+(2.818745/V13^2)+(2.546662/V13^3)+(1.761829/V13^4)+(0.245458/V13^5)+(1.000764/V13^6)</f>
        <v>2.0081952629737452</v>
      </c>
      <c r="W14" s="357">
        <f>TINV(0.05,V13)</f>
        <v>2.0085591121007611</v>
      </c>
    </row>
    <row r="15" spans="1:23" ht="14">
      <c r="A15" s="168" t="s">
        <v>54</v>
      </c>
      <c r="B15" s="169"/>
      <c r="C15" s="169"/>
      <c r="D15" s="169"/>
      <c r="E15" s="170"/>
      <c r="F15" s="169"/>
      <c r="G15" s="171" t="s">
        <v>55</v>
      </c>
      <c r="H15" s="169"/>
      <c r="I15" s="169"/>
      <c r="J15" s="371">
        <f>J12*J14</f>
        <v>1.1372622222264168</v>
      </c>
      <c r="K15" s="172" t="s">
        <v>137</v>
      </c>
      <c r="M15" s="168" t="s">
        <v>54</v>
      </c>
      <c r="N15" s="169"/>
      <c r="O15" s="169"/>
      <c r="P15" s="169"/>
      <c r="Q15" s="170"/>
      <c r="R15" s="169"/>
      <c r="S15" s="171" t="s">
        <v>55</v>
      </c>
      <c r="T15" s="169"/>
      <c r="U15" s="169"/>
      <c r="V15" s="371">
        <f>V12*V14</f>
        <v>0.58084191252176132</v>
      </c>
      <c r="W15" s="172" t="str">
        <f>Q4</f>
        <v>BrPM</v>
      </c>
    </row>
    <row r="16" spans="1:23" ht="13">
      <c r="A16" s="214" t="s">
        <v>135</v>
      </c>
      <c r="B16" s="215"/>
      <c r="C16" s="216">
        <f>ID!K36/60</f>
        <v>0.99722222222222223</v>
      </c>
      <c r="D16" s="217" t="s">
        <v>138</v>
      </c>
      <c r="E16" s="221"/>
      <c r="F16" s="221"/>
      <c r="G16" s="221"/>
      <c r="H16" s="221"/>
      <c r="I16" s="221"/>
      <c r="J16" s="221"/>
      <c r="K16" s="222"/>
      <c r="M16" s="131" t="s">
        <v>186</v>
      </c>
      <c r="N16" s="215"/>
      <c r="O16" s="216">
        <f>ID!K72/60</f>
        <v>0.68333333333333335</v>
      </c>
      <c r="P16" s="217" t="s">
        <v>138</v>
      </c>
      <c r="Q16" s="367" t="s">
        <v>342</v>
      </c>
      <c r="R16" s="221"/>
      <c r="S16" s="221"/>
      <c r="T16" s="221"/>
      <c r="U16" s="221"/>
      <c r="V16" s="221"/>
      <c r="W16" s="222"/>
    </row>
    <row r="17" spans="1:23" ht="14">
      <c r="A17" s="135" t="s">
        <v>33</v>
      </c>
      <c r="B17" s="136" t="s">
        <v>34</v>
      </c>
      <c r="C17" s="137" t="s">
        <v>35</v>
      </c>
      <c r="D17" s="136" t="s">
        <v>36</v>
      </c>
      <c r="E17" s="138" t="s">
        <v>37</v>
      </c>
      <c r="F17" s="136" t="s">
        <v>38</v>
      </c>
      <c r="G17" s="137" t="s">
        <v>39</v>
      </c>
      <c r="H17" s="136" t="s">
        <v>40</v>
      </c>
      <c r="I17" s="137" t="s">
        <v>41</v>
      </c>
      <c r="J17" s="136" t="s">
        <v>42</v>
      </c>
      <c r="K17" s="139" t="s">
        <v>43</v>
      </c>
      <c r="M17" s="135" t="s">
        <v>33</v>
      </c>
      <c r="N17" s="136" t="s">
        <v>34</v>
      </c>
      <c r="O17" s="137" t="s">
        <v>35</v>
      </c>
      <c r="P17" s="136" t="s">
        <v>36</v>
      </c>
      <c r="Q17" s="138" t="s">
        <v>37</v>
      </c>
      <c r="R17" s="136" t="s">
        <v>38</v>
      </c>
      <c r="S17" s="137" t="s">
        <v>39</v>
      </c>
      <c r="T17" s="136" t="s">
        <v>40</v>
      </c>
      <c r="U17" s="137" t="s">
        <v>41</v>
      </c>
      <c r="V17" s="136" t="s">
        <v>42</v>
      </c>
      <c r="W17" s="139" t="s">
        <v>43</v>
      </c>
    </row>
    <row r="18" spans="1:23" ht="13">
      <c r="A18" s="140" t="s">
        <v>44</v>
      </c>
      <c r="B18" s="213" t="s">
        <v>137</v>
      </c>
      <c r="C18" s="223" t="s">
        <v>45</v>
      </c>
      <c r="D18" s="362">
        <f>'DB ECG SIM'!T272</f>
        <v>0.40824829046386302</v>
      </c>
      <c r="E18" s="224">
        <f>SQRT(6)</f>
        <v>2.4494897427831779</v>
      </c>
      <c r="F18" s="141">
        <v>5</v>
      </c>
      <c r="G18" s="225">
        <f>D18/E18</f>
        <v>0.16666666666666669</v>
      </c>
      <c r="H18" s="142">
        <v>1</v>
      </c>
      <c r="I18" s="225">
        <f>G18*H18</f>
        <v>0.16666666666666669</v>
      </c>
      <c r="J18" s="143">
        <f>I18^2</f>
        <v>2.7777777777777783E-2</v>
      </c>
      <c r="K18" s="144">
        <f>I18^4/F18</f>
        <v>1.5432098765432104E-4</v>
      </c>
      <c r="M18" s="140" t="s">
        <v>44</v>
      </c>
      <c r="N18" s="213" t="str">
        <f>Q16</f>
        <v>BrPM</v>
      </c>
      <c r="O18" s="223" t="s">
        <v>45</v>
      </c>
      <c r="P18" s="362">
        <f>'DB ECG SIM'!T282</f>
        <v>1.0954451150103321</v>
      </c>
      <c r="Q18" s="224">
        <f>SQRT(6)</f>
        <v>2.4494897427831779</v>
      </c>
      <c r="R18" s="141">
        <v>5</v>
      </c>
      <c r="S18" s="225">
        <f>P18/Q18</f>
        <v>0.44721359549995793</v>
      </c>
      <c r="T18" s="142">
        <v>1</v>
      </c>
      <c r="U18" s="225">
        <f>S18*T18</f>
        <v>0.44721359549995793</v>
      </c>
      <c r="V18" s="143">
        <f>U18^2</f>
        <v>0.19999999999999998</v>
      </c>
      <c r="W18" s="144">
        <f>U18^4/R18</f>
        <v>7.9999999999999984E-3</v>
      </c>
    </row>
    <row r="19" spans="1:23" ht="13">
      <c r="A19" s="145" t="s">
        <v>46</v>
      </c>
      <c r="B19" s="213" t="s">
        <v>137</v>
      </c>
      <c r="C19" s="146" t="s">
        <v>47</v>
      </c>
      <c r="D19" s="363">
        <f>0.5*1</f>
        <v>0.5</v>
      </c>
      <c r="E19" s="147">
        <f>SQRT(3)</f>
        <v>1.7320508075688772</v>
      </c>
      <c r="F19" s="141">
        <v>50</v>
      </c>
      <c r="G19" s="148">
        <f>D19/E19</f>
        <v>0.28867513459481292</v>
      </c>
      <c r="H19" s="141">
        <v>1</v>
      </c>
      <c r="I19" s="148">
        <f>G19*H19</f>
        <v>0.28867513459481292</v>
      </c>
      <c r="J19" s="149">
        <f>I19^2</f>
        <v>8.3333333333333356E-2</v>
      </c>
      <c r="K19" s="150">
        <f>I19^4/F19</f>
        <v>1.3888888888888897E-4</v>
      </c>
      <c r="M19" s="145" t="s">
        <v>46</v>
      </c>
      <c r="N19" s="213" t="str">
        <f>N18</f>
        <v>BrPM</v>
      </c>
      <c r="O19" s="146" t="s">
        <v>47</v>
      </c>
      <c r="P19" s="363">
        <f>0.5*1</f>
        <v>0.5</v>
      </c>
      <c r="Q19" s="147">
        <f>SQRT(3)</f>
        <v>1.7320508075688772</v>
      </c>
      <c r="R19" s="141">
        <v>50</v>
      </c>
      <c r="S19" s="148">
        <f>P19/Q19</f>
        <v>0.28867513459481292</v>
      </c>
      <c r="T19" s="141">
        <v>1</v>
      </c>
      <c r="U19" s="148">
        <f>S19*T19</f>
        <v>0.28867513459481292</v>
      </c>
      <c r="V19" s="149">
        <f>U19^2</f>
        <v>8.3333333333333356E-2</v>
      </c>
      <c r="W19" s="150">
        <f>U19^4/R19</f>
        <v>1.3888888888888897E-4</v>
      </c>
    </row>
    <row r="20" spans="1:23" ht="13">
      <c r="A20" s="140" t="s">
        <v>108</v>
      </c>
      <c r="B20" s="213" t="s">
        <v>137</v>
      </c>
      <c r="C20" s="141" t="s">
        <v>47</v>
      </c>
      <c r="D20" s="364">
        <f>'DB ECG SIM'!W244</f>
        <v>9.9999999999999995E-7</v>
      </c>
      <c r="E20" s="151">
        <f>SQRT(3)</f>
        <v>1.7320508075688772</v>
      </c>
      <c r="F20" s="141">
        <v>50</v>
      </c>
      <c r="G20" s="152">
        <f>D20/E20</f>
        <v>5.7735026918962578E-7</v>
      </c>
      <c r="H20" s="141">
        <v>1</v>
      </c>
      <c r="I20" s="152">
        <f>G20*H20</f>
        <v>5.7735026918962578E-7</v>
      </c>
      <c r="J20" s="149">
        <f>I20^2</f>
        <v>3.3333333333333334E-13</v>
      </c>
      <c r="K20" s="153">
        <f>I20^4/F20</f>
        <v>2.2222222222222221E-27</v>
      </c>
      <c r="M20" s="140" t="s">
        <v>108</v>
      </c>
      <c r="N20" s="213" t="str">
        <f>N19</f>
        <v>BrPM</v>
      </c>
      <c r="O20" s="141" t="s">
        <v>47</v>
      </c>
      <c r="P20" s="364">
        <f>'DB ECG SIM'!W260</f>
        <v>9.9999999999999995E-7</v>
      </c>
      <c r="Q20" s="151">
        <f>SQRT(3)</f>
        <v>1.7320508075688772</v>
      </c>
      <c r="R20" s="141">
        <v>50</v>
      </c>
      <c r="S20" s="152">
        <f>P20/Q20</f>
        <v>5.7735026918962578E-7</v>
      </c>
      <c r="T20" s="141">
        <v>1</v>
      </c>
      <c r="U20" s="152">
        <f>S20*T20</f>
        <v>5.7735026918962578E-7</v>
      </c>
      <c r="V20" s="149">
        <f>U20^2</f>
        <v>3.3333333333333334E-13</v>
      </c>
      <c r="W20" s="153">
        <f>U20^4/R20</f>
        <v>2.2222222222222221E-27</v>
      </c>
    </row>
    <row r="21" spans="1:23" ht="13">
      <c r="A21" s="154" t="s">
        <v>109</v>
      </c>
      <c r="B21" s="213" t="s">
        <v>137</v>
      </c>
      <c r="C21" s="146" t="s">
        <v>45</v>
      </c>
      <c r="D21" s="365">
        <f>'DB ECG SIM'!Y244</f>
        <v>0.32908333333333334</v>
      </c>
      <c r="E21" s="155">
        <v>2</v>
      </c>
      <c r="F21" s="141">
        <v>50</v>
      </c>
      <c r="G21" s="148">
        <f>D21/E21</f>
        <v>0.16454166666666667</v>
      </c>
      <c r="H21" s="141">
        <v>1</v>
      </c>
      <c r="I21" s="148">
        <f>G21*H21</f>
        <v>0.16454166666666667</v>
      </c>
      <c r="J21" s="149">
        <f>I21^2</f>
        <v>2.7073960069444444E-2</v>
      </c>
      <c r="K21" s="153">
        <f>I21^4/F21</f>
        <v>1.4659986276837444E-5</v>
      </c>
      <c r="M21" s="154" t="s">
        <v>109</v>
      </c>
      <c r="N21" s="213" t="str">
        <f>N20</f>
        <v>BrPM</v>
      </c>
      <c r="O21" s="146" t="s">
        <v>45</v>
      </c>
      <c r="P21" s="365">
        <f>'DB ECG SIM'!Y260</f>
        <v>4.9199999999999994E-2</v>
      </c>
      <c r="Q21" s="155">
        <v>2</v>
      </c>
      <c r="R21" s="141">
        <v>50</v>
      </c>
      <c r="S21" s="148">
        <f>P21/Q21</f>
        <v>2.4599999999999997E-2</v>
      </c>
      <c r="T21" s="141">
        <v>1</v>
      </c>
      <c r="U21" s="148">
        <f>S21*T21</f>
        <v>2.4599999999999997E-2</v>
      </c>
      <c r="V21" s="149">
        <f>U21^2</f>
        <v>6.0515999999999988E-4</v>
      </c>
      <c r="W21" s="153">
        <f>U21^4/R21</f>
        <v>7.3243725119999972E-9</v>
      </c>
    </row>
    <row r="22" spans="1:23" ht="13">
      <c r="A22" s="154"/>
      <c r="B22" s="141"/>
      <c r="C22" s="141"/>
      <c r="D22" s="141"/>
      <c r="E22" s="151"/>
      <c r="F22" s="141"/>
      <c r="G22" s="152"/>
      <c r="H22" s="141"/>
      <c r="I22" s="152"/>
      <c r="J22" s="149"/>
      <c r="K22" s="153"/>
      <c r="M22" s="154"/>
      <c r="N22" s="141"/>
      <c r="O22" s="141"/>
      <c r="P22" s="141"/>
      <c r="Q22" s="151"/>
      <c r="R22" s="141"/>
      <c r="S22" s="152"/>
      <c r="T22" s="141"/>
      <c r="U22" s="152"/>
      <c r="V22" s="149"/>
      <c r="W22" s="153"/>
    </row>
    <row r="23" spans="1:23" ht="14">
      <c r="A23" s="10" t="s">
        <v>48</v>
      </c>
      <c r="B23" s="226"/>
      <c r="C23" s="226"/>
      <c r="D23" s="226"/>
      <c r="E23" s="227"/>
      <c r="F23" s="226"/>
      <c r="G23" s="226"/>
      <c r="H23" s="226"/>
      <c r="I23" s="226"/>
      <c r="J23" s="156">
        <f>SUM(J18:J21)</f>
        <v>0.13818507118088891</v>
      </c>
      <c r="K23" s="157">
        <f>SUM(K18:K21)</f>
        <v>3.078698628200474E-4</v>
      </c>
      <c r="M23" s="10" t="s">
        <v>48</v>
      </c>
      <c r="N23" s="226"/>
      <c r="O23" s="226"/>
      <c r="P23" s="226"/>
      <c r="Q23" s="227"/>
      <c r="R23" s="226"/>
      <c r="S23" s="226"/>
      <c r="T23" s="226"/>
      <c r="U23" s="226"/>
      <c r="V23" s="156">
        <f>SUM(V18:V21)</f>
        <v>0.28393849333366666</v>
      </c>
      <c r="W23" s="157">
        <f>SUM(W18:W21)</f>
        <v>8.1388962132613995E-3</v>
      </c>
    </row>
    <row r="24" spans="1:23" ht="17">
      <c r="A24" s="158" t="s">
        <v>49</v>
      </c>
      <c r="B24" s="159"/>
      <c r="C24" s="159"/>
      <c r="D24" s="159"/>
      <c r="E24" s="160"/>
      <c r="F24" s="159"/>
      <c r="G24" s="161" t="s">
        <v>50</v>
      </c>
      <c r="H24" s="159"/>
      <c r="I24" s="159"/>
      <c r="J24" s="162">
        <f>SQRT(J23)</f>
        <v>0.37173252639618304</v>
      </c>
      <c r="K24" s="163"/>
      <c r="M24" s="158" t="s">
        <v>49</v>
      </c>
      <c r="N24" s="159"/>
      <c r="O24" s="159"/>
      <c r="P24" s="159"/>
      <c r="Q24" s="160"/>
      <c r="R24" s="159"/>
      <c r="S24" s="161" t="s">
        <v>50</v>
      </c>
      <c r="T24" s="159"/>
      <c r="U24" s="159"/>
      <c r="V24" s="162">
        <f>SQRT(V23)</f>
        <v>0.53285879305278117</v>
      </c>
      <c r="W24" s="163"/>
    </row>
    <row r="25" spans="1:23" ht="17.5">
      <c r="A25" s="10" t="s">
        <v>51</v>
      </c>
      <c r="B25" s="11"/>
      <c r="C25" s="11"/>
      <c r="D25" s="11"/>
      <c r="E25" s="12"/>
      <c r="F25" s="11"/>
      <c r="G25" s="228" t="s">
        <v>52</v>
      </c>
      <c r="H25" s="11"/>
      <c r="I25" s="11"/>
      <c r="J25" s="164">
        <f>J24^4/(K23)</f>
        <v>62.023329345583242</v>
      </c>
      <c r="K25" s="165"/>
      <c r="M25" s="10" t="s">
        <v>51</v>
      </c>
      <c r="N25" s="11"/>
      <c r="O25" s="11"/>
      <c r="P25" s="11"/>
      <c r="Q25" s="12"/>
      <c r="R25" s="11"/>
      <c r="S25" s="228" t="s">
        <v>52</v>
      </c>
      <c r="T25" s="11"/>
      <c r="U25" s="11"/>
      <c r="V25" s="164">
        <f>V24^4/(W23)</f>
        <v>9.9056513173407801</v>
      </c>
      <c r="W25" s="165"/>
    </row>
    <row r="26" spans="1:23" ht="15.5">
      <c r="A26" s="158" t="s">
        <v>110</v>
      </c>
      <c r="B26" s="159"/>
      <c r="C26" s="159"/>
      <c r="D26" s="159"/>
      <c r="E26" s="160"/>
      <c r="F26" s="159"/>
      <c r="G26" s="166" t="s">
        <v>53</v>
      </c>
      <c r="H26" s="159"/>
      <c r="I26" s="159"/>
      <c r="J26" s="167">
        <f>1.95996+(2.37356/J25)+(2.818745/J25^2)+(2.546662/J25^3)+(1.761829/J25^4)+(0.245458/J25^5)+(1.000764/J25^6)</f>
        <v>1.9989723516518161</v>
      </c>
      <c r="K26" s="357">
        <f>TINV(0.05,J25)</f>
        <v>1.9989715170333793</v>
      </c>
      <c r="M26" s="158" t="s">
        <v>110</v>
      </c>
      <c r="N26" s="159"/>
      <c r="O26" s="159"/>
      <c r="P26" s="159"/>
      <c r="Q26" s="160"/>
      <c r="R26" s="159"/>
      <c r="S26" s="166" t="s">
        <v>53</v>
      </c>
      <c r="T26" s="159"/>
      <c r="U26" s="159"/>
      <c r="V26" s="167">
        <f>1.95996+(2.37356/V25)+(2.818745/V25^2)+(2.546662/V25^3)+(1.761829/V25^4)+(0.245458/V25^5)+(1.000764/V25^6)</f>
        <v>2.2311104665180319</v>
      </c>
      <c r="W26" s="366">
        <f>TINV(0.05,V25)</f>
        <v>2.2621571627982053</v>
      </c>
    </row>
    <row r="27" spans="1:23" ht="14">
      <c r="A27" s="168" t="s">
        <v>54</v>
      </c>
      <c r="B27" s="169"/>
      <c r="C27" s="169"/>
      <c r="D27" s="169"/>
      <c r="E27" s="170"/>
      <c r="F27" s="169"/>
      <c r="G27" s="171" t="s">
        <v>55</v>
      </c>
      <c r="H27" s="169"/>
      <c r="I27" s="169"/>
      <c r="J27" s="371">
        <f>J24*J26</f>
        <v>0.74308304247564883</v>
      </c>
      <c r="K27" s="172" t="s">
        <v>137</v>
      </c>
      <c r="M27" s="168" t="s">
        <v>54</v>
      </c>
      <c r="N27" s="169"/>
      <c r="O27" s="169"/>
      <c r="P27" s="169"/>
      <c r="Q27" s="170"/>
      <c r="R27" s="169"/>
      <c r="S27" s="171" t="s">
        <v>55</v>
      </c>
      <c r="T27" s="169"/>
      <c r="U27" s="169"/>
      <c r="V27" s="371">
        <f>V24*V26</f>
        <v>1.188866830356226</v>
      </c>
      <c r="W27" s="172" t="str">
        <f>Q16</f>
        <v>BrPM</v>
      </c>
    </row>
    <row r="28" spans="1:23" ht="13">
      <c r="A28" s="214" t="s">
        <v>135</v>
      </c>
      <c r="B28" s="215"/>
      <c r="C28" s="216">
        <f>ID!K37/60</f>
        <v>1.9972222222222222</v>
      </c>
      <c r="D28" s="217" t="s">
        <v>138</v>
      </c>
      <c r="E28" s="367" t="s">
        <v>137</v>
      </c>
      <c r="F28" s="221"/>
      <c r="G28" s="221"/>
      <c r="H28" s="221"/>
      <c r="I28" s="221"/>
      <c r="J28" s="221"/>
      <c r="K28" s="222"/>
      <c r="M28" s="131" t="s">
        <v>186</v>
      </c>
      <c r="N28" s="132"/>
      <c r="O28" s="133">
        <f>ID!K73/60</f>
        <v>1</v>
      </c>
      <c r="P28" s="134" t="s">
        <v>138</v>
      </c>
      <c r="Q28" s="367" t="s">
        <v>342</v>
      </c>
      <c r="R28" s="221"/>
      <c r="S28" s="221"/>
      <c r="T28" s="221"/>
      <c r="U28" s="221"/>
      <c r="V28" s="221"/>
      <c r="W28" s="222"/>
    </row>
    <row r="29" spans="1:23" ht="14">
      <c r="A29" s="135" t="s">
        <v>33</v>
      </c>
      <c r="B29" s="136" t="s">
        <v>34</v>
      </c>
      <c r="C29" s="137" t="s">
        <v>35</v>
      </c>
      <c r="D29" s="136" t="s">
        <v>36</v>
      </c>
      <c r="E29" s="138" t="s">
        <v>37</v>
      </c>
      <c r="F29" s="136" t="s">
        <v>38</v>
      </c>
      <c r="G29" s="137" t="s">
        <v>39</v>
      </c>
      <c r="H29" s="136" t="s">
        <v>40</v>
      </c>
      <c r="I29" s="137" t="s">
        <v>41</v>
      </c>
      <c r="J29" s="136" t="s">
        <v>42</v>
      </c>
      <c r="K29" s="139" t="s">
        <v>43</v>
      </c>
      <c r="M29" s="135" t="s">
        <v>33</v>
      </c>
      <c r="N29" s="136" t="s">
        <v>34</v>
      </c>
      <c r="O29" s="137" t="s">
        <v>35</v>
      </c>
      <c r="P29" s="136" t="s">
        <v>36</v>
      </c>
      <c r="Q29" s="138" t="s">
        <v>37</v>
      </c>
      <c r="R29" s="136" t="s">
        <v>38</v>
      </c>
      <c r="S29" s="137" t="s">
        <v>39</v>
      </c>
      <c r="T29" s="136" t="s">
        <v>40</v>
      </c>
      <c r="U29" s="137" t="s">
        <v>41</v>
      </c>
      <c r="V29" s="136" t="s">
        <v>42</v>
      </c>
      <c r="W29" s="139" t="s">
        <v>43</v>
      </c>
    </row>
    <row r="30" spans="1:23" ht="13">
      <c r="A30" s="145" t="s">
        <v>44</v>
      </c>
      <c r="B30" s="370" t="str">
        <f>E28</f>
        <v>bpm</v>
      </c>
      <c r="C30" s="223" t="s">
        <v>45</v>
      </c>
      <c r="D30" s="362">
        <f>'DB ECG SIM'!T273</f>
        <v>0.40824829046386302</v>
      </c>
      <c r="E30" s="224">
        <f>SQRT(6)</f>
        <v>2.4494897427831779</v>
      </c>
      <c r="F30" s="141">
        <v>5</v>
      </c>
      <c r="G30" s="225">
        <f>D30/E30</f>
        <v>0.16666666666666669</v>
      </c>
      <c r="H30" s="142">
        <v>1</v>
      </c>
      <c r="I30" s="225">
        <f>G30*H30</f>
        <v>0.16666666666666669</v>
      </c>
      <c r="J30" s="143">
        <f>I30^2</f>
        <v>2.7777777777777783E-2</v>
      </c>
      <c r="K30" s="144">
        <f>I30^4/F30</f>
        <v>1.5432098765432104E-4</v>
      </c>
      <c r="M30" s="140" t="s">
        <v>44</v>
      </c>
      <c r="N30" s="213" t="str">
        <f>Q28</f>
        <v>BrPM</v>
      </c>
      <c r="O30" s="223" t="s">
        <v>45</v>
      </c>
      <c r="P30" s="362">
        <f>'DB ECG SIM'!T283</f>
        <v>0</v>
      </c>
      <c r="Q30" s="224">
        <f>SQRT(6)</f>
        <v>2.4494897427831779</v>
      </c>
      <c r="R30" s="141">
        <v>5</v>
      </c>
      <c r="S30" s="225">
        <f>P30/Q30</f>
        <v>0</v>
      </c>
      <c r="T30" s="142">
        <v>1</v>
      </c>
      <c r="U30" s="225">
        <f>S30*T30</f>
        <v>0</v>
      </c>
      <c r="V30" s="143">
        <f>U30^2</f>
        <v>0</v>
      </c>
      <c r="W30" s="144">
        <f>U30^4/R30</f>
        <v>0</v>
      </c>
    </row>
    <row r="31" spans="1:23" ht="13">
      <c r="A31" s="145" t="s">
        <v>46</v>
      </c>
      <c r="B31" s="370" t="str">
        <f>B30</f>
        <v>bpm</v>
      </c>
      <c r="C31" s="146" t="s">
        <v>47</v>
      </c>
      <c r="D31" s="363">
        <f>0.5*1</f>
        <v>0.5</v>
      </c>
      <c r="E31" s="147">
        <f>SQRT(3)</f>
        <v>1.7320508075688772</v>
      </c>
      <c r="F31" s="141">
        <v>50</v>
      </c>
      <c r="G31" s="148">
        <f>D31/E31</f>
        <v>0.28867513459481292</v>
      </c>
      <c r="H31" s="141">
        <v>1</v>
      </c>
      <c r="I31" s="148">
        <f>G31*H31</f>
        <v>0.28867513459481292</v>
      </c>
      <c r="J31" s="149">
        <f>I31^2</f>
        <v>8.3333333333333356E-2</v>
      </c>
      <c r="K31" s="150">
        <f>I31^4/F31</f>
        <v>1.3888888888888897E-4</v>
      </c>
      <c r="M31" s="145" t="s">
        <v>46</v>
      </c>
      <c r="N31" s="213" t="str">
        <f>N30</f>
        <v>BrPM</v>
      </c>
      <c r="O31" s="146" t="s">
        <v>47</v>
      </c>
      <c r="P31" s="363">
        <f>0.5*1</f>
        <v>0.5</v>
      </c>
      <c r="Q31" s="147">
        <f>SQRT(3)</f>
        <v>1.7320508075688772</v>
      </c>
      <c r="R31" s="141">
        <v>50</v>
      </c>
      <c r="S31" s="148">
        <f>P31/Q31</f>
        <v>0.28867513459481292</v>
      </c>
      <c r="T31" s="141">
        <v>1</v>
      </c>
      <c r="U31" s="148">
        <f>S31*T31</f>
        <v>0.28867513459481292</v>
      </c>
      <c r="V31" s="149">
        <f>U31^2</f>
        <v>8.3333333333333356E-2</v>
      </c>
      <c r="W31" s="150">
        <f>U31^4/R31</f>
        <v>1.3888888888888897E-4</v>
      </c>
    </row>
    <row r="32" spans="1:23" ht="13">
      <c r="A32" s="145" t="s">
        <v>108</v>
      </c>
      <c r="B32" s="370" t="str">
        <f>B31</f>
        <v>bpm</v>
      </c>
      <c r="C32" s="369" t="s">
        <v>47</v>
      </c>
      <c r="D32" s="364">
        <f>'DB ECG SIM'!W248</f>
        <v>9.9999999999999995E-7</v>
      </c>
      <c r="E32" s="151">
        <f>SQRT(3)</f>
        <v>1.7320508075688772</v>
      </c>
      <c r="F32" s="141">
        <v>50</v>
      </c>
      <c r="G32" s="152">
        <f>D32/E32</f>
        <v>5.7735026918962578E-7</v>
      </c>
      <c r="H32" s="141">
        <v>1</v>
      </c>
      <c r="I32" s="152">
        <f>G32*H32</f>
        <v>5.7735026918962578E-7</v>
      </c>
      <c r="J32" s="149">
        <f>I32^2</f>
        <v>3.3333333333333334E-13</v>
      </c>
      <c r="K32" s="153">
        <f>I32^4/F32</f>
        <v>2.2222222222222221E-27</v>
      </c>
      <c r="M32" s="140" t="s">
        <v>108</v>
      </c>
      <c r="N32" s="213" t="str">
        <f>N31</f>
        <v>BrPM</v>
      </c>
      <c r="O32" s="141" t="s">
        <v>47</v>
      </c>
      <c r="P32" s="364">
        <f>'DB ECG SIM'!W263</f>
        <v>9.9999999999999995E-7</v>
      </c>
      <c r="Q32" s="151">
        <f>SQRT(3)</f>
        <v>1.7320508075688772</v>
      </c>
      <c r="R32" s="141">
        <v>50</v>
      </c>
      <c r="S32" s="152">
        <f>P32/Q32</f>
        <v>5.7735026918962578E-7</v>
      </c>
      <c r="T32" s="141">
        <v>1</v>
      </c>
      <c r="U32" s="152">
        <f>S32*T32</f>
        <v>5.7735026918962578E-7</v>
      </c>
      <c r="V32" s="149">
        <f>U32^2</f>
        <v>3.3333333333333334E-13</v>
      </c>
      <c r="W32" s="153">
        <f>U32^4/R32</f>
        <v>2.2222222222222221E-27</v>
      </c>
    </row>
    <row r="33" spans="1:23" ht="13">
      <c r="A33" s="368" t="s">
        <v>109</v>
      </c>
      <c r="B33" s="370" t="str">
        <f>B32</f>
        <v>bpm</v>
      </c>
      <c r="C33" s="146" t="s">
        <v>45</v>
      </c>
      <c r="D33" s="365">
        <f>'DB ECG SIM'!Y248</f>
        <v>0.65908333333333324</v>
      </c>
      <c r="E33" s="155">
        <v>2</v>
      </c>
      <c r="F33" s="141">
        <v>50</v>
      </c>
      <c r="G33" s="148">
        <f>D33/E33</f>
        <v>0.32954166666666662</v>
      </c>
      <c r="H33" s="141">
        <v>1</v>
      </c>
      <c r="I33" s="148">
        <f>G33*H33</f>
        <v>0.32954166666666662</v>
      </c>
      <c r="J33" s="149">
        <f>I33^2</f>
        <v>0.10859771006944441</v>
      </c>
      <c r="K33" s="153">
        <f>I33^4/F33</f>
        <v>2.3586925264654213E-4</v>
      </c>
      <c r="M33" s="154" t="s">
        <v>109</v>
      </c>
      <c r="N33" s="213" t="str">
        <f>N32</f>
        <v>BrPM</v>
      </c>
      <c r="O33" s="146" t="s">
        <v>45</v>
      </c>
      <c r="P33" s="365">
        <f>'DB ECG SIM'!Y263</f>
        <v>7.1999999999999995E-2</v>
      </c>
      <c r="Q33" s="155">
        <v>2</v>
      </c>
      <c r="R33" s="141">
        <v>50</v>
      </c>
      <c r="S33" s="148">
        <f>P33/Q33</f>
        <v>3.5999999999999997E-2</v>
      </c>
      <c r="T33" s="141">
        <v>1</v>
      </c>
      <c r="U33" s="148">
        <f>S33*T33</f>
        <v>3.5999999999999997E-2</v>
      </c>
      <c r="V33" s="149">
        <f>U33^2</f>
        <v>1.2959999999999998E-3</v>
      </c>
      <c r="W33" s="153">
        <f>U33^4/R33</f>
        <v>3.359231999999999E-8</v>
      </c>
    </row>
    <row r="34" spans="1:23" ht="13">
      <c r="A34" s="368"/>
      <c r="B34" s="141"/>
      <c r="C34" s="369"/>
      <c r="D34" s="141"/>
      <c r="E34" s="151"/>
      <c r="F34" s="141"/>
      <c r="G34" s="152"/>
      <c r="H34" s="141"/>
      <c r="I34" s="152"/>
      <c r="J34" s="149"/>
      <c r="K34" s="153"/>
      <c r="M34" s="154"/>
      <c r="N34" s="141"/>
      <c r="O34" s="141"/>
      <c r="P34" s="141"/>
      <c r="Q34" s="151"/>
      <c r="R34" s="141"/>
      <c r="S34" s="152"/>
      <c r="T34" s="141"/>
      <c r="U34" s="152"/>
      <c r="V34" s="149"/>
      <c r="W34" s="153"/>
    </row>
    <row r="35" spans="1:23" ht="14">
      <c r="A35" s="10" t="s">
        <v>48</v>
      </c>
      <c r="B35" s="226"/>
      <c r="C35" s="226"/>
      <c r="D35" s="226"/>
      <c r="E35" s="227"/>
      <c r="F35" s="226"/>
      <c r="G35" s="226"/>
      <c r="H35" s="226"/>
      <c r="I35" s="226"/>
      <c r="J35" s="156">
        <f>SUM(J30:J33)</f>
        <v>0.21970882118088886</v>
      </c>
      <c r="K35" s="157">
        <f>SUM(K30:K33)</f>
        <v>5.2907912918975211E-4</v>
      </c>
      <c r="M35" s="10" t="s">
        <v>48</v>
      </c>
      <c r="N35" s="226"/>
      <c r="O35" s="226"/>
      <c r="P35" s="226"/>
      <c r="Q35" s="227"/>
      <c r="R35" s="226"/>
      <c r="S35" s="226"/>
      <c r="T35" s="226"/>
      <c r="U35" s="226"/>
      <c r="V35" s="156">
        <f>SUM(V30:V33)</f>
        <v>8.4629333333666693E-2</v>
      </c>
      <c r="W35" s="157">
        <f>SUM(W30:W33)</f>
        <v>1.3892248120888896E-4</v>
      </c>
    </row>
    <row r="36" spans="1:23" ht="17">
      <c r="A36" s="158" t="s">
        <v>49</v>
      </c>
      <c r="B36" s="159"/>
      <c r="C36" s="159"/>
      <c r="D36" s="159"/>
      <c r="E36" s="160"/>
      <c r="F36" s="159"/>
      <c r="G36" s="161" t="s">
        <v>50</v>
      </c>
      <c r="H36" s="159"/>
      <c r="I36" s="159"/>
      <c r="J36" s="162">
        <f>SQRT(J35)</f>
        <v>0.46873107554427074</v>
      </c>
      <c r="K36" s="163"/>
      <c r="M36" s="158" t="s">
        <v>49</v>
      </c>
      <c r="N36" s="159"/>
      <c r="O36" s="159"/>
      <c r="P36" s="159"/>
      <c r="Q36" s="160"/>
      <c r="R36" s="159"/>
      <c r="S36" s="161" t="s">
        <v>50</v>
      </c>
      <c r="T36" s="159"/>
      <c r="U36" s="159"/>
      <c r="V36" s="162">
        <f>SQRT(V35)</f>
        <v>0.29091121211405158</v>
      </c>
      <c r="W36" s="163"/>
    </row>
    <row r="37" spans="1:23" ht="17.5">
      <c r="A37" s="10" t="s">
        <v>51</v>
      </c>
      <c r="B37" s="11"/>
      <c r="C37" s="11"/>
      <c r="D37" s="11"/>
      <c r="E37" s="12"/>
      <c r="F37" s="11"/>
      <c r="G37" s="228" t="s">
        <v>52</v>
      </c>
      <c r="H37" s="11"/>
      <c r="I37" s="11"/>
      <c r="J37" s="164">
        <f>J36^4/(K35)</f>
        <v>91.23770612275132</v>
      </c>
      <c r="K37" s="165"/>
      <c r="M37" s="10" t="s">
        <v>51</v>
      </c>
      <c r="N37" s="11"/>
      <c r="O37" s="11"/>
      <c r="P37" s="11"/>
      <c r="Q37" s="12"/>
      <c r="R37" s="11"/>
      <c r="S37" s="228" t="s">
        <v>52</v>
      </c>
      <c r="T37" s="11"/>
      <c r="U37" s="11"/>
      <c r="V37" s="164">
        <f>V36^4/(W35)</f>
        <v>51.554823943373407</v>
      </c>
      <c r="W37" s="165"/>
    </row>
    <row r="38" spans="1:23" ht="15.5">
      <c r="A38" s="158" t="s">
        <v>110</v>
      </c>
      <c r="B38" s="159"/>
      <c r="C38" s="159"/>
      <c r="D38" s="159"/>
      <c r="E38" s="160"/>
      <c r="F38" s="159"/>
      <c r="G38" s="166" t="s">
        <v>53</v>
      </c>
      <c r="H38" s="159"/>
      <c r="I38" s="159"/>
      <c r="J38" s="167">
        <f>1.95996+(2.37356/J37)+(2.818745/J37^2)+(2.546662/J37^3)+(1.761829/J37^4)+(0.245458/J37^5)+(1.000764/J37^6)</f>
        <v>1.9863171156544204</v>
      </c>
      <c r="K38" s="357">
        <f>TINV(0.05,J37)</f>
        <v>1.9863771544186202</v>
      </c>
      <c r="M38" s="158" t="s">
        <v>110</v>
      </c>
      <c r="N38" s="159"/>
      <c r="O38" s="159"/>
      <c r="P38" s="159"/>
      <c r="Q38" s="160"/>
      <c r="R38" s="159"/>
      <c r="S38" s="166" t="s">
        <v>53</v>
      </c>
      <c r="T38" s="159"/>
      <c r="U38" s="159"/>
      <c r="V38" s="167">
        <f>1.95996+(2.37356/V37)+(2.818745/V37^2)+(2.546662/V37^3)+(1.761829/V37^4)+(0.245458/V37^5)+(1.000764/V37^6)</f>
        <v>2.0070788836744748</v>
      </c>
      <c r="W38" s="366">
        <f>TINV(0.05,V37)</f>
        <v>2.007583770315835</v>
      </c>
    </row>
    <row r="39" spans="1:23" ht="14.5" thickBot="1">
      <c r="A39" s="168" t="s">
        <v>54</v>
      </c>
      <c r="B39" s="169"/>
      <c r="C39" s="169"/>
      <c r="D39" s="169"/>
      <c r="E39" s="170"/>
      <c r="F39" s="169"/>
      <c r="G39" s="171" t="s">
        <v>55</v>
      </c>
      <c r="H39" s="169"/>
      <c r="I39" s="169"/>
      <c r="J39" s="371">
        <f>J36*J38</f>
        <v>0.93104855799269004</v>
      </c>
      <c r="K39" s="172" t="str">
        <f>E28</f>
        <v>bpm</v>
      </c>
      <c r="M39" s="30" t="s">
        <v>54</v>
      </c>
      <c r="N39" s="31"/>
      <c r="O39" s="31"/>
      <c r="P39" s="31"/>
      <c r="Q39" s="32"/>
      <c r="R39" s="31"/>
      <c r="S39" s="33" t="s">
        <v>55</v>
      </c>
      <c r="T39" s="31"/>
      <c r="U39" s="31"/>
      <c r="V39" s="607">
        <f>V36*V38</f>
        <v>0.583881750858259</v>
      </c>
      <c r="W39" s="608" t="str">
        <f>Q28</f>
        <v>BrPM</v>
      </c>
    </row>
    <row r="40" spans="1:23" ht="13.5" thickBot="1">
      <c r="A40" s="214" t="s">
        <v>135</v>
      </c>
      <c r="B40" s="215"/>
      <c r="C40" s="216">
        <f>ID!K38/60</f>
        <v>3.0277777777777777</v>
      </c>
      <c r="D40" s="217" t="s">
        <v>138</v>
      </c>
      <c r="E40" s="221"/>
      <c r="F40" s="221"/>
      <c r="G40" s="221"/>
      <c r="H40" s="221"/>
      <c r="I40" s="221"/>
      <c r="J40" s="221"/>
      <c r="K40" s="222"/>
      <c r="M40" s="606"/>
      <c r="N40" s="219"/>
      <c r="O40" s="219"/>
      <c r="P40" s="219"/>
      <c r="Q40" s="219"/>
      <c r="R40" s="219"/>
      <c r="S40" s="219"/>
      <c r="T40" s="219"/>
      <c r="U40" s="219"/>
      <c r="V40" s="219"/>
      <c r="W40" s="229"/>
    </row>
    <row r="41" spans="1:23" ht="14">
      <c r="A41" s="135" t="s">
        <v>33</v>
      </c>
      <c r="B41" s="136" t="s">
        <v>34</v>
      </c>
      <c r="C41" s="137" t="s">
        <v>35</v>
      </c>
      <c r="D41" s="136" t="s">
        <v>36</v>
      </c>
      <c r="E41" s="138" t="s">
        <v>37</v>
      </c>
      <c r="F41" s="136" t="s">
        <v>38</v>
      </c>
      <c r="G41" s="137" t="s">
        <v>39</v>
      </c>
      <c r="H41" s="136" t="s">
        <v>40</v>
      </c>
      <c r="I41" s="137" t="s">
        <v>41</v>
      </c>
      <c r="J41" s="136" t="s">
        <v>42</v>
      </c>
      <c r="K41" s="139" t="s">
        <v>43</v>
      </c>
      <c r="M41" s="597" t="s">
        <v>165</v>
      </c>
      <c r="N41" s="598"/>
      <c r="O41" s="599">
        <f>ID!D44</f>
        <v>90</v>
      </c>
      <c r="P41" s="600" t="s">
        <v>61</v>
      </c>
      <c r="Q41" s="601"/>
      <c r="R41" s="601"/>
      <c r="S41" s="601"/>
      <c r="T41" s="601"/>
      <c r="U41" s="601"/>
      <c r="V41" s="601"/>
      <c r="W41" s="602"/>
    </row>
    <row r="42" spans="1:23" ht="14">
      <c r="A42" s="140" t="s">
        <v>44</v>
      </c>
      <c r="B42" s="213" t="s">
        <v>137</v>
      </c>
      <c r="C42" s="223" t="s">
        <v>45</v>
      </c>
      <c r="D42" s="362">
        <f>'DB ECG SIM'!T274</f>
        <v>1.9663841605003503</v>
      </c>
      <c r="E42" s="224">
        <f>SQRT(6)</f>
        <v>2.4494897427831779</v>
      </c>
      <c r="F42" s="141">
        <v>5</v>
      </c>
      <c r="G42" s="225">
        <f>D42/E42</f>
        <v>0.80277297191948649</v>
      </c>
      <c r="H42" s="142">
        <v>1</v>
      </c>
      <c r="I42" s="225">
        <f>G42*H42</f>
        <v>0.80277297191948649</v>
      </c>
      <c r="J42" s="143">
        <f>I42^2</f>
        <v>0.6444444444444446</v>
      </c>
      <c r="K42" s="144">
        <f>I42^4/F42</f>
        <v>8.3061728395061762E-2</v>
      </c>
      <c r="M42" s="135" t="s">
        <v>33</v>
      </c>
      <c r="N42" s="136" t="s">
        <v>34</v>
      </c>
      <c r="O42" s="137" t="s">
        <v>35</v>
      </c>
      <c r="P42" s="136" t="s">
        <v>36</v>
      </c>
      <c r="Q42" s="138" t="s">
        <v>37</v>
      </c>
      <c r="R42" s="136" t="s">
        <v>38</v>
      </c>
      <c r="S42" s="137" t="s">
        <v>39</v>
      </c>
      <c r="T42" s="136" t="s">
        <v>40</v>
      </c>
      <c r="U42" s="137" t="s">
        <v>41</v>
      </c>
      <c r="V42" s="136" t="s">
        <v>42</v>
      </c>
      <c r="W42" s="139" t="s">
        <v>43</v>
      </c>
    </row>
    <row r="43" spans="1:23" ht="13">
      <c r="A43" s="145" t="s">
        <v>46</v>
      </c>
      <c r="B43" s="213" t="s">
        <v>137</v>
      </c>
      <c r="C43" s="146" t="s">
        <v>47</v>
      </c>
      <c r="D43" s="363">
        <f>0.5*1</f>
        <v>0.5</v>
      </c>
      <c r="E43" s="147">
        <f>SQRT(3)</f>
        <v>1.7320508075688772</v>
      </c>
      <c r="F43" s="141">
        <v>50</v>
      </c>
      <c r="G43" s="148">
        <f>D43/E43</f>
        <v>0.28867513459481292</v>
      </c>
      <c r="H43" s="141">
        <v>1</v>
      </c>
      <c r="I43" s="148">
        <f>G43*H43</f>
        <v>0.28867513459481292</v>
      </c>
      <c r="J43" s="149">
        <f>I43^2</f>
        <v>8.3333333333333356E-2</v>
      </c>
      <c r="K43" s="150">
        <f>I43^4/F43</f>
        <v>1.3888888888888897E-4</v>
      </c>
      <c r="M43" s="140" t="s">
        <v>44</v>
      </c>
      <c r="N43" s="213" t="s">
        <v>137</v>
      </c>
      <c r="O43" s="223" t="s">
        <v>45</v>
      </c>
      <c r="P43" s="432">
        <f>'DB SPO2'!P94</f>
        <v>0</v>
      </c>
      <c r="Q43" s="224">
        <f>SQRT(3)</f>
        <v>1.7320508075688772</v>
      </c>
      <c r="R43" s="141">
        <v>5</v>
      </c>
      <c r="S43" s="225">
        <f>P43/Q43</f>
        <v>0</v>
      </c>
      <c r="T43" s="142">
        <v>1</v>
      </c>
      <c r="U43" s="225">
        <f>S43*T43</f>
        <v>0</v>
      </c>
      <c r="V43" s="143">
        <f>U43^2</f>
        <v>0</v>
      </c>
      <c r="W43" s="144">
        <f>U43^4/R43</f>
        <v>0</v>
      </c>
    </row>
    <row r="44" spans="1:23" ht="13">
      <c r="A44" s="140" t="s">
        <v>108</v>
      </c>
      <c r="B44" s="213" t="s">
        <v>137</v>
      </c>
      <c r="C44" s="141" t="s">
        <v>47</v>
      </c>
      <c r="D44" s="364">
        <f>'DB ECG SIM'!W251</f>
        <v>9.9999999999999995E-7</v>
      </c>
      <c r="E44" s="151">
        <f>SQRT(3)</f>
        <v>1.7320508075688772</v>
      </c>
      <c r="F44" s="141">
        <v>50</v>
      </c>
      <c r="G44" s="152">
        <f>D44/E44</f>
        <v>5.7735026918962578E-7</v>
      </c>
      <c r="H44" s="141">
        <v>1</v>
      </c>
      <c r="I44" s="152">
        <f>G44*H44</f>
        <v>5.7735026918962578E-7</v>
      </c>
      <c r="J44" s="149">
        <f>I44^2</f>
        <v>3.3333333333333334E-13</v>
      </c>
      <c r="K44" s="153">
        <f>I44^4/F44</f>
        <v>2.2222222222222221E-27</v>
      </c>
      <c r="M44" s="145" t="s">
        <v>46</v>
      </c>
      <c r="N44" s="213" t="s">
        <v>137</v>
      </c>
      <c r="O44" s="146" t="s">
        <v>47</v>
      </c>
      <c r="P44" s="433">
        <f>0.5*1</f>
        <v>0.5</v>
      </c>
      <c r="Q44" s="147">
        <f>SQRT(3)</f>
        <v>1.7320508075688772</v>
      </c>
      <c r="R44" s="141">
        <v>50</v>
      </c>
      <c r="S44" s="148">
        <f>P44/Q44</f>
        <v>0.28867513459481292</v>
      </c>
      <c r="T44" s="141">
        <v>1</v>
      </c>
      <c r="U44" s="148">
        <f>S44*T44</f>
        <v>0.28867513459481292</v>
      </c>
      <c r="V44" s="149">
        <f>U44^2</f>
        <v>8.3333333333333356E-2</v>
      </c>
      <c r="W44" s="150">
        <f>U44^4/R44</f>
        <v>1.3888888888888897E-4</v>
      </c>
    </row>
    <row r="45" spans="1:23" ht="13">
      <c r="A45" s="154" t="s">
        <v>109</v>
      </c>
      <c r="B45" s="213" t="s">
        <v>137</v>
      </c>
      <c r="C45" s="146" t="s">
        <v>45</v>
      </c>
      <c r="D45" s="365">
        <f>'DB ECG SIM'!Y251</f>
        <v>0.99916666666666654</v>
      </c>
      <c r="E45" s="155">
        <v>2</v>
      </c>
      <c r="F45" s="141">
        <v>50</v>
      </c>
      <c r="G45" s="148">
        <f>D45/E45</f>
        <v>0.49958333333333327</v>
      </c>
      <c r="H45" s="141">
        <v>1</v>
      </c>
      <c r="I45" s="148">
        <f>G45*H45</f>
        <v>0.49958333333333327</v>
      </c>
      <c r="J45" s="149">
        <f>I45^2</f>
        <v>0.24958350694444437</v>
      </c>
      <c r="K45" s="153">
        <f>I45^4/F45</f>
        <v>1.2458385387737502E-3</v>
      </c>
      <c r="M45" s="154"/>
      <c r="N45" s="141"/>
      <c r="O45" s="141"/>
      <c r="P45" s="141"/>
      <c r="Q45" s="151"/>
      <c r="R45" s="141"/>
      <c r="S45" s="152"/>
      <c r="T45" s="141"/>
      <c r="U45" s="152"/>
      <c r="V45" s="149"/>
      <c r="W45" s="153"/>
    </row>
    <row r="46" spans="1:23" ht="14">
      <c r="A46" s="154"/>
      <c r="B46" s="141"/>
      <c r="C46" s="141"/>
      <c r="D46" s="141"/>
      <c r="E46" s="151"/>
      <c r="F46" s="141"/>
      <c r="G46" s="152"/>
      <c r="H46" s="141"/>
      <c r="I46" s="152"/>
      <c r="J46" s="149"/>
      <c r="K46" s="153"/>
      <c r="M46" s="10" t="s">
        <v>48</v>
      </c>
      <c r="N46" s="226"/>
      <c r="O46" s="226"/>
      <c r="P46" s="226"/>
      <c r="Q46" s="227"/>
      <c r="R46" s="226"/>
      <c r="S46" s="226"/>
      <c r="T46" s="226"/>
      <c r="U46" s="226"/>
      <c r="V46" s="156">
        <f>SUM(V43:V44)</f>
        <v>8.3333333333333356E-2</v>
      </c>
      <c r="W46" s="157">
        <f>SUM(W43:W44)</f>
        <v>1.3888888888888897E-4</v>
      </c>
    </row>
    <row r="47" spans="1:23" ht="17">
      <c r="A47" s="10" t="s">
        <v>48</v>
      </c>
      <c r="B47" s="226"/>
      <c r="C47" s="226"/>
      <c r="D47" s="226"/>
      <c r="E47" s="227"/>
      <c r="F47" s="226"/>
      <c r="G47" s="226"/>
      <c r="H47" s="226"/>
      <c r="I47" s="226"/>
      <c r="J47" s="156">
        <f>SUM(J42:J45)</f>
        <v>0.97736128472255568</v>
      </c>
      <c r="K47" s="157">
        <f>SUM(K42:K45)</f>
        <v>8.4446455822724392E-2</v>
      </c>
      <c r="M47" s="158" t="s">
        <v>49</v>
      </c>
      <c r="N47" s="159"/>
      <c r="O47" s="159"/>
      <c r="P47" s="159"/>
      <c r="Q47" s="160"/>
      <c r="R47" s="159"/>
      <c r="S47" s="161" t="s">
        <v>50</v>
      </c>
      <c r="T47" s="159"/>
      <c r="U47" s="159"/>
      <c r="V47" s="162">
        <f>SQRT(V46)</f>
        <v>0.28867513459481292</v>
      </c>
      <c r="W47" s="163"/>
    </row>
    <row r="48" spans="1:23" ht="17.5">
      <c r="A48" s="158" t="s">
        <v>49</v>
      </c>
      <c r="B48" s="159"/>
      <c r="C48" s="159"/>
      <c r="D48" s="159"/>
      <c r="E48" s="160"/>
      <c r="F48" s="159"/>
      <c r="G48" s="161" t="s">
        <v>50</v>
      </c>
      <c r="H48" s="159"/>
      <c r="I48" s="159"/>
      <c r="J48" s="162">
        <f>SQRT(J47)</f>
        <v>0.9886158428442039</v>
      </c>
      <c r="K48" s="163"/>
      <c r="M48" s="10" t="s">
        <v>51</v>
      </c>
      <c r="N48" s="11"/>
      <c r="O48" s="11"/>
      <c r="P48" s="11"/>
      <c r="Q48" s="12"/>
      <c r="R48" s="11"/>
      <c r="S48" s="228" t="s">
        <v>52</v>
      </c>
      <c r="T48" s="11"/>
      <c r="U48" s="11"/>
      <c r="V48" s="164">
        <f>V47^4/(W46)</f>
        <v>50</v>
      </c>
      <c r="W48" s="165"/>
    </row>
    <row r="49" spans="1:23" ht="17.5">
      <c r="A49" s="10" t="s">
        <v>51</v>
      </c>
      <c r="B49" s="11"/>
      <c r="C49" s="11"/>
      <c r="D49" s="11"/>
      <c r="E49" s="12"/>
      <c r="F49" s="11"/>
      <c r="G49" s="228" t="s">
        <v>52</v>
      </c>
      <c r="H49" s="11"/>
      <c r="I49" s="11"/>
      <c r="J49" s="164">
        <f>J48^4/(K47)</f>
        <v>11.311724945328878</v>
      </c>
      <c r="K49" s="165"/>
      <c r="M49" s="158" t="s">
        <v>110</v>
      </c>
      <c r="N49" s="159"/>
      <c r="O49" s="159"/>
      <c r="P49" s="159"/>
      <c r="Q49" s="160"/>
      <c r="R49" s="159"/>
      <c r="S49" s="166" t="s">
        <v>53</v>
      </c>
      <c r="T49" s="159"/>
      <c r="U49" s="159"/>
      <c r="V49" s="167">
        <f>1.95996+(2.37356/V48)+(2.818745/V48^2)+(2.546662/V48^3)+(1.761829/V48^4)+(0.245458/V48^5)+(1.000764/V48^6)</f>
        <v>2.008579354038154</v>
      </c>
      <c r="W49" s="163"/>
    </row>
    <row r="50" spans="1:23" ht="15.5">
      <c r="A50" s="158" t="s">
        <v>110</v>
      </c>
      <c r="B50" s="159"/>
      <c r="C50" s="159"/>
      <c r="D50" s="159"/>
      <c r="E50" s="160"/>
      <c r="F50" s="159"/>
      <c r="G50" s="166" t="s">
        <v>53</v>
      </c>
      <c r="H50" s="159"/>
      <c r="I50" s="159"/>
      <c r="J50" s="167">
        <f>1.95996+(2.37356/J49)+(2.818745/J49^2)+(2.546662/J49^3)+(1.761829/J49^4)+(0.245458/J49^5)+(1.000764/J49^6)</f>
        <v>2.1936898977706494</v>
      </c>
      <c r="K50" s="357">
        <f>TINV(0.05,J49)</f>
        <v>2.2009851600916384</v>
      </c>
      <c r="M50" s="168" t="s">
        <v>54</v>
      </c>
      <c r="N50" s="169"/>
      <c r="O50" s="169"/>
      <c r="P50" s="169"/>
      <c r="Q50" s="170"/>
      <c r="R50" s="169"/>
      <c r="S50" s="171" t="s">
        <v>55</v>
      </c>
      <c r="T50" s="169"/>
      <c r="U50" s="169"/>
      <c r="V50" s="436">
        <f>V47*V49</f>
        <v>0.57982691537132647</v>
      </c>
      <c r="W50" s="172" t="s">
        <v>199</v>
      </c>
    </row>
    <row r="51" spans="1:23" ht="15.5">
      <c r="A51" s="168" t="s">
        <v>54</v>
      </c>
      <c r="B51" s="169"/>
      <c r="C51" s="169"/>
      <c r="D51" s="169"/>
      <c r="E51" s="170"/>
      <c r="F51" s="169"/>
      <c r="G51" s="171" t="s">
        <v>55</v>
      </c>
      <c r="H51" s="169"/>
      <c r="I51" s="169"/>
      <c r="J51" s="371">
        <f>J48*J50</f>
        <v>2.1687165872233458</v>
      </c>
      <c r="K51" s="172" t="s">
        <v>137</v>
      </c>
      <c r="M51" s="609" t="s">
        <v>110</v>
      </c>
      <c r="N51" s="533"/>
      <c r="O51" s="533"/>
      <c r="P51" s="533"/>
      <c r="Q51" s="534"/>
      <c r="R51" s="533"/>
      <c r="S51" s="537" t="s">
        <v>53</v>
      </c>
      <c r="T51" s="533"/>
      <c r="U51" s="533"/>
      <c r="V51" s="538"/>
      <c r="W51" s="610"/>
    </row>
    <row r="52" spans="1:23" ht="13">
      <c r="A52" s="131" t="s">
        <v>186</v>
      </c>
      <c r="B52" s="132"/>
      <c r="C52" s="218">
        <f>ID!K70/60</f>
        <v>0.32222222222222219</v>
      </c>
      <c r="D52" s="134" t="s">
        <v>138</v>
      </c>
      <c r="E52" s="367" t="s">
        <v>342</v>
      </c>
      <c r="F52" s="221"/>
      <c r="G52" s="221"/>
      <c r="H52" s="221"/>
      <c r="I52" s="221"/>
      <c r="J52" s="221"/>
      <c r="K52" s="222"/>
      <c r="M52" s="214" t="s">
        <v>165</v>
      </c>
      <c r="N52" s="215"/>
      <c r="O52" s="216">
        <f>ID!D45</f>
        <v>95</v>
      </c>
      <c r="P52" s="217" t="s">
        <v>61</v>
      </c>
      <c r="Q52" s="221"/>
      <c r="R52" s="221"/>
      <c r="S52" s="221"/>
      <c r="T52" s="221"/>
      <c r="U52" s="221"/>
      <c r="V52" s="221"/>
      <c r="W52" s="222"/>
    </row>
    <row r="53" spans="1:23" ht="14">
      <c r="A53" s="135" t="s">
        <v>33</v>
      </c>
      <c r="B53" s="136" t="s">
        <v>34</v>
      </c>
      <c r="C53" s="137" t="s">
        <v>35</v>
      </c>
      <c r="D53" s="136" t="s">
        <v>36</v>
      </c>
      <c r="E53" s="138" t="s">
        <v>37</v>
      </c>
      <c r="F53" s="136" t="s">
        <v>38</v>
      </c>
      <c r="G53" s="137" t="s">
        <v>39</v>
      </c>
      <c r="H53" s="136" t="s">
        <v>40</v>
      </c>
      <c r="I53" s="137" t="s">
        <v>41</v>
      </c>
      <c r="J53" s="136" t="s">
        <v>42</v>
      </c>
      <c r="K53" s="139" t="s">
        <v>43</v>
      </c>
      <c r="M53" s="135" t="s">
        <v>33</v>
      </c>
      <c r="N53" s="136" t="s">
        <v>34</v>
      </c>
      <c r="O53" s="137" t="s">
        <v>35</v>
      </c>
      <c r="P53" s="136" t="s">
        <v>36</v>
      </c>
      <c r="Q53" s="138" t="s">
        <v>37</v>
      </c>
      <c r="R53" s="136" t="s">
        <v>38</v>
      </c>
      <c r="S53" s="137" t="s">
        <v>39</v>
      </c>
      <c r="T53" s="136" t="s">
        <v>40</v>
      </c>
      <c r="U53" s="137" t="s">
        <v>41</v>
      </c>
      <c r="V53" s="136" t="s">
        <v>42</v>
      </c>
      <c r="W53" s="139" t="s">
        <v>43</v>
      </c>
    </row>
    <row r="54" spans="1:23" ht="13">
      <c r="A54" s="140" t="s">
        <v>44</v>
      </c>
      <c r="B54" s="213" t="str">
        <f>E52</f>
        <v>BrPM</v>
      </c>
      <c r="C54" s="223" t="s">
        <v>45</v>
      </c>
      <c r="D54" s="358">
        <f>'DB ECG SIM'!T280</f>
        <v>0.5163977794943222</v>
      </c>
      <c r="E54" s="224">
        <f>SQRT(6)</f>
        <v>2.4494897427831779</v>
      </c>
      <c r="F54" s="141">
        <v>5</v>
      </c>
      <c r="G54" s="225">
        <f>D54/E54</f>
        <v>0.21081851067789195</v>
      </c>
      <c r="H54" s="142">
        <v>1</v>
      </c>
      <c r="I54" s="225">
        <f>G54*H54</f>
        <v>0.21081851067789195</v>
      </c>
      <c r="J54" s="143">
        <f>I54^2</f>
        <v>4.4444444444444446E-2</v>
      </c>
      <c r="K54" s="144">
        <f>I54^4/F54</f>
        <v>3.9506172839506176E-4</v>
      </c>
      <c r="M54" s="140" t="s">
        <v>44</v>
      </c>
      <c r="N54" s="213" t="s">
        <v>137</v>
      </c>
      <c r="O54" s="223" t="s">
        <v>45</v>
      </c>
      <c r="P54" s="432">
        <f>'DB SPO2'!P95</f>
        <v>0</v>
      </c>
      <c r="Q54" s="224">
        <f>SQRT(3)</f>
        <v>1.7320508075688772</v>
      </c>
      <c r="R54" s="141">
        <v>5</v>
      </c>
      <c r="S54" s="225">
        <f>P54/Q54</f>
        <v>0</v>
      </c>
      <c r="T54" s="142">
        <v>1</v>
      </c>
      <c r="U54" s="225">
        <f>S54*T54</f>
        <v>0</v>
      </c>
      <c r="V54" s="143">
        <f>U54^2</f>
        <v>0</v>
      </c>
      <c r="W54" s="144">
        <f>U54^4/R54</f>
        <v>0</v>
      </c>
    </row>
    <row r="55" spans="1:23" ht="13">
      <c r="A55" s="145" t="s">
        <v>46</v>
      </c>
      <c r="B55" s="213" t="str">
        <f>B54</f>
        <v>BrPM</v>
      </c>
      <c r="C55" s="146" t="s">
        <v>47</v>
      </c>
      <c r="D55" s="359">
        <f>0.5*1</f>
        <v>0.5</v>
      </c>
      <c r="E55" s="147">
        <f>SQRT(3)</f>
        <v>1.7320508075688772</v>
      </c>
      <c r="F55" s="141">
        <v>50</v>
      </c>
      <c r="G55" s="148">
        <f>D55/E55</f>
        <v>0.28867513459481292</v>
      </c>
      <c r="H55" s="141">
        <v>1</v>
      </c>
      <c r="I55" s="148">
        <f>G55*H55</f>
        <v>0.28867513459481292</v>
      </c>
      <c r="J55" s="149">
        <f>I55^2</f>
        <v>8.3333333333333356E-2</v>
      </c>
      <c r="K55" s="150">
        <f>I55^4/F55</f>
        <v>1.3888888888888897E-4</v>
      </c>
      <c r="M55" s="145" t="s">
        <v>46</v>
      </c>
      <c r="N55" s="213" t="s">
        <v>137</v>
      </c>
      <c r="O55" s="146" t="s">
        <v>47</v>
      </c>
      <c r="P55" s="433">
        <f>0.5*1</f>
        <v>0.5</v>
      </c>
      <c r="Q55" s="147">
        <f>SQRT(3)</f>
        <v>1.7320508075688772</v>
      </c>
      <c r="R55" s="141">
        <v>50</v>
      </c>
      <c r="S55" s="148">
        <f>P55/Q55</f>
        <v>0.28867513459481292</v>
      </c>
      <c r="T55" s="141">
        <v>1</v>
      </c>
      <c r="U55" s="148">
        <f>S55*T55</f>
        <v>0.28867513459481292</v>
      </c>
      <c r="V55" s="149">
        <f>U55^2</f>
        <v>8.3333333333333356E-2</v>
      </c>
      <c r="W55" s="150">
        <f>U55^4/R55</f>
        <v>1.3888888888888897E-4</v>
      </c>
    </row>
    <row r="56" spans="1:23" ht="13">
      <c r="A56" s="140" t="s">
        <v>108</v>
      </c>
      <c r="B56" s="213" t="str">
        <f>B55</f>
        <v>BrPM</v>
      </c>
      <c r="C56" s="141" t="s">
        <v>47</v>
      </c>
      <c r="D56" s="360">
        <f>'DB ECG SIM'!W254</f>
        <v>9.9999999999999995E-7</v>
      </c>
      <c r="E56" s="151">
        <f>SQRT(3)</f>
        <v>1.7320508075688772</v>
      </c>
      <c r="F56" s="141">
        <v>50</v>
      </c>
      <c r="G56" s="152">
        <f>D56/E56</f>
        <v>5.7735026918962578E-7</v>
      </c>
      <c r="H56" s="141">
        <v>1</v>
      </c>
      <c r="I56" s="152">
        <f>G56*H56</f>
        <v>5.7735026918962578E-7</v>
      </c>
      <c r="J56" s="149">
        <f>I56^2</f>
        <v>3.3333333333333334E-13</v>
      </c>
      <c r="K56" s="153">
        <f>I56^4/F56</f>
        <v>2.2222222222222221E-27</v>
      </c>
      <c r="M56" s="154"/>
      <c r="N56" s="141"/>
      <c r="O56" s="141"/>
      <c r="P56" s="141"/>
      <c r="Q56" s="151"/>
      <c r="R56" s="141"/>
      <c r="S56" s="152"/>
      <c r="T56" s="141"/>
      <c r="U56" s="152"/>
      <c r="V56" s="149"/>
      <c r="W56" s="153"/>
    </row>
    <row r="57" spans="1:23" ht="14">
      <c r="A57" s="154" t="s">
        <v>109</v>
      </c>
      <c r="B57" s="213" t="str">
        <f>B56</f>
        <v>BrPM</v>
      </c>
      <c r="C57" s="146" t="s">
        <v>45</v>
      </c>
      <c r="D57" s="361">
        <f>'DB ECG SIM'!Y254</f>
        <v>2.3199999999999995E-2</v>
      </c>
      <c r="E57" s="155">
        <v>2</v>
      </c>
      <c r="F57" s="141">
        <v>50</v>
      </c>
      <c r="G57" s="148">
        <f>D57/E57</f>
        <v>1.1599999999999997E-2</v>
      </c>
      <c r="H57" s="141">
        <v>1</v>
      </c>
      <c r="I57" s="148">
        <f>G57*H57</f>
        <v>1.1599999999999997E-2</v>
      </c>
      <c r="J57" s="149">
        <f>I57^2</f>
        <v>1.3455999999999993E-4</v>
      </c>
      <c r="K57" s="153">
        <f>I57^4/F57</f>
        <v>3.6212787199999962E-10</v>
      </c>
      <c r="M57" s="10" t="s">
        <v>48</v>
      </c>
      <c r="N57" s="226"/>
      <c r="O57" s="226"/>
      <c r="P57" s="226"/>
      <c r="Q57" s="227"/>
      <c r="R57" s="226"/>
      <c r="S57" s="226"/>
      <c r="T57" s="226"/>
      <c r="U57" s="226"/>
      <c r="V57" s="156">
        <f>SUM(V54:V55)</f>
        <v>8.3333333333333356E-2</v>
      </c>
      <c r="W57" s="157">
        <f>SUM(W54:W55)</f>
        <v>1.3888888888888897E-4</v>
      </c>
    </row>
    <row r="58" spans="1:23" ht="17">
      <c r="A58" s="154"/>
      <c r="B58" s="141"/>
      <c r="C58" s="141"/>
      <c r="D58" s="141"/>
      <c r="E58" s="151"/>
      <c r="F58" s="141"/>
      <c r="G58" s="152"/>
      <c r="H58" s="141"/>
      <c r="I58" s="152"/>
      <c r="J58" s="149"/>
      <c r="K58" s="153"/>
      <c r="M58" s="158" t="s">
        <v>49</v>
      </c>
      <c r="N58" s="159"/>
      <c r="O58" s="159"/>
      <c r="P58" s="159"/>
      <c r="Q58" s="160"/>
      <c r="R58" s="159"/>
      <c r="S58" s="161" t="s">
        <v>50</v>
      </c>
      <c r="T58" s="159"/>
      <c r="U58" s="159"/>
      <c r="V58" s="162">
        <f>SQRT(V57)</f>
        <v>0.28867513459481292</v>
      </c>
      <c r="W58" s="163"/>
    </row>
    <row r="59" spans="1:23" ht="17.5">
      <c r="A59" s="10" t="s">
        <v>48</v>
      </c>
      <c r="B59" s="226"/>
      <c r="C59" s="226"/>
      <c r="D59" s="226"/>
      <c r="E59" s="227"/>
      <c r="F59" s="226"/>
      <c r="G59" s="226"/>
      <c r="H59" s="226"/>
      <c r="I59" s="226"/>
      <c r="J59" s="156">
        <f>SUM(J54:J57)</f>
        <v>0.12791233777811115</v>
      </c>
      <c r="K59" s="157">
        <f>SUM(K54:K57)</f>
        <v>5.3395097941182274E-4</v>
      </c>
      <c r="M59" s="10" t="s">
        <v>51</v>
      </c>
      <c r="N59" s="11"/>
      <c r="O59" s="11"/>
      <c r="P59" s="11"/>
      <c r="Q59" s="12"/>
      <c r="R59" s="11"/>
      <c r="S59" s="228" t="s">
        <v>52</v>
      </c>
      <c r="T59" s="11"/>
      <c r="U59" s="11"/>
      <c r="V59" s="164">
        <f>V58^4/(W57)</f>
        <v>50</v>
      </c>
      <c r="W59" s="165"/>
    </row>
    <row r="60" spans="1:23" ht="17">
      <c r="A60" s="158" t="s">
        <v>49</v>
      </c>
      <c r="B60" s="159"/>
      <c r="C60" s="159"/>
      <c r="D60" s="159"/>
      <c r="E60" s="160"/>
      <c r="F60" s="159"/>
      <c r="G60" s="161" t="s">
        <v>50</v>
      </c>
      <c r="H60" s="159"/>
      <c r="I60" s="159"/>
      <c r="J60" s="162">
        <f>SQRT(J59)</f>
        <v>0.357648343737408</v>
      </c>
      <c r="K60" s="163"/>
      <c r="M60" s="158" t="s">
        <v>110</v>
      </c>
      <c r="N60" s="159"/>
      <c r="O60" s="159"/>
      <c r="P60" s="159"/>
      <c r="Q60" s="160"/>
      <c r="R60" s="159"/>
      <c r="S60" s="166" t="s">
        <v>53</v>
      </c>
      <c r="T60" s="159"/>
      <c r="U60" s="159"/>
      <c r="V60" s="167">
        <f>1.95996+(2.37356/V59)+(2.818745/V59^2)+(2.546662/V59^3)+(1.761829/V59^4)+(0.245458/V59^5)+(1.000764/V59^6)</f>
        <v>2.008579354038154</v>
      </c>
      <c r="W60" s="163"/>
    </row>
    <row r="61" spans="1:23" ht="17.5">
      <c r="A61" s="10" t="s">
        <v>51</v>
      </c>
      <c r="B61" s="11"/>
      <c r="C61" s="11"/>
      <c r="D61" s="11"/>
      <c r="E61" s="12"/>
      <c r="F61" s="11"/>
      <c r="G61" s="228" t="s">
        <v>52</v>
      </c>
      <c r="H61" s="11"/>
      <c r="I61" s="11"/>
      <c r="J61" s="164">
        <f>J60^4/(K59)</f>
        <v>30.64244993779165</v>
      </c>
      <c r="K61" s="165"/>
      <c r="M61" s="168" t="s">
        <v>54</v>
      </c>
      <c r="N61" s="169"/>
      <c r="O61" s="169"/>
      <c r="P61" s="169"/>
      <c r="Q61" s="170"/>
      <c r="R61" s="169"/>
      <c r="S61" s="171" t="s">
        <v>55</v>
      </c>
      <c r="T61" s="169"/>
      <c r="U61" s="169"/>
      <c r="V61" s="436">
        <f>V58*V60</f>
        <v>0.57982691537132647</v>
      </c>
      <c r="W61" s="172" t="s">
        <v>199</v>
      </c>
    </row>
    <row r="62" spans="1:23" ht="17.5">
      <c r="A62" s="158" t="s">
        <v>110</v>
      </c>
      <c r="B62" s="159"/>
      <c r="C62" s="159"/>
      <c r="D62" s="159"/>
      <c r="E62" s="160"/>
      <c r="F62" s="159"/>
      <c r="G62" s="166" t="s">
        <v>53</v>
      </c>
      <c r="H62" s="159"/>
      <c r="I62" s="159"/>
      <c r="J62" s="167">
        <f>1.95996+(2.37356/J61)+(2.818745/J61^2)+(2.546662/J61^3)+(1.761829/J61^4)+(0.245458/J61^5)+(1.000764/J61^6)</f>
        <v>2.040512371291531</v>
      </c>
      <c r="K62" s="357">
        <f>TINV(0.05,J61)</f>
        <v>2.0422724563012378</v>
      </c>
      <c r="M62" s="609" t="s">
        <v>51</v>
      </c>
      <c r="N62" s="533"/>
      <c r="O62" s="533"/>
      <c r="P62" s="533"/>
      <c r="Q62" s="534"/>
      <c r="R62" s="533"/>
      <c r="S62" s="535" t="s">
        <v>370</v>
      </c>
      <c r="T62" s="533"/>
      <c r="U62" s="533"/>
      <c r="V62" s="536"/>
      <c r="W62" s="592"/>
    </row>
    <row r="63" spans="1:23" ht="14">
      <c r="A63" s="168" t="s">
        <v>54</v>
      </c>
      <c r="B63" s="169"/>
      <c r="C63" s="169"/>
      <c r="D63" s="169"/>
      <c r="E63" s="170"/>
      <c r="F63" s="169"/>
      <c r="G63" s="171" t="s">
        <v>55</v>
      </c>
      <c r="H63" s="169"/>
      <c r="I63" s="169"/>
      <c r="J63" s="371">
        <f>J60*J62</f>
        <v>0.72978586996810701</v>
      </c>
      <c r="K63" s="172" t="str">
        <f>E52</f>
        <v>BrPM</v>
      </c>
      <c r="M63" s="214" t="s">
        <v>165</v>
      </c>
      <c r="N63" s="215"/>
      <c r="O63" s="216">
        <f>ID!D48</f>
        <v>100</v>
      </c>
      <c r="P63" s="217" t="s">
        <v>61</v>
      </c>
      <c r="Q63" s="221"/>
      <c r="R63" s="221"/>
      <c r="S63" s="221"/>
      <c r="T63" s="221"/>
      <c r="U63" s="221"/>
      <c r="V63" s="221"/>
      <c r="W63" s="222"/>
    </row>
    <row r="64" spans="1:23" ht="14.5" thickBot="1">
      <c r="A64" s="30"/>
      <c r="B64" s="31"/>
      <c r="C64" s="31"/>
      <c r="D64" s="31"/>
      <c r="E64" s="32"/>
      <c r="F64" s="31"/>
      <c r="G64" s="33"/>
      <c r="H64" s="31"/>
      <c r="I64" s="31"/>
      <c r="J64" s="34"/>
      <c r="K64" s="603"/>
      <c r="M64" s="135" t="s">
        <v>33</v>
      </c>
      <c r="N64" s="136" t="s">
        <v>34</v>
      </c>
      <c r="O64" s="137" t="s">
        <v>35</v>
      </c>
      <c r="P64" s="136" t="s">
        <v>36</v>
      </c>
      <c r="Q64" s="138" t="s">
        <v>37</v>
      </c>
      <c r="R64" s="136" t="s">
        <v>38</v>
      </c>
      <c r="S64" s="137" t="s">
        <v>39</v>
      </c>
      <c r="T64" s="136" t="s">
        <v>40</v>
      </c>
      <c r="U64" s="137" t="s">
        <v>41</v>
      </c>
      <c r="V64" s="136" t="s">
        <v>42</v>
      </c>
      <c r="W64" s="139" t="s">
        <v>43</v>
      </c>
    </row>
    <row r="65" spans="1:35" ht="14">
      <c r="A65" s="10"/>
      <c r="B65" s="11"/>
      <c r="C65" s="11"/>
      <c r="D65" s="11"/>
      <c r="E65" s="12"/>
      <c r="F65" s="11"/>
      <c r="G65" s="129"/>
      <c r="H65" s="11"/>
      <c r="I65" s="11"/>
      <c r="J65" s="130"/>
      <c r="K65" s="128"/>
      <c r="M65" s="140" t="s">
        <v>44</v>
      </c>
      <c r="N65" s="213" t="s">
        <v>137</v>
      </c>
      <c r="O65" s="223" t="s">
        <v>45</v>
      </c>
      <c r="P65" s="432">
        <f>'DB SPO2'!P98</f>
        <v>0</v>
      </c>
      <c r="Q65" s="224">
        <f>SQRT(3)</f>
        <v>1.7320508075688772</v>
      </c>
      <c r="R65" s="141">
        <v>5</v>
      </c>
      <c r="S65" s="225">
        <f>P65/Q65</f>
        <v>0</v>
      </c>
      <c r="T65" s="142">
        <v>1</v>
      </c>
      <c r="U65" s="225">
        <f>S65*T65</f>
        <v>0</v>
      </c>
      <c r="V65" s="143">
        <f>U65^2</f>
        <v>0</v>
      </c>
      <c r="W65" s="144">
        <f>U65^4/R65</f>
        <v>0</v>
      </c>
    </row>
    <row r="66" spans="1:35" ht="13">
      <c r="M66" s="145" t="s">
        <v>46</v>
      </c>
      <c r="N66" s="213" t="s">
        <v>137</v>
      </c>
      <c r="O66" s="146" t="s">
        <v>47</v>
      </c>
      <c r="P66" s="433">
        <f>0.5*1</f>
        <v>0.5</v>
      </c>
      <c r="Q66" s="147">
        <f>SQRT(3)</f>
        <v>1.7320508075688772</v>
      </c>
      <c r="R66" s="141">
        <v>50</v>
      </c>
      <c r="S66" s="148">
        <f>P66/Q66</f>
        <v>0.28867513459481292</v>
      </c>
      <c r="T66" s="141">
        <v>1</v>
      </c>
      <c r="U66" s="148">
        <f>S66*T66</f>
        <v>0.28867513459481292</v>
      </c>
      <c r="V66" s="149">
        <f>U66^2</f>
        <v>8.3333333333333356E-2</v>
      </c>
      <c r="W66" s="150">
        <f>U66^4/R66</f>
        <v>1.3888888888888897E-4</v>
      </c>
    </row>
    <row r="67" spans="1:35" ht="13">
      <c r="A67" s="596"/>
      <c r="B67" s="596"/>
      <c r="C67" s="596"/>
      <c r="D67" s="596"/>
      <c r="E67" s="596"/>
      <c r="F67" s="596"/>
      <c r="G67" s="596"/>
      <c r="H67" s="596"/>
      <c r="I67" s="596"/>
      <c r="J67" s="596"/>
      <c r="K67" s="596"/>
      <c r="L67" s="596"/>
      <c r="M67" s="154"/>
      <c r="N67" s="141"/>
      <c r="O67" s="141"/>
      <c r="P67" s="141"/>
      <c r="Q67" s="151"/>
      <c r="R67" s="141"/>
      <c r="S67" s="152"/>
      <c r="T67" s="141"/>
      <c r="U67" s="152"/>
      <c r="V67" s="149"/>
      <c r="W67" s="153"/>
    </row>
    <row r="68" spans="1:35" ht="15" customHeight="1">
      <c r="L68" s="219"/>
      <c r="M68" s="10" t="s">
        <v>48</v>
      </c>
      <c r="N68" s="226"/>
      <c r="O68" s="226"/>
      <c r="P68" s="226"/>
      <c r="Q68" s="227"/>
      <c r="R68" s="226"/>
      <c r="S68" s="226"/>
      <c r="T68" s="226"/>
      <c r="U68" s="226"/>
      <c r="V68" s="156">
        <f>SUM(V65:V66)</f>
        <v>8.3333333333333356E-2</v>
      </c>
      <c r="W68" s="157">
        <f>SUM(W65:W66)</f>
        <v>1.3888888888888897E-4</v>
      </c>
    </row>
    <row r="69" spans="1:35" ht="17">
      <c r="L69" s="219"/>
      <c r="M69" s="158" t="s">
        <v>49</v>
      </c>
      <c r="N69" s="159"/>
      <c r="O69" s="159"/>
      <c r="P69" s="159"/>
      <c r="Q69" s="160"/>
      <c r="R69" s="159"/>
      <c r="S69" s="161" t="s">
        <v>50</v>
      </c>
      <c r="T69" s="159"/>
      <c r="U69" s="159"/>
      <c r="V69" s="162">
        <f>SQRT(V68)</f>
        <v>0.28867513459481292</v>
      </c>
      <c r="W69" s="163"/>
    </row>
    <row r="70" spans="1:35" ht="17.5">
      <c r="L70" s="219"/>
      <c r="M70" s="10" t="s">
        <v>51</v>
      </c>
      <c r="N70" s="11"/>
      <c r="O70" s="11"/>
      <c r="P70" s="11"/>
      <c r="Q70" s="12"/>
      <c r="R70" s="11"/>
      <c r="S70" s="228" t="s">
        <v>52</v>
      </c>
      <c r="T70" s="11"/>
      <c r="U70" s="11"/>
      <c r="V70" s="164">
        <f>V69^4/(W68)</f>
        <v>50</v>
      </c>
      <c r="W70" s="165"/>
    </row>
    <row r="71" spans="1:35" ht="15.5">
      <c r="L71" s="219"/>
      <c r="M71" s="158" t="s">
        <v>110</v>
      </c>
      <c r="N71" s="159"/>
      <c r="O71" s="159"/>
      <c r="P71" s="159"/>
      <c r="Q71" s="160"/>
      <c r="R71" s="159"/>
      <c r="S71" s="166" t="s">
        <v>53</v>
      </c>
      <c r="T71" s="159"/>
      <c r="U71" s="159"/>
      <c r="V71" s="167">
        <f>1.95996+(2.37356/V70)+(2.818745/V70^2)+(2.546662/V70^3)+(1.761829/V70^4)+(0.245458/V70^5)+(1.000764/V70^6)</f>
        <v>2.008579354038154</v>
      </c>
      <c r="W71" s="163"/>
    </row>
    <row r="72" spans="1:35" ht="16.5" customHeight="1" thickBot="1">
      <c r="L72" s="219"/>
      <c r="M72" s="30" t="s">
        <v>54</v>
      </c>
      <c r="N72" s="31"/>
      <c r="O72" s="31"/>
      <c r="P72" s="31"/>
      <c r="Q72" s="32"/>
      <c r="R72" s="31"/>
      <c r="S72" s="33" t="s">
        <v>55</v>
      </c>
      <c r="T72" s="31"/>
      <c r="U72" s="31"/>
      <c r="V72" s="611">
        <f>V69*V71</f>
        <v>0.57982691537132647</v>
      </c>
      <c r="W72" s="608" t="s">
        <v>199</v>
      </c>
    </row>
    <row r="73" spans="1:35" ht="15" customHeight="1">
      <c r="L73" s="219"/>
    </row>
    <row r="74" spans="1:35" ht="15" customHeight="1" thickBot="1">
      <c r="W74" s="176" t="s">
        <v>277</v>
      </c>
    </row>
    <row r="75" spans="1:35" ht="15" customHeight="1">
      <c r="A75" s="1586" t="s">
        <v>32</v>
      </c>
      <c r="B75" s="1587"/>
      <c r="C75" s="1587"/>
      <c r="D75" s="1587"/>
      <c r="E75" s="1587"/>
      <c r="F75" s="1587"/>
      <c r="G75" s="1587"/>
      <c r="H75" s="1587"/>
      <c r="I75" s="1587"/>
      <c r="J75" s="1587"/>
      <c r="K75" s="1587"/>
      <c r="L75" s="1587"/>
      <c r="M75" s="1587"/>
      <c r="N75" s="1587"/>
      <c r="O75" s="1587"/>
      <c r="P75" s="1587"/>
      <c r="Q75" s="1587"/>
      <c r="R75" s="1587"/>
      <c r="S75" s="1587"/>
      <c r="T75" s="1587"/>
      <c r="U75" s="1587"/>
      <c r="V75" s="1587"/>
      <c r="W75" s="1588"/>
    </row>
    <row r="76" spans="1:35" ht="15" customHeight="1">
      <c r="A76" s="214" t="s">
        <v>204</v>
      </c>
      <c r="B76" s="215"/>
      <c r="C76" s="236">
        <f>ID!D54</f>
        <v>120</v>
      </c>
      <c r="D76" s="217" t="s">
        <v>205</v>
      </c>
      <c r="E76" s="221"/>
      <c r="F76" s="221"/>
      <c r="G76" s="221"/>
      <c r="H76" s="221"/>
      <c r="I76" s="221"/>
      <c r="J76" s="221"/>
      <c r="K76" s="221"/>
      <c r="L76" s="235"/>
      <c r="M76" s="214" t="s">
        <v>204</v>
      </c>
      <c r="N76" s="215"/>
      <c r="O76" s="236">
        <f>ID!D60</f>
        <v>80</v>
      </c>
      <c r="P76" s="217" t="s">
        <v>205</v>
      </c>
      <c r="Q76" s="221"/>
      <c r="R76" s="221"/>
      <c r="S76" s="221"/>
      <c r="T76" s="221"/>
      <c r="U76" s="221"/>
      <c r="V76" s="221"/>
      <c r="W76" s="222"/>
      <c r="Y76" s="437"/>
      <c r="Z76" s="437"/>
      <c r="AA76" s="437"/>
      <c r="AB76" s="437"/>
      <c r="AC76" s="437"/>
      <c r="AD76" s="437"/>
      <c r="AE76" s="437"/>
      <c r="AF76" s="437"/>
      <c r="AG76" s="437"/>
      <c r="AH76" s="437"/>
      <c r="AI76" s="437"/>
    </row>
    <row r="77" spans="1:35" ht="15" customHeight="1">
      <c r="A77" s="135" t="s">
        <v>33</v>
      </c>
      <c r="B77" s="136" t="s">
        <v>34</v>
      </c>
      <c r="C77" s="137" t="s">
        <v>35</v>
      </c>
      <c r="D77" s="136" t="s">
        <v>36</v>
      </c>
      <c r="E77" s="138" t="s">
        <v>37</v>
      </c>
      <c r="F77" s="136" t="s">
        <v>38</v>
      </c>
      <c r="G77" s="137" t="s">
        <v>39</v>
      </c>
      <c r="H77" s="136" t="s">
        <v>40</v>
      </c>
      <c r="I77" s="137" t="s">
        <v>41</v>
      </c>
      <c r="J77" s="136" t="s">
        <v>42</v>
      </c>
      <c r="K77" s="139" t="s">
        <v>43</v>
      </c>
      <c r="L77" s="235"/>
      <c r="M77" s="135" t="s">
        <v>33</v>
      </c>
      <c r="N77" s="136" t="s">
        <v>34</v>
      </c>
      <c r="O77" s="137" t="s">
        <v>35</v>
      </c>
      <c r="P77" s="136" t="s">
        <v>36</v>
      </c>
      <c r="Q77" s="138" t="s">
        <v>37</v>
      </c>
      <c r="R77" s="136" t="s">
        <v>38</v>
      </c>
      <c r="S77" s="137" t="s">
        <v>39</v>
      </c>
      <c r="T77" s="136" t="s">
        <v>40</v>
      </c>
      <c r="U77" s="137" t="s">
        <v>41</v>
      </c>
      <c r="V77" s="136" t="s">
        <v>42</v>
      </c>
      <c r="W77" s="139" t="s">
        <v>43</v>
      </c>
      <c r="Y77" s="438"/>
      <c r="Z77" s="439"/>
      <c r="AA77" s="439"/>
      <c r="AB77" s="440"/>
      <c r="AC77" s="441"/>
      <c r="AD77" s="439"/>
      <c r="AE77" s="441"/>
      <c r="AF77" s="439"/>
      <c r="AG77" s="441"/>
      <c r="AH77" s="442"/>
      <c r="AI77" s="443"/>
    </row>
    <row r="78" spans="1:35" ht="15" customHeight="1">
      <c r="A78" s="140" t="s">
        <v>44</v>
      </c>
      <c r="B78" s="213" t="s">
        <v>205</v>
      </c>
      <c r="C78" s="223" t="s">
        <v>45</v>
      </c>
      <c r="D78" s="432">
        <f>'DB NIBP'!M85</f>
        <v>0</v>
      </c>
      <c r="E78" s="224">
        <f>SQRT(3)</f>
        <v>1.7320508075688772</v>
      </c>
      <c r="F78" s="141">
        <v>2</v>
      </c>
      <c r="G78" s="225">
        <f>D78/E78</f>
        <v>0</v>
      </c>
      <c r="H78" s="142">
        <v>1</v>
      </c>
      <c r="I78" s="225">
        <f>G78*H78</f>
        <v>0</v>
      </c>
      <c r="J78" s="143">
        <f>I78^2</f>
        <v>0</v>
      </c>
      <c r="K78" s="144">
        <f>I78^4/F78</f>
        <v>0</v>
      </c>
      <c r="L78" s="235"/>
      <c r="M78" s="140" t="s">
        <v>44</v>
      </c>
      <c r="N78" s="213" t="s">
        <v>205</v>
      </c>
      <c r="O78" s="223" t="s">
        <v>45</v>
      </c>
      <c r="P78" s="432">
        <f>'DB NIBP'!M91</f>
        <v>1.5275252316519468</v>
      </c>
      <c r="Q78" s="224">
        <f>SQRT(3)</f>
        <v>1.7320508075688772</v>
      </c>
      <c r="R78" s="141">
        <v>2</v>
      </c>
      <c r="S78" s="225">
        <f>P78/Q78</f>
        <v>0.88191710368819698</v>
      </c>
      <c r="T78" s="142">
        <v>1</v>
      </c>
      <c r="U78" s="225">
        <f>S78*T78</f>
        <v>0.88191710368819698</v>
      </c>
      <c r="V78" s="143">
        <f>U78^2</f>
        <v>0.77777777777777801</v>
      </c>
      <c r="W78" s="144">
        <f>U78^4/R78</f>
        <v>0.30246913580246931</v>
      </c>
      <c r="Y78" s="444"/>
      <c r="Z78" s="439"/>
      <c r="AA78" s="439"/>
      <c r="AB78" s="440"/>
      <c r="AC78" s="441"/>
      <c r="AD78" s="439"/>
      <c r="AE78" s="441"/>
      <c r="AF78" s="439"/>
      <c r="AG78" s="441"/>
      <c r="AH78" s="442"/>
      <c r="AI78" s="443"/>
    </row>
    <row r="79" spans="1:35" ht="15" customHeight="1">
      <c r="A79" s="145" t="s">
        <v>46</v>
      </c>
      <c r="B79" s="213" t="s">
        <v>205</v>
      </c>
      <c r="C79" s="146" t="s">
        <v>47</v>
      </c>
      <c r="D79" s="433">
        <f>0.5*1</f>
        <v>0.5</v>
      </c>
      <c r="E79" s="147">
        <f>SQRT(3)</f>
        <v>1.7320508075688772</v>
      </c>
      <c r="F79" s="141">
        <v>50</v>
      </c>
      <c r="G79" s="148">
        <f>D79/E79</f>
        <v>0.28867513459481292</v>
      </c>
      <c r="H79" s="141">
        <v>1</v>
      </c>
      <c r="I79" s="148">
        <f>G79*H79</f>
        <v>0.28867513459481292</v>
      </c>
      <c r="J79" s="149">
        <f>I79^2</f>
        <v>8.3333333333333356E-2</v>
      </c>
      <c r="K79" s="150">
        <f>I79^4/F79</f>
        <v>1.3888888888888897E-4</v>
      </c>
      <c r="L79" s="235"/>
      <c r="M79" s="145" t="s">
        <v>46</v>
      </c>
      <c r="N79" s="213" t="s">
        <v>205</v>
      </c>
      <c r="O79" s="146" t="s">
        <v>47</v>
      </c>
      <c r="P79" s="433">
        <f>0.5*1</f>
        <v>0.5</v>
      </c>
      <c r="Q79" s="147">
        <f>SQRT(3)</f>
        <v>1.7320508075688772</v>
      </c>
      <c r="R79" s="141">
        <v>50</v>
      </c>
      <c r="S79" s="148">
        <f>P79/Q79</f>
        <v>0.28867513459481292</v>
      </c>
      <c r="T79" s="141">
        <v>1</v>
      </c>
      <c r="U79" s="148">
        <f>S79*T79</f>
        <v>0.28867513459481292</v>
      </c>
      <c r="V79" s="149">
        <f>U79^2</f>
        <v>8.3333333333333356E-2</v>
      </c>
      <c r="W79" s="150">
        <f>U79^4/R79</f>
        <v>1.3888888888888897E-4</v>
      </c>
      <c r="Y79" s="444"/>
      <c r="Z79" s="439"/>
      <c r="AA79" s="439"/>
      <c r="AB79" s="440"/>
      <c r="AC79" s="441"/>
      <c r="AD79" s="439"/>
      <c r="AE79" s="441"/>
      <c r="AF79" s="439"/>
      <c r="AG79" s="441"/>
      <c r="AH79" s="442"/>
      <c r="AI79" s="443"/>
    </row>
    <row r="80" spans="1:35" ht="15" customHeight="1">
      <c r="A80" s="140" t="s">
        <v>108</v>
      </c>
      <c r="B80" s="213" t="s">
        <v>205</v>
      </c>
      <c r="C80" s="141" t="s">
        <v>47</v>
      </c>
      <c r="D80" s="434">
        <f>'DB NIBP'!K85</f>
        <v>0.11296582145551129</v>
      </c>
      <c r="E80" s="151">
        <f>SQRT(3)</f>
        <v>1.7320508075688772</v>
      </c>
      <c r="F80" s="141">
        <v>50</v>
      </c>
      <c r="G80" s="152">
        <f>D80/E80</f>
        <v>6.5220847426566642E-2</v>
      </c>
      <c r="H80" s="141">
        <v>1</v>
      </c>
      <c r="I80" s="152">
        <f>G80*H80</f>
        <v>6.5220847426566642E-2</v>
      </c>
      <c r="J80" s="149">
        <f>I80^2</f>
        <v>4.2537589390394849E-3</v>
      </c>
      <c r="K80" s="153">
        <f>I80^4/F80</f>
        <v>3.6188930222916649E-7</v>
      </c>
      <c r="L80" s="235"/>
      <c r="M80" s="140" t="s">
        <v>108</v>
      </c>
      <c r="N80" s="213" t="s">
        <v>205</v>
      </c>
      <c r="O80" s="141" t="s">
        <v>47</v>
      </c>
      <c r="P80" s="434">
        <f>'DB NIBP'!K91</f>
        <v>6.7858983468327014E-2</v>
      </c>
      <c r="Q80" s="151">
        <f>SQRT(3)</f>
        <v>1.7320508075688772</v>
      </c>
      <c r="R80" s="141">
        <v>50</v>
      </c>
      <c r="S80" s="152">
        <f>P80/Q80</f>
        <v>3.9178402372372967E-2</v>
      </c>
      <c r="T80" s="141">
        <v>1</v>
      </c>
      <c r="U80" s="152">
        <f>S80*T80</f>
        <v>3.9178402372372967E-2</v>
      </c>
      <c r="V80" s="149">
        <f>U80^2</f>
        <v>1.5349472124515596E-3</v>
      </c>
      <c r="W80" s="153">
        <f>U80^4/R80</f>
        <v>4.7121258900256268E-8</v>
      </c>
      <c r="Y80" s="444"/>
      <c r="Z80" s="439"/>
      <c r="AA80" s="439"/>
      <c r="AB80" s="440"/>
      <c r="AC80" s="441"/>
      <c r="AD80" s="439"/>
      <c r="AE80" s="441"/>
      <c r="AF80" s="439"/>
      <c r="AG80" s="441"/>
      <c r="AH80" s="442"/>
      <c r="AI80" s="443"/>
    </row>
    <row r="81" spans="1:35" ht="15" customHeight="1">
      <c r="A81" s="154" t="s">
        <v>109</v>
      </c>
      <c r="B81" s="213" t="s">
        <v>205</v>
      </c>
      <c r="C81" s="146" t="s">
        <v>45</v>
      </c>
      <c r="D81" s="435">
        <f>'DB NIBP'!L85</f>
        <v>1.4764668078110768</v>
      </c>
      <c r="E81" s="155">
        <v>2</v>
      </c>
      <c r="F81" s="141">
        <v>50</v>
      </c>
      <c r="G81" s="148">
        <f>D81/E81</f>
        <v>0.73823340390553838</v>
      </c>
      <c r="H81" s="141">
        <v>1</v>
      </c>
      <c r="I81" s="148">
        <f>G81*H81</f>
        <v>0.73823340390553838</v>
      </c>
      <c r="J81" s="149">
        <f>I81^2</f>
        <v>0.54498855864195772</v>
      </c>
      <c r="K81" s="153">
        <f>I81^4/F81</f>
        <v>5.9402505810127711E-3</v>
      </c>
      <c r="L81" s="235"/>
      <c r="M81" s="154" t="s">
        <v>109</v>
      </c>
      <c r="N81" s="213" t="s">
        <v>205</v>
      </c>
      <c r="O81" s="146" t="s">
        <v>45</v>
      </c>
      <c r="P81" s="435">
        <f>'DB NIBP'!L91</f>
        <v>1.4033894211059506</v>
      </c>
      <c r="Q81" s="155">
        <v>2</v>
      </c>
      <c r="R81" s="141">
        <v>50</v>
      </c>
      <c r="S81" s="148">
        <f>P81/Q81</f>
        <v>0.70169471055297528</v>
      </c>
      <c r="T81" s="141">
        <v>1</v>
      </c>
      <c r="U81" s="148">
        <f>S81*T81</f>
        <v>0.70169471055297528</v>
      </c>
      <c r="V81" s="149">
        <f>U81^2</f>
        <v>0.49237546681802374</v>
      </c>
      <c r="W81" s="153">
        <f>U81^4/R81</f>
        <v>4.8486720064853358E-3</v>
      </c>
      <c r="Y81" s="438"/>
      <c r="Z81" s="438"/>
      <c r="AA81" s="438"/>
      <c r="AB81" s="438"/>
      <c r="AC81" s="438"/>
      <c r="AD81" s="438"/>
      <c r="AE81" s="438"/>
      <c r="AF81" s="438"/>
      <c r="AG81" s="438"/>
      <c r="AH81" s="442"/>
      <c r="AI81" s="443"/>
    </row>
    <row r="82" spans="1:35" ht="15" customHeight="1">
      <c r="A82" s="154"/>
      <c r="B82" s="141"/>
      <c r="C82" s="141"/>
      <c r="D82" s="141"/>
      <c r="E82" s="151"/>
      <c r="F82" s="141"/>
      <c r="G82" s="152"/>
      <c r="H82" s="141"/>
      <c r="I82" s="152"/>
      <c r="J82" s="149"/>
      <c r="K82" s="153"/>
      <c r="L82" s="235"/>
      <c r="M82" s="154"/>
      <c r="N82" s="141"/>
      <c r="O82" s="141"/>
      <c r="P82" s="141"/>
      <c r="Q82" s="151"/>
      <c r="R82" s="141"/>
      <c r="S82" s="152"/>
      <c r="T82" s="141"/>
      <c r="U82" s="152"/>
      <c r="V82" s="149"/>
      <c r="W82" s="153"/>
      <c r="Y82" s="438"/>
      <c r="Z82" s="438"/>
      <c r="AA82" s="438"/>
      <c r="AB82" s="438"/>
      <c r="AC82" s="438"/>
      <c r="AD82" s="438"/>
      <c r="AE82" s="438"/>
      <c r="AF82" s="445"/>
      <c r="AG82" s="438"/>
      <c r="AH82" s="446"/>
      <c r="AI82" s="441"/>
    </row>
    <row r="83" spans="1:35" ht="15" customHeight="1">
      <c r="A83" s="10" t="s">
        <v>48</v>
      </c>
      <c r="B83" s="226"/>
      <c r="C83" s="226"/>
      <c r="D83" s="226"/>
      <c r="E83" s="227"/>
      <c r="F83" s="226"/>
      <c r="G83" s="226"/>
      <c r="H83" s="226"/>
      <c r="I83" s="226"/>
      <c r="J83" s="156">
        <f>SUM(J78:J81)</f>
        <v>0.63257565091433055</v>
      </c>
      <c r="K83" s="157">
        <f>SUM(K78:K81)</f>
        <v>6.079501359203889E-3</v>
      </c>
      <c r="L83" s="235"/>
      <c r="M83" s="10" t="s">
        <v>48</v>
      </c>
      <c r="N83" s="226"/>
      <c r="O83" s="226"/>
      <c r="P83" s="226"/>
      <c r="Q83" s="227"/>
      <c r="R83" s="226"/>
      <c r="S83" s="226"/>
      <c r="T83" s="226"/>
      <c r="U83" s="226"/>
      <c r="V83" s="156">
        <f>SUM(V78:V81)</f>
        <v>1.3550215251415867</v>
      </c>
      <c r="W83" s="157">
        <f>SUM(W78:W81)</f>
        <v>0.30745674381910243</v>
      </c>
      <c r="Y83" s="438"/>
      <c r="Z83" s="438"/>
      <c r="AA83" s="438"/>
      <c r="AB83" s="438"/>
      <c r="AC83" s="438"/>
      <c r="AD83" s="438"/>
      <c r="AE83" s="438"/>
      <c r="AF83" s="447"/>
      <c r="AG83" s="438"/>
      <c r="AH83" s="441"/>
      <c r="AI83" s="441"/>
    </row>
    <row r="84" spans="1:35" ht="15" customHeight="1">
      <c r="A84" s="158" t="s">
        <v>49</v>
      </c>
      <c r="B84" s="159"/>
      <c r="C84" s="159"/>
      <c r="D84" s="159"/>
      <c r="E84" s="160"/>
      <c r="F84" s="159"/>
      <c r="G84" s="161" t="s">
        <v>50</v>
      </c>
      <c r="H84" s="159"/>
      <c r="I84" s="159"/>
      <c r="J84" s="162">
        <f>SQRT(J83)</f>
        <v>0.79534624592961434</v>
      </c>
      <c r="K84" s="163"/>
      <c r="L84" s="235"/>
      <c r="M84" s="158" t="s">
        <v>49</v>
      </c>
      <c r="N84" s="159"/>
      <c r="O84" s="159"/>
      <c r="P84" s="159"/>
      <c r="Q84" s="160"/>
      <c r="R84" s="159"/>
      <c r="S84" s="161" t="s">
        <v>50</v>
      </c>
      <c r="T84" s="159"/>
      <c r="U84" s="159"/>
      <c r="V84" s="162">
        <f>SQRT(V83)</f>
        <v>1.1640539184855601</v>
      </c>
      <c r="W84" s="163"/>
      <c r="Y84" s="438"/>
      <c r="Z84" s="438"/>
      <c r="AA84" s="438"/>
      <c r="AB84" s="438"/>
      <c r="AC84" s="438"/>
      <c r="AD84" s="438"/>
      <c r="AE84" s="438"/>
      <c r="AF84" s="447"/>
      <c r="AG84" s="438"/>
      <c r="AH84" s="441"/>
      <c r="AI84" s="448"/>
    </row>
    <row r="85" spans="1:35" ht="15" customHeight="1">
      <c r="A85" s="10" t="s">
        <v>51</v>
      </c>
      <c r="B85" s="11"/>
      <c r="C85" s="11"/>
      <c r="D85" s="11"/>
      <c r="E85" s="12"/>
      <c r="F85" s="11"/>
      <c r="G85" s="228" t="s">
        <v>52</v>
      </c>
      <c r="H85" s="11"/>
      <c r="I85" s="11"/>
      <c r="J85" s="164">
        <f>J84^4/(K83)</f>
        <v>65.819864243288677</v>
      </c>
      <c r="K85" s="165"/>
      <c r="L85" s="235"/>
      <c r="M85" s="10" t="s">
        <v>51</v>
      </c>
      <c r="N85" s="11"/>
      <c r="O85" s="11"/>
      <c r="P85" s="11"/>
      <c r="Q85" s="12"/>
      <c r="R85" s="11"/>
      <c r="S85" s="228" t="s">
        <v>52</v>
      </c>
      <c r="T85" s="11"/>
      <c r="U85" s="11"/>
      <c r="V85" s="164">
        <f>V84^4/(W83)</f>
        <v>5.9718427730351697</v>
      </c>
      <c r="W85" s="165"/>
      <c r="Y85" s="438"/>
      <c r="Z85" s="438"/>
      <c r="AA85" s="438"/>
      <c r="AB85" s="438"/>
      <c r="AC85" s="438"/>
      <c r="AD85" s="438"/>
      <c r="AE85" s="438"/>
      <c r="AF85" s="447"/>
      <c r="AG85" s="438"/>
      <c r="AH85" s="449"/>
      <c r="AI85" s="439"/>
    </row>
    <row r="86" spans="1:35" ht="15" customHeight="1">
      <c r="A86" s="158" t="s">
        <v>110</v>
      </c>
      <c r="B86" s="159"/>
      <c r="C86" s="159"/>
      <c r="D86" s="159"/>
      <c r="E86" s="160"/>
      <c r="F86" s="159"/>
      <c r="G86" s="166" t="s">
        <v>53</v>
      </c>
      <c r="H86" s="159"/>
      <c r="I86" s="159"/>
      <c r="J86" s="167">
        <f>1.95996+(2.37356/J85)+(2.818745/J85^2)+(2.546662/J85^3)+(1.761829/J85^4)+(0.245458/J85^5)+(1.000764/J85^6)</f>
        <v>1.9966811205825832</v>
      </c>
      <c r="K86" s="357">
        <f>TINV(0.05,J85)</f>
        <v>1.9971379083920051</v>
      </c>
      <c r="L86" s="235"/>
      <c r="M86" s="158" t="s">
        <v>110</v>
      </c>
      <c r="N86" s="159"/>
      <c r="O86" s="159"/>
      <c r="P86" s="159"/>
      <c r="Q86" s="160"/>
      <c r="R86" s="159"/>
      <c r="S86" s="166" t="s">
        <v>53</v>
      </c>
      <c r="T86" s="159"/>
      <c r="U86" s="159"/>
      <c r="V86" s="167">
        <f>1.95996+(2.37356/V85)+(2.818745/V85^2)+(2.546662/V85^3)+(1.761829/V85^4)+(0.245458/V85^5)+(1.000764/V85^6)</f>
        <v>2.4498544206275006</v>
      </c>
      <c r="W86" s="357">
        <f>TINV(0.05,V85)</f>
        <v>2.570581835636315</v>
      </c>
    </row>
    <row r="87" spans="1:35" ht="15" customHeight="1">
      <c r="A87" s="168" t="s">
        <v>54</v>
      </c>
      <c r="B87" s="169"/>
      <c r="C87" s="169"/>
      <c r="D87" s="169"/>
      <c r="E87" s="170"/>
      <c r="F87" s="169"/>
      <c r="G87" s="171" t="s">
        <v>55</v>
      </c>
      <c r="H87" s="169"/>
      <c r="I87" s="169"/>
      <c r="J87" s="436">
        <f>J84*J86</f>
        <v>1.588052833573893</v>
      </c>
      <c r="K87" s="217" t="s">
        <v>205</v>
      </c>
      <c r="L87" s="235"/>
      <c r="M87" s="168" t="s">
        <v>54</v>
      </c>
      <c r="N87" s="169"/>
      <c r="O87" s="169"/>
      <c r="P87" s="169"/>
      <c r="Q87" s="170"/>
      <c r="R87" s="169"/>
      <c r="S87" s="171" t="s">
        <v>55</v>
      </c>
      <c r="T87" s="169"/>
      <c r="U87" s="169"/>
      <c r="V87" s="436">
        <f>V84*V86</f>
        <v>2.8517626380506136</v>
      </c>
      <c r="W87" s="613" t="s">
        <v>205</v>
      </c>
    </row>
    <row r="88" spans="1:35" ht="15" customHeight="1">
      <c r="A88" s="214" t="s">
        <v>147</v>
      </c>
      <c r="B88" s="215"/>
      <c r="C88" s="236">
        <f>ID!D55</f>
        <v>80</v>
      </c>
      <c r="D88" s="217" t="s">
        <v>205</v>
      </c>
      <c r="E88" s="221"/>
      <c r="F88" s="221"/>
      <c r="G88" s="221"/>
      <c r="H88" s="221"/>
      <c r="I88" s="221"/>
      <c r="J88" s="221"/>
      <c r="K88" s="221"/>
      <c r="L88" s="235"/>
      <c r="M88" s="214" t="s">
        <v>147</v>
      </c>
      <c r="N88" s="215"/>
      <c r="O88" s="236">
        <f>ID!D61</f>
        <v>50</v>
      </c>
      <c r="P88" s="217" t="s">
        <v>205</v>
      </c>
      <c r="Q88" s="221"/>
      <c r="R88" s="221"/>
      <c r="S88" s="221"/>
      <c r="T88" s="221"/>
      <c r="U88" s="221"/>
      <c r="V88" s="221"/>
      <c r="W88" s="222"/>
    </row>
    <row r="89" spans="1:35" ht="15" customHeight="1">
      <c r="A89" s="135" t="s">
        <v>33</v>
      </c>
      <c r="B89" s="136" t="s">
        <v>34</v>
      </c>
      <c r="C89" s="137" t="s">
        <v>35</v>
      </c>
      <c r="D89" s="136" t="s">
        <v>36</v>
      </c>
      <c r="E89" s="138" t="s">
        <v>37</v>
      </c>
      <c r="F89" s="136" t="s">
        <v>38</v>
      </c>
      <c r="G89" s="137" t="s">
        <v>39</v>
      </c>
      <c r="H89" s="136" t="s">
        <v>40</v>
      </c>
      <c r="I89" s="137" t="s">
        <v>41</v>
      </c>
      <c r="J89" s="136" t="s">
        <v>42</v>
      </c>
      <c r="K89" s="139" t="s">
        <v>43</v>
      </c>
      <c r="L89" s="235"/>
      <c r="M89" s="135" t="s">
        <v>33</v>
      </c>
      <c r="N89" s="136" t="s">
        <v>34</v>
      </c>
      <c r="O89" s="137" t="s">
        <v>35</v>
      </c>
      <c r="P89" s="136" t="s">
        <v>36</v>
      </c>
      <c r="Q89" s="138" t="s">
        <v>37</v>
      </c>
      <c r="R89" s="136" t="s">
        <v>38</v>
      </c>
      <c r="S89" s="137" t="s">
        <v>39</v>
      </c>
      <c r="T89" s="136" t="s">
        <v>40</v>
      </c>
      <c r="U89" s="137" t="s">
        <v>41</v>
      </c>
      <c r="V89" s="136" t="s">
        <v>42</v>
      </c>
      <c r="W89" s="139" t="s">
        <v>43</v>
      </c>
    </row>
    <row r="90" spans="1:35" ht="15" customHeight="1">
      <c r="A90" s="140" t="s">
        <v>44</v>
      </c>
      <c r="B90" s="213" t="s">
        <v>205</v>
      </c>
      <c r="C90" s="223" t="s">
        <v>45</v>
      </c>
      <c r="D90" s="432">
        <f>'DB NIBP'!M86</f>
        <v>0.57735026918962573</v>
      </c>
      <c r="E90" s="224">
        <f>SQRT(3)</f>
        <v>1.7320508075688772</v>
      </c>
      <c r="F90" s="141">
        <v>2</v>
      </c>
      <c r="G90" s="225">
        <f>D90/E90</f>
        <v>0.33333333333333331</v>
      </c>
      <c r="H90" s="142">
        <v>1</v>
      </c>
      <c r="I90" s="225">
        <f>G90*H90</f>
        <v>0.33333333333333331</v>
      </c>
      <c r="J90" s="143">
        <f>I90^2</f>
        <v>0.1111111111111111</v>
      </c>
      <c r="K90" s="144">
        <f>I90^4/F90</f>
        <v>6.1728395061728392E-3</v>
      </c>
      <c r="L90" s="235"/>
      <c r="M90" s="140" t="s">
        <v>44</v>
      </c>
      <c r="N90" s="213" t="s">
        <v>205</v>
      </c>
      <c r="O90" s="223" t="s">
        <v>45</v>
      </c>
      <c r="P90" s="432">
        <f>'DB NIBP'!M92</f>
        <v>0.57735026918962584</v>
      </c>
      <c r="Q90" s="224">
        <f>SQRT(3)</f>
        <v>1.7320508075688772</v>
      </c>
      <c r="R90" s="141">
        <v>2</v>
      </c>
      <c r="S90" s="225">
        <f>P90/Q90</f>
        <v>0.33333333333333337</v>
      </c>
      <c r="T90" s="142">
        <v>1</v>
      </c>
      <c r="U90" s="225">
        <f>S90*T90</f>
        <v>0.33333333333333337</v>
      </c>
      <c r="V90" s="143">
        <f>U90^2</f>
        <v>0.11111111111111113</v>
      </c>
      <c r="W90" s="144">
        <f>U90^4/R90</f>
        <v>6.1728395061728418E-3</v>
      </c>
    </row>
    <row r="91" spans="1:35" ht="15" customHeight="1">
      <c r="A91" s="145" t="s">
        <v>46</v>
      </c>
      <c r="B91" s="213" t="s">
        <v>205</v>
      </c>
      <c r="C91" s="146" t="s">
        <v>47</v>
      </c>
      <c r="D91" s="433">
        <f>0.5*1</f>
        <v>0.5</v>
      </c>
      <c r="E91" s="147">
        <f>SQRT(3)</f>
        <v>1.7320508075688772</v>
      </c>
      <c r="F91" s="141">
        <v>50</v>
      </c>
      <c r="G91" s="148">
        <f>D91/E91</f>
        <v>0.28867513459481292</v>
      </c>
      <c r="H91" s="141">
        <v>1</v>
      </c>
      <c r="I91" s="148">
        <f>G91*H91</f>
        <v>0.28867513459481292</v>
      </c>
      <c r="J91" s="149">
        <f>I91^2</f>
        <v>8.3333333333333356E-2</v>
      </c>
      <c r="K91" s="150">
        <f>I91^4/F91</f>
        <v>1.3888888888888897E-4</v>
      </c>
      <c r="L91" s="235"/>
      <c r="M91" s="145" t="s">
        <v>46</v>
      </c>
      <c r="N91" s="213" t="s">
        <v>205</v>
      </c>
      <c r="O91" s="146" t="s">
        <v>47</v>
      </c>
      <c r="P91" s="433">
        <f>0.5*1</f>
        <v>0.5</v>
      </c>
      <c r="Q91" s="147">
        <f>SQRT(3)</f>
        <v>1.7320508075688772</v>
      </c>
      <c r="R91" s="141">
        <v>50</v>
      </c>
      <c r="S91" s="148">
        <f>P91/Q91</f>
        <v>0.28867513459481292</v>
      </c>
      <c r="T91" s="141">
        <v>1</v>
      </c>
      <c r="U91" s="148">
        <f>S91*T91</f>
        <v>0.28867513459481292</v>
      </c>
      <c r="V91" s="149">
        <f>U91^2</f>
        <v>8.3333333333333356E-2</v>
      </c>
      <c r="W91" s="150">
        <f>U91^4/R91</f>
        <v>1.3888888888888897E-4</v>
      </c>
    </row>
    <row r="92" spans="1:35" ht="15" customHeight="1">
      <c r="A92" s="140" t="s">
        <v>108</v>
      </c>
      <c r="B92" s="213" t="s">
        <v>205</v>
      </c>
      <c r="C92" s="141" t="s">
        <v>47</v>
      </c>
      <c r="D92" s="434">
        <f>'DB NIBP'!K86</f>
        <v>6.6712199451703688E-2</v>
      </c>
      <c r="E92" s="151">
        <f>SQRT(3)</f>
        <v>1.7320508075688772</v>
      </c>
      <c r="F92" s="141">
        <v>50</v>
      </c>
      <c r="G92" s="152">
        <f>D92/E92</f>
        <v>3.8516306311673132E-2</v>
      </c>
      <c r="H92" s="141">
        <v>1</v>
      </c>
      <c r="I92" s="152">
        <f>G92*H92</f>
        <v>3.8516306311673132E-2</v>
      </c>
      <c r="J92" s="149">
        <f>I92^2</f>
        <v>1.4835058518946316E-3</v>
      </c>
      <c r="K92" s="153">
        <f>I92^4/F92</f>
        <v>4.4015792252112337E-8</v>
      </c>
      <c r="L92" s="235"/>
      <c r="M92" s="140" t="s">
        <v>108</v>
      </c>
      <c r="N92" s="213" t="s">
        <v>205</v>
      </c>
      <c r="O92" s="141" t="s">
        <v>47</v>
      </c>
      <c r="P92" s="434">
        <f>'DB NIBP'!K92</f>
        <v>3.5749031002873792E-2</v>
      </c>
      <c r="Q92" s="151">
        <f>SQRT(3)</f>
        <v>1.7320508075688772</v>
      </c>
      <c r="R92" s="141">
        <v>50</v>
      </c>
      <c r="S92" s="152">
        <f>P92/Q92</f>
        <v>2.0639712672777463E-2</v>
      </c>
      <c r="T92" s="141">
        <v>1</v>
      </c>
      <c r="U92" s="152">
        <f>S92*T92</f>
        <v>2.0639712672777463E-2</v>
      </c>
      <c r="V92" s="149">
        <f>U92^2</f>
        <v>4.2599773921481063E-4</v>
      </c>
      <c r="W92" s="153">
        <f>U92^4/R92</f>
        <v>3.6294814763225958E-9</v>
      </c>
    </row>
    <row r="93" spans="1:35" ht="15" customHeight="1">
      <c r="A93" s="154" t="s">
        <v>109</v>
      </c>
      <c r="B93" s="213" t="s">
        <v>205</v>
      </c>
      <c r="C93" s="146" t="s">
        <v>45</v>
      </c>
      <c r="D93" s="435">
        <f>'DB NIBP'!L86</f>
        <v>1.4015315214439557</v>
      </c>
      <c r="E93" s="155">
        <v>2</v>
      </c>
      <c r="F93" s="141">
        <v>50</v>
      </c>
      <c r="G93" s="148">
        <f>D93/E93</f>
        <v>0.70076576072197783</v>
      </c>
      <c r="H93" s="141">
        <v>1</v>
      </c>
      <c r="I93" s="148">
        <f>G93*H93</f>
        <v>0.70076576072197783</v>
      </c>
      <c r="J93" s="149">
        <f>I93^2</f>
        <v>0.4910726514002523</v>
      </c>
      <c r="K93" s="153">
        <f>I93^4/F93</f>
        <v>4.8230469790654746E-3</v>
      </c>
      <c r="L93" s="235"/>
      <c r="M93" s="154" t="s">
        <v>109</v>
      </c>
      <c r="N93" s="213" t="s">
        <v>205</v>
      </c>
      <c r="O93" s="146" t="s">
        <v>45</v>
      </c>
      <c r="P93" s="435">
        <f>'DB NIBP'!L92</f>
        <v>1.3513682305700978</v>
      </c>
      <c r="Q93" s="155">
        <v>2</v>
      </c>
      <c r="R93" s="141">
        <v>50</v>
      </c>
      <c r="S93" s="148">
        <f>P93/Q93</f>
        <v>0.6756841152850489</v>
      </c>
      <c r="T93" s="141">
        <v>1</v>
      </c>
      <c r="U93" s="148">
        <f>S93*T93</f>
        <v>0.6756841152850489</v>
      </c>
      <c r="V93" s="149">
        <f>U93^2</f>
        <v>0.45654902364853928</v>
      </c>
      <c r="W93" s="153">
        <f>U93^4/R93</f>
        <v>4.1687402198886895E-3</v>
      </c>
    </row>
    <row r="94" spans="1:35" ht="15" customHeight="1">
      <c r="A94" s="154"/>
      <c r="B94" s="141"/>
      <c r="C94" s="141"/>
      <c r="D94" s="141"/>
      <c r="E94" s="151"/>
      <c r="F94" s="141"/>
      <c r="G94" s="152"/>
      <c r="H94" s="141"/>
      <c r="I94" s="152"/>
      <c r="J94" s="149"/>
      <c r="K94" s="153"/>
      <c r="L94" s="235"/>
      <c r="M94" s="154"/>
      <c r="N94" s="141"/>
      <c r="O94" s="141"/>
      <c r="P94" s="141"/>
      <c r="Q94" s="151"/>
      <c r="R94" s="141"/>
      <c r="S94" s="152"/>
      <c r="T94" s="141"/>
      <c r="U94" s="152"/>
      <c r="V94" s="149"/>
      <c r="W94" s="153"/>
    </row>
    <row r="95" spans="1:35" ht="15" customHeight="1">
      <c r="A95" s="10" t="s">
        <v>48</v>
      </c>
      <c r="B95" s="226"/>
      <c r="C95" s="226"/>
      <c r="D95" s="226"/>
      <c r="E95" s="227"/>
      <c r="F95" s="226"/>
      <c r="G95" s="226"/>
      <c r="H95" s="226"/>
      <c r="I95" s="226"/>
      <c r="J95" s="156">
        <f>SUM(J90:J93)</f>
        <v>0.68700060169659138</v>
      </c>
      <c r="K95" s="157">
        <f>SUM(K90:K93)</f>
        <v>1.1134819389919455E-2</v>
      </c>
      <c r="L95" s="235"/>
      <c r="M95" s="10" t="s">
        <v>48</v>
      </c>
      <c r="N95" s="226"/>
      <c r="O95" s="226"/>
      <c r="P95" s="226"/>
      <c r="Q95" s="227"/>
      <c r="R95" s="226"/>
      <c r="S95" s="226"/>
      <c r="T95" s="226"/>
      <c r="U95" s="226"/>
      <c r="V95" s="156">
        <f>SUM(V90:V93)</f>
        <v>0.65141946583219856</v>
      </c>
      <c r="W95" s="157">
        <f>SUM(W90:W93)</f>
        <v>1.0480472244431896E-2</v>
      </c>
    </row>
    <row r="96" spans="1:35" ht="15" customHeight="1">
      <c r="A96" s="158" t="s">
        <v>49</v>
      </c>
      <c r="B96" s="159"/>
      <c r="C96" s="159"/>
      <c r="D96" s="159"/>
      <c r="E96" s="160"/>
      <c r="F96" s="159"/>
      <c r="G96" s="161" t="s">
        <v>50</v>
      </c>
      <c r="H96" s="159"/>
      <c r="I96" s="159"/>
      <c r="J96" s="162">
        <f>SQRT(J95)</f>
        <v>0.82885499437271382</v>
      </c>
      <c r="K96" s="163"/>
      <c r="L96" s="235"/>
      <c r="M96" s="158" t="s">
        <v>49</v>
      </c>
      <c r="N96" s="159"/>
      <c r="O96" s="159"/>
      <c r="P96" s="159"/>
      <c r="Q96" s="160"/>
      <c r="R96" s="159"/>
      <c r="S96" s="161" t="s">
        <v>50</v>
      </c>
      <c r="T96" s="159"/>
      <c r="U96" s="159"/>
      <c r="V96" s="162">
        <f>SQRT(V95)</f>
        <v>0.80710561008594073</v>
      </c>
      <c r="W96" s="163"/>
    </row>
    <row r="97" spans="1:23" ht="15" customHeight="1">
      <c r="A97" s="10" t="s">
        <v>51</v>
      </c>
      <c r="B97" s="11"/>
      <c r="C97" s="11"/>
      <c r="D97" s="11"/>
      <c r="E97" s="12"/>
      <c r="F97" s="11"/>
      <c r="G97" s="228" t="s">
        <v>52</v>
      </c>
      <c r="H97" s="11"/>
      <c r="I97" s="11"/>
      <c r="J97" s="164">
        <f>J96^4/(K95)</f>
        <v>42.386841690379029</v>
      </c>
      <c r="K97" s="165"/>
      <c r="L97" s="235"/>
      <c r="M97" s="10" t="s">
        <v>51</v>
      </c>
      <c r="N97" s="11"/>
      <c r="O97" s="11"/>
      <c r="P97" s="11"/>
      <c r="Q97" s="12"/>
      <c r="R97" s="11"/>
      <c r="S97" s="228" t="s">
        <v>52</v>
      </c>
      <c r="T97" s="11"/>
      <c r="U97" s="11"/>
      <c r="V97" s="164">
        <f>V96^4/(W95)</f>
        <v>40.489332023235477</v>
      </c>
      <c r="W97" s="165"/>
    </row>
    <row r="98" spans="1:23" ht="15" customHeight="1">
      <c r="A98" s="158" t="s">
        <v>110</v>
      </c>
      <c r="B98" s="159"/>
      <c r="C98" s="159"/>
      <c r="D98" s="159"/>
      <c r="E98" s="160"/>
      <c r="F98" s="159"/>
      <c r="G98" s="166" t="s">
        <v>53</v>
      </c>
      <c r="H98" s="159"/>
      <c r="I98" s="159"/>
      <c r="J98" s="167">
        <f>1.95996+(2.37356/J97)+(2.818745/J97^2)+(2.546662/J97^3)+(1.761829/J97^4)+(0.245458/J97^5)+(1.000764/J97^6)</f>
        <v>2.0175604497682738</v>
      </c>
      <c r="K98" s="357">
        <f>TINV(0.05,J97)</f>
        <v>2.0180817028184461</v>
      </c>
      <c r="L98" s="235"/>
      <c r="M98" s="158" t="s">
        <v>110</v>
      </c>
      <c r="N98" s="159"/>
      <c r="O98" s="159"/>
      <c r="P98" s="159"/>
      <c r="Q98" s="160"/>
      <c r="R98" s="159"/>
      <c r="S98" s="166" t="s">
        <v>53</v>
      </c>
      <c r="T98" s="159"/>
      <c r="U98" s="159"/>
      <c r="V98" s="167">
        <f>1.95996+(2.37356/V97)+(2.818745/V97^2)+(2.546662/V97^3)+(1.761829/V97^4)+(0.245458/V97^5)+(1.000764/V97^6)</f>
        <v>2.0203402761047178</v>
      </c>
      <c r="W98" s="357">
        <f>TINV(0.05,V97)</f>
        <v>2.0210753903062737</v>
      </c>
    </row>
    <row r="99" spans="1:23" ht="15" customHeight="1">
      <c r="A99" s="168" t="s">
        <v>54</v>
      </c>
      <c r="B99" s="169"/>
      <c r="C99" s="169"/>
      <c r="D99" s="169"/>
      <c r="E99" s="170"/>
      <c r="F99" s="169"/>
      <c r="G99" s="171" t="s">
        <v>55</v>
      </c>
      <c r="H99" s="169"/>
      <c r="I99" s="169"/>
      <c r="J99" s="436">
        <f>J96*J98</f>
        <v>1.6722650552392926</v>
      </c>
      <c r="K99" s="217" t="s">
        <v>205</v>
      </c>
      <c r="L99" s="235"/>
      <c r="M99" s="168" t="s">
        <v>54</v>
      </c>
      <c r="N99" s="169"/>
      <c r="O99" s="169"/>
      <c r="P99" s="169"/>
      <c r="Q99" s="170"/>
      <c r="R99" s="169"/>
      <c r="S99" s="171" t="s">
        <v>55</v>
      </c>
      <c r="T99" s="169"/>
      <c r="U99" s="169"/>
      <c r="V99" s="436">
        <f>V96*V98</f>
        <v>1.6306279711266962</v>
      </c>
      <c r="W99" s="613" t="s">
        <v>205</v>
      </c>
    </row>
    <row r="100" spans="1:23" ht="15" customHeight="1">
      <c r="A100" s="214" t="s">
        <v>204</v>
      </c>
      <c r="B100" s="215"/>
      <c r="C100" s="236">
        <f>ID!D56</f>
        <v>150</v>
      </c>
      <c r="D100" s="217" t="s">
        <v>205</v>
      </c>
      <c r="E100" s="221"/>
      <c r="F100" s="221"/>
      <c r="G100" s="221"/>
      <c r="H100" s="221"/>
      <c r="I100" s="221"/>
      <c r="J100" s="221"/>
      <c r="K100" s="221"/>
      <c r="L100" s="235"/>
      <c r="M100" s="214" t="s">
        <v>204</v>
      </c>
      <c r="N100" s="215"/>
      <c r="O100" s="236" t="str">
        <f>'kata-kata'!X15</f>
        <v>-</v>
      </c>
      <c r="P100" s="217" t="s">
        <v>205</v>
      </c>
      <c r="Q100" s="221"/>
      <c r="R100" s="221"/>
      <c r="S100" s="221"/>
      <c r="T100" s="221"/>
      <c r="U100" s="221"/>
      <c r="V100" s="221"/>
      <c r="W100" s="222"/>
    </row>
    <row r="101" spans="1:23" ht="15" customHeight="1">
      <c r="A101" s="135" t="s">
        <v>33</v>
      </c>
      <c r="B101" s="136" t="s">
        <v>34</v>
      </c>
      <c r="C101" s="137" t="s">
        <v>35</v>
      </c>
      <c r="D101" s="136" t="s">
        <v>36</v>
      </c>
      <c r="E101" s="138" t="s">
        <v>37</v>
      </c>
      <c r="F101" s="136" t="s">
        <v>38</v>
      </c>
      <c r="G101" s="137" t="s">
        <v>39</v>
      </c>
      <c r="H101" s="136" t="s">
        <v>40</v>
      </c>
      <c r="I101" s="137" t="s">
        <v>41</v>
      </c>
      <c r="J101" s="136" t="s">
        <v>42</v>
      </c>
      <c r="K101" s="139" t="s">
        <v>43</v>
      </c>
      <c r="L101" s="235"/>
      <c r="M101" s="135" t="s">
        <v>33</v>
      </c>
      <c r="N101" s="136" t="s">
        <v>34</v>
      </c>
      <c r="O101" s="137" t="s">
        <v>35</v>
      </c>
      <c r="P101" s="136" t="s">
        <v>36</v>
      </c>
      <c r="Q101" s="138" t="s">
        <v>37</v>
      </c>
      <c r="R101" s="136" t="s">
        <v>38</v>
      </c>
      <c r="S101" s="137" t="s">
        <v>39</v>
      </c>
      <c r="T101" s="136" t="s">
        <v>40</v>
      </c>
      <c r="U101" s="137" t="s">
        <v>41</v>
      </c>
      <c r="V101" s="136" t="s">
        <v>42</v>
      </c>
      <c r="W101" s="139" t="s">
        <v>43</v>
      </c>
    </row>
    <row r="102" spans="1:23" ht="15" customHeight="1">
      <c r="A102" s="140" t="s">
        <v>44</v>
      </c>
      <c r="B102" s="213" t="s">
        <v>205</v>
      </c>
      <c r="C102" s="223" t="s">
        <v>45</v>
      </c>
      <c r="D102" s="432">
        <f>'DB NIBP'!M87</f>
        <v>0.57735026918962584</v>
      </c>
      <c r="E102" s="224">
        <f>SQRT(3)</f>
        <v>1.7320508075688772</v>
      </c>
      <c r="F102" s="141">
        <v>2</v>
      </c>
      <c r="G102" s="225">
        <f>D102/E102</f>
        <v>0.33333333333333337</v>
      </c>
      <c r="H102" s="142">
        <v>1</v>
      </c>
      <c r="I102" s="225">
        <f>G102*H102</f>
        <v>0.33333333333333337</v>
      </c>
      <c r="J102" s="143">
        <f>I102^2</f>
        <v>0.11111111111111113</v>
      </c>
      <c r="K102" s="144">
        <f>I102^4/F102</f>
        <v>6.1728395061728418E-3</v>
      </c>
      <c r="L102" s="235"/>
      <c r="M102" s="140" t="s">
        <v>44</v>
      </c>
      <c r="N102" s="213" t="s">
        <v>205</v>
      </c>
      <c r="O102" s="223" t="s">
        <v>45</v>
      </c>
      <c r="P102" s="432">
        <f>'DB NIBP'!M93</f>
        <v>0</v>
      </c>
      <c r="Q102" s="224">
        <f>SQRT(3)</f>
        <v>1.7320508075688772</v>
      </c>
      <c r="R102" s="141">
        <v>2</v>
      </c>
      <c r="S102" s="225">
        <f>P102/Q102</f>
        <v>0</v>
      </c>
      <c r="T102" s="142">
        <v>1</v>
      </c>
      <c r="U102" s="225">
        <f>S102*T102</f>
        <v>0</v>
      </c>
      <c r="V102" s="143">
        <f>U102^2</f>
        <v>0</v>
      </c>
      <c r="W102" s="144">
        <f>U102^4/R102</f>
        <v>0</v>
      </c>
    </row>
    <row r="103" spans="1:23" ht="15" customHeight="1">
      <c r="A103" s="145" t="s">
        <v>46</v>
      </c>
      <c r="B103" s="213" t="s">
        <v>205</v>
      </c>
      <c r="C103" s="146" t="s">
        <v>47</v>
      </c>
      <c r="D103" s="433">
        <f>0.5*1</f>
        <v>0.5</v>
      </c>
      <c r="E103" s="147">
        <f>SQRT(3)</f>
        <v>1.7320508075688772</v>
      </c>
      <c r="F103" s="141">
        <v>50</v>
      </c>
      <c r="G103" s="148">
        <f>D103/E103</f>
        <v>0.28867513459481292</v>
      </c>
      <c r="H103" s="141">
        <v>1</v>
      </c>
      <c r="I103" s="148">
        <f>G103*H103</f>
        <v>0.28867513459481292</v>
      </c>
      <c r="J103" s="149">
        <f>I103^2</f>
        <v>8.3333333333333356E-2</v>
      </c>
      <c r="K103" s="150">
        <f>I103^4/F103</f>
        <v>1.3888888888888897E-4</v>
      </c>
      <c r="L103" s="235"/>
      <c r="M103" s="145" t="s">
        <v>46</v>
      </c>
      <c r="N103" s="213" t="s">
        <v>205</v>
      </c>
      <c r="O103" s="146" t="s">
        <v>47</v>
      </c>
      <c r="P103" s="433">
        <f>0.5*1</f>
        <v>0.5</v>
      </c>
      <c r="Q103" s="147">
        <f>SQRT(3)</f>
        <v>1.7320508075688772</v>
      </c>
      <c r="R103" s="141">
        <v>50</v>
      </c>
      <c r="S103" s="148">
        <f>P103/Q103</f>
        <v>0.28867513459481292</v>
      </c>
      <c r="T103" s="141">
        <v>1</v>
      </c>
      <c r="U103" s="148">
        <f>S103*T103</f>
        <v>0.28867513459481292</v>
      </c>
      <c r="V103" s="149">
        <f>U103^2</f>
        <v>8.3333333333333356E-2</v>
      </c>
      <c r="W103" s="150">
        <f>U103^4/R103</f>
        <v>1.3888888888888897E-4</v>
      </c>
    </row>
    <row r="104" spans="1:23" ht="15" customHeight="1">
      <c r="A104" s="140" t="s">
        <v>108</v>
      </c>
      <c r="B104" s="213" t="s">
        <v>205</v>
      </c>
      <c r="C104" s="141" t="s">
        <v>47</v>
      </c>
      <c r="D104" s="434">
        <f>'DB NIBP'!K87</f>
        <v>0.14698708061533672</v>
      </c>
      <c r="E104" s="151">
        <f>SQRT(3)</f>
        <v>1.7320508075688772</v>
      </c>
      <c r="F104" s="141">
        <v>50</v>
      </c>
      <c r="G104" s="152">
        <f>D104/E104</f>
        <v>8.4863030560661884E-2</v>
      </c>
      <c r="H104" s="141">
        <v>1</v>
      </c>
      <c r="I104" s="152">
        <f>G104*H104</f>
        <v>8.4863030560661884E-2</v>
      </c>
      <c r="J104" s="149">
        <f>I104^2</f>
        <v>7.2017339559398326E-3</v>
      </c>
      <c r="K104" s="153">
        <f>I104^4/F104</f>
        <v>1.0372994394427358E-6</v>
      </c>
      <c r="L104" s="235"/>
      <c r="M104" s="140" t="s">
        <v>108</v>
      </c>
      <c r="N104" s="213" t="s">
        <v>205</v>
      </c>
      <c r="O104" s="141" t="s">
        <v>47</v>
      </c>
      <c r="P104" s="434">
        <f>'DB NIBP'!K93</f>
        <v>0</v>
      </c>
      <c r="Q104" s="151">
        <f>SQRT(3)</f>
        <v>1.7320508075688772</v>
      </c>
      <c r="R104" s="141">
        <v>50</v>
      </c>
      <c r="S104" s="152">
        <f>P104/Q104</f>
        <v>0</v>
      </c>
      <c r="T104" s="141">
        <v>1</v>
      </c>
      <c r="U104" s="152">
        <f>S104*T104</f>
        <v>0</v>
      </c>
      <c r="V104" s="149">
        <f>U104^2</f>
        <v>0</v>
      </c>
      <c r="W104" s="153">
        <f>U104^4/R104</f>
        <v>0</v>
      </c>
    </row>
    <row r="105" spans="1:23" ht="15" customHeight="1">
      <c r="A105" s="154" t="s">
        <v>109</v>
      </c>
      <c r="B105" s="213" t="s">
        <v>205</v>
      </c>
      <c r="C105" s="146" t="s">
        <v>45</v>
      </c>
      <c r="D105" s="435">
        <f>'DB NIBP'!L87</f>
        <v>1.5315844977835873</v>
      </c>
      <c r="E105" s="155">
        <v>2</v>
      </c>
      <c r="F105" s="141">
        <v>50</v>
      </c>
      <c r="G105" s="148">
        <f>D105/E105</f>
        <v>0.76579224889179365</v>
      </c>
      <c r="H105" s="141">
        <v>1</v>
      </c>
      <c r="I105" s="148">
        <f>G105*H105</f>
        <v>0.76579224889179365</v>
      </c>
      <c r="J105" s="149">
        <f>I105^2</f>
        <v>0.58643776846275086</v>
      </c>
      <c r="K105" s="153">
        <f>I105^4/F105</f>
        <v>6.8781851255914194E-3</v>
      </c>
      <c r="L105" s="235"/>
      <c r="M105" s="154" t="s">
        <v>109</v>
      </c>
      <c r="N105" s="213" t="s">
        <v>205</v>
      </c>
      <c r="O105" s="146" t="s">
        <v>45</v>
      </c>
      <c r="P105" s="435">
        <f>'DB NIBP'!L93</f>
        <v>0</v>
      </c>
      <c r="Q105" s="155">
        <v>2</v>
      </c>
      <c r="R105" s="141">
        <v>50</v>
      </c>
      <c r="S105" s="148">
        <f>P105/Q105</f>
        <v>0</v>
      </c>
      <c r="T105" s="141">
        <v>1</v>
      </c>
      <c r="U105" s="148">
        <f>S105*T105</f>
        <v>0</v>
      </c>
      <c r="V105" s="149">
        <f>U105^2</f>
        <v>0</v>
      </c>
      <c r="W105" s="153">
        <f>U105^4/R105</f>
        <v>0</v>
      </c>
    </row>
    <row r="106" spans="1:23" ht="15" customHeight="1">
      <c r="A106" s="154"/>
      <c r="B106" s="141"/>
      <c r="C106" s="141"/>
      <c r="D106" s="141"/>
      <c r="E106" s="151"/>
      <c r="F106" s="141"/>
      <c r="G106" s="152"/>
      <c r="H106" s="141"/>
      <c r="I106" s="152"/>
      <c r="J106" s="149"/>
      <c r="K106" s="153"/>
      <c r="L106" s="235"/>
      <c r="M106" s="154"/>
      <c r="N106" s="141"/>
      <c r="O106" s="141"/>
      <c r="P106" s="141"/>
      <c r="Q106" s="151"/>
      <c r="R106" s="141"/>
      <c r="S106" s="152"/>
      <c r="T106" s="141"/>
      <c r="U106" s="152"/>
      <c r="V106" s="149"/>
      <c r="W106" s="153"/>
    </row>
    <row r="107" spans="1:23" ht="15" customHeight="1">
      <c r="A107" s="10" t="s">
        <v>48</v>
      </c>
      <c r="B107" s="226"/>
      <c r="C107" s="226"/>
      <c r="D107" s="226"/>
      <c r="E107" s="227"/>
      <c r="F107" s="226"/>
      <c r="G107" s="226"/>
      <c r="H107" s="226"/>
      <c r="I107" s="226"/>
      <c r="J107" s="156">
        <f>SUM(J102:J105)</f>
        <v>0.78808394686313521</v>
      </c>
      <c r="K107" s="157">
        <f>SUM(K102:K105)</f>
        <v>1.3190950820092593E-2</v>
      </c>
      <c r="L107" s="235"/>
      <c r="M107" s="10" t="s">
        <v>48</v>
      </c>
      <c r="N107" s="226"/>
      <c r="O107" s="226"/>
      <c r="P107" s="226"/>
      <c r="Q107" s="227"/>
      <c r="R107" s="226"/>
      <c r="S107" s="226"/>
      <c r="T107" s="226"/>
      <c r="U107" s="226"/>
      <c r="V107" s="156">
        <f>SUM(V102:V105)</f>
        <v>8.3333333333333356E-2</v>
      </c>
      <c r="W107" s="157">
        <f>SUM(W102:W105)</f>
        <v>1.3888888888888897E-4</v>
      </c>
    </row>
    <row r="108" spans="1:23" ht="15" customHeight="1">
      <c r="A108" s="158" t="s">
        <v>49</v>
      </c>
      <c r="B108" s="159"/>
      <c r="C108" s="159"/>
      <c r="D108" s="159"/>
      <c r="E108" s="160"/>
      <c r="F108" s="159"/>
      <c r="G108" s="161" t="s">
        <v>50</v>
      </c>
      <c r="H108" s="159"/>
      <c r="I108" s="159"/>
      <c r="J108" s="162">
        <f>SQRT(J107)</f>
        <v>0.8877409232783714</v>
      </c>
      <c r="K108" s="163"/>
      <c r="L108" s="235"/>
      <c r="M108" s="158" t="s">
        <v>49</v>
      </c>
      <c r="N108" s="159"/>
      <c r="O108" s="159"/>
      <c r="P108" s="159"/>
      <c r="Q108" s="160"/>
      <c r="R108" s="159"/>
      <c r="S108" s="161" t="s">
        <v>50</v>
      </c>
      <c r="T108" s="159"/>
      <c r="U108" s="159"/>
      <c r="V108" s="162">
        <f>SQRT(V107)</f>
        <v>0.28867513459481292</v>
      </c>
      <c r="W108" s="163"/>
    </row>
    <row r="109" spans="1:23" ht="15" customHeight="1">
      <c r="A109" s="10" t="s">
        <v>51</v>
      </c>
      <c r="B109" s="11"/>
      <c r="C109" s="11"/>
      <c r="D109" s="11"/>
      <c r="E109" s="12"/>
      <c r="F109" s="11"/>
      <c r="G109" s="228" t="s">
        <v>52</v>
      </c>
      <c r="H109" s="11"/>
      <c r="I109" s="11"/>
      <c r="J109" s="164">
        <f>J108^4/(K107)</f>
        <v>47.083513218573088</v>
      </c>
      <c r="K109" s="165"/>
      <c r="L109" s="235"/>
      <c r="M109" s="10" t="s">
        <v>51</v>
      </c>
      <c r="N109" s="11"/>
      <c r="O109" s="11"/>
      <c r="P109" s="11"/>
      <c r="Q109" s="12"/>
      <c r="R109" s="11"/>
      <c r="S109" s="228" t="s">
        <v>52</v>
      </c>
      <c r="T109" s="11"/>
      <c r="U109" s="11"/>
      <c r="V109" s="164">
        <f>V108^4/(W107)</f>
        <v>50</v>
      </c>
      <c r="W109" s="165"/>
    </row>
    <row r="110" spans="1:23" ht="15" customHeight="1">
      <c r="A110" s="158" t="s">
        <v>110</v>
      </c>
      <c r="B110" s="159"/>
      <c r="C110" s="159"/>
      <c r="D110" s="159"/>
      <c r="E110" s="160"/>
      <c r="F110" s="159"/>
      <c r="G110" s="166" t="s">
        <v>53</v>
      </c>
      <c r="H110" s="159"/>
      <c r="I110" s="159"/>
      <c r="J110" s="167">
        <f>1.95996+(2.37356/J109)+(2.818745/J109^2)+(2.546662/J109^3)+(1.761829/J109^4)+(0.245458/J109^5)+(1.000764/J109^6)</f>
        <v>2.01166796442942</v>
      </c>
      <c r="K110" s="357">
        <f>TINV(0.05,J109)</f>
        <v>2.0117405137297668</v>
      </c>
      <c r="L110" s="235"/>
      <c r="M110" s="158" t="s">
        <v>110</v>
      </c>
      <c r="N110" s="159"/>
      <c r="O110" s="159"/>
      <c r="P110" s="159"/>
      <c r="Q110" s="160"/>
      <c r="R110" s="159"/>
      <c r="S110" s="166" t="s">
        <v>53</v>
      </c>
      <c r="T110" s="159"/>
      <c r="U110" s="159"/>
      <c r="V110" s="167">
        <f>1.95996+(2.37356/V109)+(2.818745/V109^2)+(2.546662/V109^3)+(1.761829/V109^4)+(0.245458/V109^5)+(1.000764/V109^6)</f>
        <v>2.008579354038154</v>
      </c>
      <c r="W110" s="357">
        <f>TINV(0.05,V109)</f>
        <v>2.0085591121007611</v>
      </c>
    </row>
    <row r="111" spans="1:23" ht="15" customHeight="1">
      <c r="A111" s="168" t="s">
        <v>54</v>
      </c>
      <c r="B111" s="169"/>
      <c r="C111" s="169"/>
      <c r="D111" s="169"/>
      <c r="E111" s="170"/>
      <c r="F111" s="169"/>
      <c r="G111" s="171" t="s">
        <v>55</v>
      </c>
      <c r="H111" s="169"/>
      <c r="I111" s="169"/>
      <c r="J111" s="436">
        <f>J108*J110</f>
        <v>1.7858399760720953</v>
      </c>
      <c r="K111" s="217" t="s">
        <v>205</v>
      </c>
      <c r="L111" s="235"/>
      <c r="M111" s="168" t="s">
        <v>54</v>
      </c>
      <c r="N111" s="169"/>
      <c r="O111" s="169"/>
      <c r="P111" s="169"/>
      <c r="Q111" s="170"/>
      <c r="R111" s="169"/>
      <c r="S111" s="171" t="s">
        <v>55</v>
      </c>
      <c r="T111" s="169"/>
      <c r="U111" s="169"/>
      <c r="V111" s="436">
        <f>V108*V110</f>
        <v>0.57982691537132647</v>
      </c>
      <c r="W111" s="613" t="s">
        <v>205</v>
      </c>
    </row>
    <row r="112" spans="1:23" ht="15" customHeight="1">
      <c r="A112" s="214" t="s">
        <v>147</v>
      </c>
      <c r="B112" s="215"/>
      <c r="C112" s="236">
        <f>ID!D57</f>
        <v>100</v>
      </c>
      <c r="D112" s="217" t="s">
        <v>205</v>
      </c>
      <c r="E112" s="221"/>
      <c r="F112" s="221"/>
      <c r="G112" s="221"/>
      <c r="H112" s="221"/>
      <c r="I112" s="221"/>
      <c r="J112" s="221"/>
      <c r="K112" s="221"/>
      <c r="L112" s="235"/>
      <c r="M112" s="214" t="s">
        <v>147</v>
      </c>
      <c r="N112" s="215"/>
      <c r="O112" s="236" t="str">
        <f>'kata-kata'!X16</f>
        <v>-</v>
      </c>
      <c r="P112" s="217" t="s">
        <v>205</v>
      </c>
      <c r="Q112" s="221"/>
      <c r="R112" s="221"/>
      <c r="S112" s="221"/>
      <c r="T112" s="221"/>
      <c r="U112" s="221"/>
      <c r="V112" s="221"/>
      <c r="W112" s="222"/>
    </row>
    <row r="113" spans="1:23" ht="15" customHeight="1">
      <c r="A113" s="135" t="s">
        <v>33</v>
      </c>
      <c r="B113" s="136" t="s">
        <v>34</v>
      </c>
      <c r="C113" s="137" t="s">
        <v>35</v>
      </c>
      <c r="D113" s="136" t="s">
        <v>36</v>
      </c>
      <c r="E113" s="138" t="s">
        <v>37</v>
      </c>
      <c r="F113" s="136" t="s">
        <v>38</v>
      </c>
      <c r="G113" s="137" t="s">
        <v>39</v>
      </c>
      <c r="H113" s="136" t="s">
        <v>40</v>
      </c>
      <c r="I113" s="137" t="s">
        <v>41</v>
      </c>
      <c r="J113" s="136" t="s">
        <v>42</v>
      </c>
      <c r="K113" s="139" t="s">
        <v>43</v>
      </c>
      <c r="L113" s="235"/>
      <c r="M113" s="135" t="s">
        <v>33</v>
      </c>
      <c r="N113" s="136" t="s">
        <v>34</v>
      </c>
      <c r="O113" s="137" t="s">
        <v>35</v>
      </c>
      <c r="P113" s="136" t="s">
        <v>36</v>
      </c>
      <c r="Q113" s="138" t="s">
        <v>37</v>
      </c>
      <c r="R113" s="136" t="s">
        <v>38</v>
      </c>
      <c r="S113" s="137" t="s">
        <v>39</v>
      </c>
      <c r="T113" s="136" t="s">
        <v>40</v>
      </c>
      <c r="U113" s="137" t="s">
        <v>41</v>
      </c>
      <c r="V113" s="136" t="s">
        <v>42</v>
      </c>
      <c r="W113" s="139" t="s">
        <v>43</v>
      </c>
    </row>
    <row r="114" spans="1:23" ht="15" customHeight="1">
      <c r="A114" s="140" t="s">
        <v>44</v>
      </c>
      <c r="B114" s="213" t="s">
        <v>205</v>
      </c>
      <c r="C114" s="223" t="s">
        <v>45</v>
      </c>
      <c r="D114" s="432">
        <f>'DB NIBP'!M88</f>
        <v>0.57735026918962573</v>
      </c>
      <c r="E114" s="224">
        <f>SQRT(3)</f>
        <v>1.7320508075688772</v>
      </c>
      <c r="F114" s="141">
        <v>2</v>
      </c>
      <c r="G114" s="225">
        <f>D114/E114</f>
        <v>0.33333333333333331</v>
      </c>
      <c r="H114" s="142">
        <v>1</v>
      </c>
      <c r="I114" s="225">
        <f>G114*H114</f>
        <v>0.33333333333333331</v>
      </c>
      <c r="J114" s="143">
        <f>I114^2</f>
        <v>0.1111111111111111</v>
      </c>
      <c r="K114" s="144">
        <f>I114^4/F114</f>
        <v>6.1728395061728392E-3</v>
      </c>
      <c r="L114" s="235"/>
      <c r="M114" s="140" t="s">
        <v>44</v>
      </c>
      <c r="N114" s="213" t="s">
        <v>205</v>
      </c>
      <c r="O114" s="223" t="s">
        <v>45</v>
      </c>
      <c r="P114" s="432">
        <f>'DB NIBP'!M94</f>
        <v>0</v>
      </c>
      <c r="Q114" s="224">
        <f>SQRT(3)</f>
        <v>1.7320508075688772</v>
      </c>
      <c r="R114" s="141">
        <v>2</v>
      </c>
      <c r="S114" s="225">
        <f>P114/Q114</f>
        <v>0</v>
      </c>
      <c r="T114" s="142">
        <v>1</v>
      </c>
      <c r="U114" s="225">
        <f>S114*T114</f>
        <v>0</v>
      </c>
      <c r="V114" s="143">
        <f>U114^2</f>
        <v>0</v>
      </c>
      <c r="W114" s="144">
        <f>U114^4/R114</f>
        <v>0</v>
      </c>
    </row>
    <row r="115" spans="1:23" ht="15" customHeight="1">
      <c r="A115" s="145" t="s">
        <v>46</v>
      </c>
      <c r="B115" s="213" t="s">
        <v>205</v>
      </c>
      <c r="C115" s="146" t="s">
        <v>47</v>
      </c>
      <c r="D115" s="433">
        <f>0.5*1</f>
        <v>0.5</v>
      </c>
      <c r="E115" s="147">
        <f>SQRT(3)</f>
        <v>1.7320508075688772</v>
      </c>
      <c r="F115" s="141">
        <v>50</v>
      </c>
      <c r="G115" s="148">
        <f>D115/E115</f>
        <v>0.28867513459481292</v>
      </c>
      <c r="H115" s="141">
        <v>1</v>
      </c>
      <c r="I115" s="148">
        <f>G115*H115</f>
        <v>0.28867513459481292</v>
      </c>
      <c r="J115" s="149">
        <f>I115^2</f>
        <v>8.3333333333333356E-2</v>
      </c>
      <c r="K115" s="150">
        <f>I115^4/F115</f>
        <v>1.3888888888888897E-4</v>
      </c>
      <c r="L115" s="235"/>
      <c r="M115" s="145" t="s">
        <v>46</v>
      </c>
      <c r="N115" s="213" t="s">
        <v>205</v>
      </c>
      <c r="O115" s="146" t="s">
        <v>47</v>
      </c>
      <c r="P115" s="433">
        <f>0.5*1</f>
        <v>0.5</v>
      </c>
      <c r="Q115" s="147">
        <f>SQRT(3)</f>
        <v>1.7320508075688772</v>
      </c>
      <c r="R115" s="141">
        <v>50</v>
      </c>
      <c r="S115" s="148">
        <f>P115/Q115</f>
        <v>0.28867513459481292</v>
      </c>
      <c r="T115" s="141">
        <v>1</v>
      </c>
      <c r="U115" s="148">
        <f>S115*T115</f>
        <v>0.28867513459481292</v>
      </c>
      <c r="V115" s="149">
        <f>U115^2</f>
        <v>8.3333333333333356E-2</v>
      </c>
      <c r="W115" s="150">
        <f>U115^4/R115</f>
        <v>1.3888888888888897E-4</v>
      </c>
    </row>
    <row r="116" spans="1:23" ht="15" customHeight="1">
      <c r="A116" s="140" t="s">
        <v>108</v>
      </c>
      <c r="B116" s="213" t="s">
        <v>205</v>
      </c>
      <c r="C116" s="141" t="s">
        <v>47</v>
      </c>
      <c r="D116" s="434">
        <f>'DB NIBP'!K88</f>
        <v>8.964787978417027E-2</v>
      </c>
      <c r="E116" s="151">
        <f>SQRT(3)</f>
        <v>1.7320508075688772</v>
      </c>
      <c r="F116" s="141">
        <v>50</v>
      </c>
      <c r="G116" s="152">
        <f>D116/E116</f>
        <v>5.1758227525669921E-2</v>
      </c>
      <c r="H116" s="141">
        <v>1</v>
      </c>
      <c r="I116" s="152">
        <f>G116*H116</f>
        <v>5.1758227525669921E-2</v>
      </c>
      <c r="J116" s="149">
        <f>I116^2</f>
        <v>2.6789141165990153E-3</v>
      </c>
      <c r="K116" s="153">
        <f>I116^4/F116</f>
        <v>1.4353161688226965E-7</v>
      </c>
      <c r="L116" s="235"/>
      <c r="M116" s="140" t="s">
        <v>108</v>
      </c>
      <c r="N116" s="213" t="s">
        <v>205</v>
      </c>
      <c r="O116" s="141" t="s">
        <v>47</v>
      </c>
      <c r="P116" s="434">
        <f>'DB NIBP'!K94</f>
        <v>0</v>
      </c>
      <c r="Q116" s="151">
        <f>SQRT(3)</f>
        <v>1.7320508075688772</v>
      </c>
      <c r="R116" s="141">
        <v>50</v>
      </c>
      <c r="S116" s="152">
        <f>P116/Q116</f>
        <v>0</v>
      </c>
      <c r="T116" s="141">
        <v>1</v>
      </c>
      <c r="U116" s="152">
        <f>S116*T116</f>
        <v>0</v>
      </c>
      <c r="V116" s="149">
        <f>U116^2</f>
        <v>0</v>
      </c>
      <c r="W116" s="153">
        <f>U116^4/R116</f>
        <v>0</v>
      </c>
    </row>
    <row r="117" spans="1:23" ht="15" customHeight="1">
      <c r="A117" s="154" t="s">
        <v>109</v>
      </c>
      <c r="B117" s="213" t="s">
        <v>205</v>
      </c>
      <c r="C117" s="146" t="s">
        <v>45</v>
      </c>
      <c r="D117" s="435">
        <f>'DB NIBP'!L88</f>
        <v>1.4386895146838505</v>
      </c>
      <c r="E117" s="155">
        <v>2</v>
      </c>
      <c r="F117" s="141">
        <v>50</v>
      </c>
      <c r="G117" s="148">
        <f>D117/E117</f>
        <v>0.71934475734192527</v>
      </c>
      <c r="H117" s="141">
        <v>1</v>
      </c>
      <c r="I117" s="148">
        <f>G117*H117</f>
        <v>0.71934475734192527</v>
      </c>
      <c r="J117" s="149">
        <f>I117^2</f>
        <v>0.51745687991531331</v>
      </c>
      <c r="K117" s="153">
        <f>I117^4/F117</f>
        <v>5.3552324514338188E-3</v>
      </c>
      <c r="L117" s="219"/>
      <c r="M117" s="154" t="s">
        <v>109</v>
      </c>
      <c r="N117" s="213" t="s">
        <v>205</v>
      </c>
      <c r="O117" s="146" t="s">
        <v>45</v>
      </c>
      <c r="P117" s="435">
        <f>'DB NIBP'!L94</f>
        <v>0</v>
      </c>
      <c r="Q117" s="155">
        <v>2</v>
      </c>
      <c r="R117" s="141">
        <v>50</v>
      </c>
      <c r="S117" s="148">
        <f>P117/Q117</f>
        <v>0</v>
      </c>
      <c r="T117" s="141">
        <v>1</v>
      </c>
      <c r="U117" s="148">
        <f>S117*T117</f>
        <v>0</v>
      </c>
      <c r="V117" s="149">
        <f>U117^2</f>
        <v>0</v>
      </c>
      <c r="W117" s="153">
        <f>U117^4/R117</f>
        <v>0</v>
      </c>
    </row>
    <row r="118" spans="1:23" ht="15" customHeight="1">
      <c r="A118" s="154"/>
      <c r="B118" s="141"/>
      <c r="C118" s="141"/>
      <c r="D118" s="141"/>
      <c r="E118" s="151"/>
      <c r="F118" s="141"/>
      <c r="G118" s="152"/>
      <c r="H118" s="141"/>
      <c r="I118" s="152"/>
      <c r="J118" s="149"/>
      <c r="K118" s="153"/>
      <c r="L118" s="219"/>
      <c r="M118" s="154"/>
      <c r="N118" s="141"/>
      <c r="O118" s="141"/>
      <c r="P118" s="141"/>
      <c r="Q118" s="151"/>
      <c r="R118" s="141"/>
      <c r="S118" s="152"/>
      <c r="T118" s="141"/>
      <c r="U118" s="152"/>
      <c r="V118" s="149"/>
      <c r="W118" s="153"/>
    </row>
    <row r="119" spans="1:23" ht="15" customHeight="1">
      <c r="A119" s="10" t="s">
        <v>48</v>
      </c>
      <c r="B119" s="226"/>
      <c r="C119" s="226"/>
      <c r="D119" s="226"/>
      <c r="E119" s="227"/>
      <c r="F119" s="226"/>
      <c r="G119" s="226"/>
      <c r="H119" s="226"/>
      <c r="I119" s="226"/>
      <c r="J119" s="156">
        <f>SUM(J114:J117)</f>
        <v>0.71458023847635677</v>
      </c>
      <c r="K119" s="157">
        <f>SUM(K114:K117)</f>
        <v>1.166710437811243E-2</v>
      </c>
      <c r="L119" s="219"/>
      <c r="M119" s="10" t="s">
        <v>48</v>
      </c>
      <c r="N119" s="226"/>
      <c r="O119" s="226"/>
      <c r="P119" s="226"/>
      <c r="Q119" s="227"/>
      <c r="R119" s="226"/>
      <c r="S119" s="226"/>
      <c r="T119" s="226"/>
      <c r="U119" s="226"/>
      <c r="V119" s="156">
        <f>SUM(V114:V117)</f>
        <v>8.3333333333333356E-2</v>
      </c>
      <c r="W119" s="157">
        <f>SUM(W114:W117)</f>
        <v>1.3888888888888897E-4</v>
      </c>
    </row>
    <row r="120" spans="1:23" ht="15" customHeight="1">
      <c r="A120" s="158" t="s">
        <v>49</v>
      </c>
      <c r="B120" s="159"/>
      <c r="C120" s="159"/>
      <c r="D120" s="159"/>
      <c r="E120" s="160"/>
      <c r="F120" s="159"/>
      <c r="G120" s="161" t="s">
        <v>50</v>
      </c>
      <c r="H120" s="159"/>
      <c r="I120" s="159"/>
      <c r="J120" s="162">
        <f>SQRT(J119)</f>
        <v>0.84532847963164992</v>
      </c>
      <c r="K120" s="163"/>
      <c r="L120" s="219"/>
      <c r="M120" s="158" t="s">
        <v>49</v>
      </c>
      <c r="N120" s="159"/>
      <c r="O120" s="159"/>
      <c r="P120" s="159"/>
      <c r="Q120" s="160"/>
      <c r="R120" s="159"/>
      <c r="S120" s="161" t="s">
        <v>50</v>
      </c>
      <c r="T120" s="159"/>
      <c r="U120" s="159"/>
      <c r="V120" s="162">
        <f>SQRT(V119)</f>
        <v>0.28867513459481292</v>
      </c>
      <c r="W120" s="163"/>
    </row>
    <row r="121" spans="1:23" ht="15" customHeight="1">
      <c r="A121" s="10" t="s">
        <v>51</v>
      </c>
      <c r="B121" s="11"/>
      <c r="C121" s="11"/>
      <c r="D121" s="11"/>
      <c r="E121" s="12"/>
      <c r="F121" s="11"/>
      <c r="G121" s="228" t="s">
        <v>52</v>
      </c>
      <c r="H121" s="11"/>
      <c r="I121" s="11"/>
      <c r="J121" s="164">
        <f>J120^4/(K119)</f>
        <v>43.766208021491856</v>
      </c>
      <c r="K121" s="165"/>
      <c r="L121" s="219"/>
      <c r="M121" s="10" t="s">
        <v>51</v>
      </c>
      <c r="N121" s="11"/>
      <c r="O121" s="11"/>
      <c r="P121" s="11"/>
      <c r="Q121" s="12"/>
      <c r="R121" s="11"/>
      <c r="S121" s="228" t="s">
        <v>52</v>
      </c>
      <c r="T121" s="11"/>
      <c r="U121" s="11"/>
      <c r="V121" s="164">
        <f>V120^4/(W119)</f>
        <v>50</v>
      </c>
      <c r="W121" s="165"/>
    </row>
    <row r="122" spans="1:23" ht="15" customHeight="1">
      <c r="A122" s="158" t="s">
        <v>110</v>
      </c>
      <c r="B122" s="159"/>
      <c r="C122" s="159"/>
      <c r="D122" s="159"/>
      <c r="E122" s="160"/>
      <c r="F122" s="159"/>
      <c r="G122" s="166" t="s">
        <v>53</v>
      </c>
      <c r="H122" s="159"/>
      <c r="I122" s="159"/>
      <c r="J122" s="167">
        <f>1.95996+(2.37356/J121)+(2.818745/J121^2)+(2.546662/J121^3)+(1.761829/J121^4)+(0.245458/J121^5)+(1.000764/J121^6)</f>
        <v>2.015695127902998</v>
      </c>
      <c r="K122" s="357">
        <f>TINV(0.05,J121)</f>
        <v>2.0166921992278248</v>
      </c>
      <c r="L122" s="219"/>
      <c r="M122" s="158" t="s">
        <v>110</v>
      </c>
      <c r="N122" s="159"/>
      <c r="O122" s="159"/>
      <c r="P122" s="159"/>
      <c r="Q122" s="160"/>
      <c r="R122" s="159"/>
      <c r="S122" s="166" t="s">
        <v>53</v>
      </c>
      <c r="T122" s="159"/>
      <c r="U122" s="159"/>
      <c r="V122" s="167">
        <f>1.95996+(2.37356/V121)+(2.818745/V121^2)+(2.546662/V121^3)+(1.761829/V121^4)+(0.245458/V121^5)+(1.000764/V121^6)</f>
        <v>2.008579354038154</v>
      </c>
      <c r="W122" s="357">
        <f>TINV(0.05,V121)</f>
        <v>2.0085591121007611</v>
      </c>
    </row>
    <row r="123" spans="1:23" ht="15" customHeight="1">
      <c r="A123" s="168" t="s">
        <v>54</v>
      </c>
      <c r="B123" s="169"/>
      <c r="C123" s="169"/>
      <c r="D123" s="169"/>
      <c r="E123" s="170"/>
      <c r="F123" s="169"/>
      <c r="G123" s="171" t="s">
        <v>55</v>
      </c>
      <c r="H123" s="169"/>
      <c r="I123" s="169"/>
      <c r="J123" s="436">
        <f>J120*J122</f>
        <v>1.7039244978711654</v>
      </c>
      <c r="K123" s="217" t="s">
        <v>205</v>
      </c>
      <c r="L123" s="219"/>
      <c r="M123" s="158" t="s">
        <v>54</v>
      </c>
      <c r="N123" s="159"/>
      <c r="O123" s="159"/>
      <c r="P123" s="159"/>
      <c r="Q123" s="160"/>
      <c r="R123" s="159"/>
      <c r="S123" s="166" t="s">
        <v>55</v>
      </c>
      <c r="T123" s="159"/>
      <c r="U123" s="159"/>
      <c r="V123" s="532">
        <f>V120*V122</f>
        <v>0.57982691537132647</v>
      </c>
      <c r="W123" s="613" t="s">
        <v>205</v>
      </c>
    </row>
    <row r="124" spans="1:23" ht="15" customHeight="1" thickBot="1">
      <c r="A124" s="214" t="s">
        <v>204</v>
      </c>
      <c r="B124" s="215"/>
      <c r="C124" s="236">
        <f>ID!D58</f>
        <v>200</v>
      </c>
      <c r="D124" s="217" t="s">
        <v>205</v>
      </c>
      <c r="E124" s="221"/>
      <c r="F124" s="221"/>
      <c r="G124" s="221"/>
      <c r="H124" s="221"/>
      <c r="I124" s="221"/>
      <c r="J124" s="221"/>
      <c r="K124" s="221"/>
      <c r="L124" s="219"/>
      <c r="M124" s="527" t="s">
        <v>204</v>
      </c>
      <c r="N124" s="528"/>
      <c r="O124" s="529">
        <f>'kata-kata'!AB17</f>
        <v>0</v>
      </c>
      <c r="P124" s="530" t="s">
        <v>205</v>
      </c>
      <c r="Q124" s="525"/>
      <c r="R124" s="525"/>
      <c r="S124" s="525"/>
      <c r="T124" s="525"/>
      <c r="U124" s="525"/>
      <c r="V124" s="525"/>
      <c r="W124" s="614"/>
    </row>
    <row r="125" spans="1:23" ht="15" customHeight="1">
      <c r="A125" s="135" t="s">
        <v>33</v>
      </c>
      <c r="B125" s="136" t="s">
        <v>34</v>
      </c>
      <c r="C125" s="137" t="s">
        <v>35</v>
      </c>
      <c r="D125" s="136" t="s">
        <v>36</v>
      </c>
      <c r="E125" s="138" t="s">
        <v>37</v>
      </c>
      <c r="F125" s="136" t="s">
        <v>38</v>
      </c>
      <c r="G125" s="137" t="s">
        <v>39</v>
      </c>
      <c r="H125" s="136" t="s">
        <v>40</v>
      </c>
      <c r="I125" s="137" t="s">
        <v>41</v>
      </c>
      <c r="J125" s="136" t="s">
        <v>42</v>
      </c>
      <c r="K125" s="139" t="s">
        <v>43</v>
      </c>
      <c r="L125" s="219"/>
      <c r="M125" s="597" t="s">
        <v>165</v>
      </c>
      <c r="N125" s="598"/>
      <c r="O125" s="599">
        <f>ID!D46</f>
        <v>98</v>
      </c>
      <c r="P125" s="600" t="s">
        <v>61</v>
      </c>
      <c r="Q125" s="601"/>
      <c r="R125" s="601"/>
      <c r="S125" s="601"/>
      <c r="T125" s="601"/>
      <c r="U125" s="601"/>
      <c r="V125" s="601"/>
      <c r="W125" s="602"/>
    </row>
    <row r="126" spans="1:23" ht="15" customHeight="1">
      <c r="A126" s="140" t="s">
        <v>44</v>
      </c>
      <c r="B126" s="213" t="s">
        <v>205</v>
      </c>
      <c r="C126" s="223" t="s">
        <v>45</v>
      </c>
      <c r="D126" s="432">
        <f>'DB NIBP'!M89</f>
        <v>0.57735026918962584</v>
      </c>
      <c r="E126" s="224">
        <f>SQRT(3)</f>
        <v>1.7320508075688772</v>
      </c>
      <c r="F126" s="141">
        <v>2</v>
      </c>
      <c r="G126" s="225">
        <f>D126/E126</f>
        <v>0.33333333333333337</v>
      </c>
      <c r="H126" s="142">
        <v>1</v>
      </c>
      <c r="I126" s="225">
        <f>G126*H126</f>
        <v>0.33333333333333337</v>
      </c>
      <c r="J126" s="143">
        <f>I126^2</f>
        <v>0.11111111111111113</v>
      </c>
      <c r="K126" s="144">
        <f>I126^4/F126</f>
        <v>6.1728395061728418E-3</v>
      </c>
      <c r="L126" s="219"/>
      <c r="M126" s="135" t="s">
        <v>33</v>
      </c>
      <c r="N126" s="136" t="s">
        <v>34</v>
      </c>
      <c r="O126" s="137" t="s">
        <v>35</v>
      </c>
      <c r="P126" s="136" t="s">
        <v>36</v>
      </c>
      <c r="Q126" s="138" t="s">
        <v>37</v>
      </c>
      <c r="R126" s="136" t="s">
        <v>38</v>
      </c>
      <c r="S126" s="137" t="s">
        <v>39</v>
      </c>
      <c r="T126" s="136" t="s">
        <v>40</v>
      </c>
      <c r="U126" s="137" t="s">
        <v>41</v>
      </c>
      <c r="V126" s="136" t="s">
        <v>42</v>
      </c>
      <c r="W126" s="139" t="s">
        <v>43</v>
      </c>
    </row>
    <row r="127" spans="1:23" ht="15" customHeight="1">
      <c r="A127" s="145" t="s">
        <v>46</v>
      </c>
      <c r="B127" s="213" t="s">
        <v>205</v>
      </c>
      <c r="C127" s="146" t="s">
        <v>47</v>
      </c>
      <c r="D127" s="433">
        <f>0.5*1</f>
        <v>0.5</v>
      </c>
      <c r="E127" s="147">
        <f>SQRT(3)</f>
        <v>1.7320508075688772</v>
      </c>
      <c r="F127" s="141">
        <v>50</v>
      </c>
      <c r="G127" s="148">
        <f>D127/E127</f>
        <v>0.28867513459481292</v>
      </c>
      <c r="H127" s="141">
        <v>1</v>
      </c>
      <c r="I127" s="148">
        <f>G127*H127</f>
        <v>0.28867513459481292</v>
      </c>
      <c r="J127" s="149">
        <f>I127^2</f>
        <v>8.3333333333333356E-2</v>
      </c>
      <c r="K127" s="150">
        <f>I127^4/F127</f>
        <v>1.3888888888888897E-4</v>
      </c>
      <c r="L127" s="219"/>
      <c r="M127" s="140" t="s">
        <v>44</v>
      </c>
      <c r="N127" s="213" t="s">
        <v>137</v>
      </c>
      <c r="O127" s="223" t="s">
        <v>45</v>
      </c>
      <c r="P127" s="432">
        <f>'DB SPO2'!P96</f>
        <v>0</v>
      </c>
      <c r="Q127" s="224">
        <f>SQRT(3)</f>
        <v>1.7320508075688772</v>
      </c>
      <c r="R127" s="141">
        <v>5</v>
      </c>
      <c r="S127" s="225">
        <f>P127/Q127</f>
        <v>0</v>
      </c>
      <c r="T127" s="142">
        <v>1</v>
      </c>
      <c r="U127" s="225">
        <f>S127*T127</f>
        <v>0</v>
      </c>
      <c r="V127" s="143">
        <f>U127^2</f>
        <v>0</v>
      </c>
      <c r="W127" s="144">
        <f>U127^4/R127</f>
        <v>0</v>
      </c>
    </row>
    <row r="128" spans="1:23" ht="15" customHeight="1">
      <c r="A128" s="140" t="s">
        <v>108</v>
      </c>
      <c r="B128" s="213" t="s">
        <v>205</v>
      </c>
      <c r="C128" s="141" t="s">
        <v>47</v>
      </c>
      <c r="D128" s="434">
        <f>'DB NIBP'!K89</f>
        <v>0.20432628144650317</v>
      </c>
      <c r="E128" s="151">
        <f>SQRT(3)</f>
        <v>1.7320508075688772</v>
      </c>
      <c r="F128" s="141">
        <v>50</v>
      </c>
      <c r="G128" s="152">
        <f>D128/E128</f>
        <v>0.11796783359565384</v>
      </c>
      <c r="H128" s="141">
        <v>1</v>
      </c>
      <c r="I128" s="152">
        <f>G128*H128</f>
        <v>0.11796783359565384</v>
      </c>
      <c r="J128" s="149">
        <f>I128^2</f>
        <v>1.3916409763251874E-2</v>
      </c>
      <c r="K128" s="153">
        <f>I128^4/F128</f>
        <v>3.8733292139746417E-6</v>
      </c>
      <c r="L128" s="219"/>
      <c r="M128" s="145" t="s">
        <v>46</v>
      </c>
      <c r="N128" s="213" t="s">
        <v>137</v>
      </c>
      <c r="O128" s="146" t="s">
        <v>47</v>
      </c>
      <c r="P128" s="433">
        <f>0.5*1</f>
        <v>0.5</v>
      </c>
      <c r="Q128" s="147">
        <f>SQRT(3)</f>
        <v>1.7320508075688772</v>
      </c>
      <c r="R128" s="141">
        <v>50</v>
      </c>
      <c r="S128" s="148">
        <f>P128/Q128</f>
        <v>0.28867513459481292</v>
      </c>
      <c r="T128" s="141">
        <v>1</v>
      </c>
      <c r="U128" s="148">
        <f>S128*T128</f>
        <v>0.28867513459481292</v>
      </c>
      <c r="V128" s="149">
        <f>U128^2</f>
        <v>8.3333333333333356E-2</v>
      </c>
      <c r="W128" s="150">
        <f>U128^4/R128</f>
        <v>1.3888888888888897E-4</v>
      </c>
    </row>
    <row r="129" spans="1:23" ht="15" customHeight="1">
      <c r="A129" s="154" t="s">
        <v>109</v>
      </c>
      <c r="B129" s="213" t="s">
        <v>205</v>
      </c>
      <c r="C129" s="146" t="s">
        <v>45</v>
      </c>
      <c r="D129" s="435">
        <f>'DB NIBP'!L89</f>
        <v>1.6244794808833241</v>
      </c>
      <c r="E129" s="155">
        <v>2</v>
      </c>
      <c r="F129" s="141">
        <v>50</v>
      </c>
      <c r="G129" s="148">
        <f>D129/E129</f>
        <v>0.81223974044166203</v>
      </c>
      <c r="H129" s="141">
        <v>1</v>
      </c>
      <c r="I129" s="148">
        <f>G129*H129</f>
        <v>0.81223974044166203</v>
      </c>
      <c r="J129" s="149">
        <f>I129^2</f>
        <v>0.6597333959527385</v>
      </c>
      <c r="K129" s="153">
        <f>I129^4/F129</f>
        <v>8.7049630747066571E-3</v>
      </c>
      <c r="L129" s="219"/>
      <c r="M129" s="154"/>
      <c r="N129" s="141"/>
      <c r="O129" s="141"/>
      <c r="P129" s="141"/>
      <c r="Q129" s="151"/>
      <c r="R129" s="141"/>
      <c r="S129" s="152"/>
      <c r="T129" s="141"/>
      <c r="U129" s="152"/>
      <c r="V129" s="149"/>
      <c r="W129" s="153"/>
    </row>
    <row r="130" spans="1:23" ht="15" customHeight="1">
      <c r="A130" s="154"/>
      <c r="B130" s="141"/>
      <c r="C130" s="141"/>
      <c r="D130" s="141"/>
      <c r="E130" s="151"/>
      <c r="F130" s="141"/>
      <c r="G130" s="152"/>
      <c r="H130" s="141"/>
      <c r="I130" s="152"/>
      <c r="J130" s="149"/>
      <c r="K130" s="153"/>
      <c r="L130" s="219"/>
      <c r="M130" s="10" t="s">
        <v>48</v>
      </c>
      <c r="N130" s="226"/>
      <c r="O130" s="226"/>
      <c r="P130" s="226"/>
      <c r="Q130" s="227"/>
      <c r="R130" s="226"/>
      <c r="S130" s="226"/>
      <c r="T130" s="226"/>
      <c r="U130" s="226"/>
      <c r="V130" s="156">
        <f>SUM(V127:V128)</f>
        <v>8.3333333333333356E-2</v>
      </c>
      <c r="W130" s="157">
        <f>SUM(W127:W128)</f>
        <v>1.3888888888888897E-4</v>
      </c>
    </row>
    <row r="131" spans="1:23" ht="15" customHeight="1">
      <c r="A131" s="10" t="s">
        <v>48</v>
      </c>
      <c r="B131" s="226"/>
      <c r="C131" s="226"/>
      <c r="D131" s="226"/>
      <c r="E131" s="227"/>
      <c r="F131" s="226"/>
      <c r="G131" s="226"/>
      <c r="H131" s="226"/>
      <c r="I131" s="226"/>
      <c r="J131" s="156">
        <f>SUM(J126:J129)</f>
        <v>0.86809425016043484</v>
      </c>
      <c r="K131" s="157">
        <f>SUM(K126:K129)</f>
        <v>1.5020564798982363E-2</v>
      </c>
      <c r="L131" s="219"/>
      <c r="M131" s="158" t="s">
        <v>49</v>
      </c>
      <c r="N131" s="159"/>
      <c r="O131" s="159"/>
      <c r="P131" s="159"/>
      <c r="Q131" s="160"/>
      <c r="R131" s="159"/>
      <c r="S131" s="161" t="s">
        <v>50</v>
      </c>
      <c r="T131" s="159"/>
      <c r="U131" s="159"/>
      <c r="V131" s="162">
        <f>SQRT(V130)</f>
        <v>0.28867513459481292</v>
      </c>
      <c r="W131" s="163"/>
    </row>
    <row r="132" spans="1:23" ht="15" customHeight="1">
      <c r="A132" s="158" t="s">
        <v>49</v>
      </c>
      <c r="B132" s="159"/>
      <c r="C132" s="159"/>
      <c r="D132" s="159"/>
      <c r="E132" s="160"/>
      <c r="F132" s="159"/>
      <c r="G132" s="161" t="s">
        <v>50</v>
      </c>
      <c r="H132" s="159"/>
      <c r="I132" s="159"/>
      <c r="J132" s="162">
        <f>SQRT(J131)</f>
        <v>0.93171575609755297</v>
      </c>
      <c r="K132" s="163"/>
      <c r="L132" s="219"/>
      <c r="M132" s="10" t="s">
        <v>51</v>
      </c>
      <c r="N132" s="11"/>
      <c r="O132" s="11"/>
      <c r="P132" s="11"/>
      <c r="Q132" s="12"/>
      <c r="R132" s="11"/>
      <c r="S132" s="228" t="s">
        <v>52</v>
      </c>
      <c r="T132" s="11"/>
      <c r="U132" s="11"/>
      <c r="V132" s="164">
        <f>V131^4/(W130)</f>
        <v>50</v>
      </c>
      <c r="W132" s="165"/>
    </row>
    <row r="133" spans="1:23" ht="15" customHeight="1">
      <c r="A133" s="10" t="s">
        <v>51</v>
      </c>
      <c r="B133" s="11"/>
      <c r="C133" s="11"/>
      <c r="D133" s="11"/>
      <c r="E133" s="12"/>
      <c r="F133" s="11"/>
      <c r="G133" s="228" t="s">
        <v>52</v>
      </c>
      <c r="H133" s="11"/>
      <c r="I133" s="11"/>
      <c r="J133" s="164">
        <f>J132^4/(K131)</f>
        <v>50.170392208731251</v>
      </c>
      <c r="K133" s="165"/>
      <c r="L133" s="219"/>
      <c r="M133" s="158" t="s">
        <v>110</v>
      </c>
      <c r="N133" s="159"/>
      <c r="O133" s="159"/>
      <c r="P133" s="159"/>
      <c r="Q133" s="160"/>
      <c r="R133" s="159"/>
      <c r="S133" s="166" t="s">
        <v>53</v>
      </c>
      <c r="T133" s="159"/>
      <c r="U133" s="159"/>
      <c r="V133" s="167">
        <f>1.95996+(2.37356/V132)+(2.818745/V132^2)+(2.546662/V132^3)+(1.761829/V132^4)+(0.245458/V132^5)+(1.000764/V132^6)</f>
        <v>2.008579354038154</v>
      </c>
      <c r="W133" s="163"/>
    </row>
    <row r="134" spans="1:23" ht="15" customHeight="1">
      <c r="A134" s="158" t="s">
        <v>110</v>
      </c>
      <c r="B134" s="159"/>
      <c r="C134" s="159"/>
      <c r="D134" s="159"/>
      <c r="E134" s="160"/>
      <c r="F134" s="159"/>
      <c r="G134" s="166" t="s">
        <v>53</v>
      </c>
      <c r="H134" s="159"/>
      <c r="I134" s="159"/>
      <c r="J134" s="167">
        <f>1.95996+(2.37356/J133)+(2.818745/J133^2)+(2.546662/J133^3)+(1.761829/J133^4)+(0.245458/J133^5)+(1.000764/J133^6)</f>
        <v>2.0084102727450048</v>
      </c>
      <c r="K134" s="357">
        <f>TINV(0.05,J133)</f>
        <v>2.0085591121007611</v>
      </c>
      <c r="L134" s="219"/>
      <c r="M134" s="168" t="s">
        <v>54</v>
      </c>
      <c r="N134" s="169"/>
      <c r="O134" s="169"/>
      <c r="P134" s="169"/>
      <c r="Q134" s="170"/>
      <c r="R134" s="169"/>
      <c r="S134" s="171" t="s">
        <v>55</v>
      </c>
      <c r="T134" s="169"/>
      <c r="U134" s="169"/>
      <c r="V134" s="436">
        <f>V131*V133</f>
        <v>0.57982691537132647</v>
      </c>
      <c r="W134" s="172" t="s">
        <v>199</v>
      </c>
    </row>
    <row r="135" spans="1:23" ht="15" customHeight="1">
      <c r="A135" s="168" t="s">
        <v>54</v>
      </c>
      <c r="B135" s="169"/>
      <c r="C135" s="169"/>
      <c r="D135" s="169"/>
      <c r="E135" s="170"/>
      <c r="F135" s="169"/>
      <c r="G135" s="171" t="s">
        <v>55</v>
      </c>
      <c r="H135" s="169"/>
      <c r="I135" s="169"/>
      <c r="J135" s="436">
        <f>J132*J134</f>
        <v>1.8712674958247049</v>
      </c>
      <c r="K135" s="217" t="s">
        <v>205</v>
      </c>
      <c r="L135" s="219"/>
      <c r="M135" s="616" t="s">
        <v>54</v>
      </c>
      <c r="N135" s="526"/>
      <c r="O135" s="526"/>
      <c r="P135" s="533"/>
      <c r="Q135" s="534"/>
      <c r="R135" s="533"/>
      <c r="S135" s="537" t="s">
        <v>55</v>
      </c>
      <c r="T135" s="533"/>
      <c r="U135" s="533"/>
      <c r="V135" s="539"/>
      <c r="W135" s="615" t="s">
        <v>205</v>
      </c>
    </row>
    <row r="136" spans="1:23" ht="15" customHeight="1">
      <c r="A136" s="214" t="s">
        <v>147</v>
      </c>
      <c r="B136" s="215"/>
      <c r="C136" s="236">
        <f>ID!D59</f>
        <v>150</v>
      </c>
      <c r="D136" s="217" t="s">
        <v>205</v>
      </c>
      <c r="E136" s="221"/>
      <c r="F136" s="221"/>
      <c r="G136" s="221"/>
      <c r="H136" s="221"/>
      <c r="I136" s="221"/>
      <c r="J136" s="221"/>
      <c r="K136" s="221"/>
      <c r="L136" s="219"/>
      <c r="M136" s="617" t="s">
        <v>147</v>
      </c>
      <c r="N136" s="528"/>
      <c r="O136" s="529">
        <f>'kata-kata'!AB18</f>
        <v>0</v>
      </c>
      <c r="P136" s="540" t="s">
        <v>205</v>
      </c>
      <c r="Q136" s="541"/>
      <c r="R136" s="541"/>
      <c r="S136" s="541"/>
      <c r="T136" s="541"/>
      <c r="U136" s="541"/>
      <c r="V136" s="541"/>
      <c r="W136" s="614"/>
    </row>
    <row r="137" spans="1:23" ht="15" customHeight="1">
      <c r="A137" s="135" t="s">
        <v>33</v>
      </c>
      <c r="B137" s="136" t="s">
        <v>34</v>
      </c>
      <c r="C137" s="137" t="s">
        <v>35</v>
      </c>
      <c r="D137" s="136" t="s">
        <v>36</v>
      </c>
      <c r="E137" s="138" t="s">
        <v>37</v>
      </c>
      <c r="F137" s="136" t="s">
        <v>38</v>
      </c>
      <c r="G137" s="137" t="s">
        <v>39</v>
      </c>
      <c r="H137" s="136" t="s">
        <v>40</v>
      </c>
      <c r="I137" s="137" t="s">
        <v>41</v>
      </c>
      <c r="J137" s="136" t="s">
        <v>42</v>
      </c>
      <c r="K137" s="139" t="s">
        <v>43</v>
      </c>
      <c r="L137" s="219"/>
      <c r="M137" s="214" t="s">
        <v>165</v>
      </c>
      <c r="N137" s="215"/>
      <c r="O137" s="216">
        <f>ID!D47</f>
        <v>99</v>
      </c>
      <c r="P137" s="217" t="s">
        <v>61</v>
      </c>
      <c r="Q137" s="221"/>
      <c r="R137" s="221"/>
      <c r="S137" s="221"/>
      <c r="T137" s="221"/>
      <c r="U137" s="221"/>
      <c r="V137" s="221"/>
      <c r="W137" s="222"/>
    </row>
    <row r="138" spans="1:23" ht="15" customHeight="1">
      <c r="A138" s="140" t="s">
        <v>44</v>
      </c>
      <c r="B138" s="213" t="s">
        <v>205</v>
      </c>
      <c r="C138" s="223" t="s">
        <v>45</v>
      </c>
      <c r="D138" s="432">
        <f>'DB NIBP'!M90</f>
        <v>0.57735026918962584</v>
      </c>
      <c r="E138" s="224">
        <f>SQRT(3)</f>
        <v>1.7320508075688772</v>
      </c>
      <c r="F138" s="141">
        <v>2</v>
      </c>
      <c r="G138" s="225">
        <f>D138/E138</f>
        <v>0.33333333333333337</v>
      </c>
      <c r="H138" s="142">
        <v>1</v>
      </c>
      <c r="I138" s="225">
        <f>G138*H138</f>
        <v>0.33333333333333337</v>
      </c>
      <c r="J138" s="143">
        <f>I138^2</f>
        <v>0.11111111111111113</v>
      </c>
      <c r="K138" s="144">
        <f>I138^4/F138</f>
        <v>6.1728395061728418E-3</v>
      </c>
      <c r="L138" s="219"/>
      <c r="M138" s="135" t="s">
        <v>33</v>
      </c>
      <c r="N138" s="136" t="s">
        <v>34</v>
      </c>
      <c r="O138" s="137" t="s">
        <v>35</v>
      </c>
      <c r="P138" s="136" t="s">
        <v>36</v>
      </c>
      <c r="Q138" s="138" t="s">
        <v>37</v>
      </c>
      <c r="R138" s="136" t="s">
        <v>38</v>
      </c>
      <c r="S138" s="137" t="s">
        <v>39</v>
      </c>
      <c r="T138" s="136" t="s">
        <v>40</v>
      </c>
      <c r="U138" s="137" t="s">
        <v>41</v>
      </c>
      <c r="V138" s="136" t="s">
        <v>42</v>
      </c>
      <c r="W138" s="139" t="s">
        <v>43</v>
      </c>
    </row>
    <row r="139" spans="1:23" ht="13">
      <c r="A139" s="145" t="s">
        <v>46</v>
      </c>
      <c r="B139" s="213" t="s">
        <v>205</v>
      </c>
      <c r="C139" s="146" t="s">
        <v>47</v>
      </c>
      <c r="D139" s="433">
        <f>0.5*1</f>
        <v>0.5</v>
      </c>
      <c r="E139" s="147">
        <f>SQRT(3)</f>
        <v>1.7320508075688772</v>
      </c>
      <c r="F139" s="141">
        <v>50</v>
      </c>
      <c r="G139" s="148">
        <f>D139/E139</f>
        <v>0.28867513459481292</v>
      </c>
      <c r="H139" s="141">
        <v>1</v>
      </c>
      <c r="I139" s="148">
        <f>G139*H139</f>
        <v>0.28867513459481292</v>
      </c>
      <c r="J139" s="149">
        <f>I139^2</f>
        <v>8.3333333333333356E-2</v>
      </c>
      <c r="K139" s="150">
        <f>I139^4/F139</f>
        <v>1.3888888888888897E-4</v>
      </c>
      <c r="L139" s="219"/>
      <c r="M139" s="140" t="s">
        <v>44</v>
      </c>
      <c r="N139" s="213" t="s">
        <v>137</v>
      </c>
      <c r="O139" s="223" t="s">
        <v>45</v>
      </c>
      <c r="P139" s="432">
        <f>'DB SPO2'!P97</f>
        <v>0</v>
      </c>
      <c r="Q139" s="224">
        <f>SQRT(3)</f>
        <v>1.7320508075688772</v>
      </c>
      <c r="R139" s="141">
        <v>5</v>
      </c>
      <c r="S139" s="225">
        <f>P139/Q139</f>
        <v>0</v>
      </c>
      <c r="T139" s="142">
        <v>1</v>
      </c>
      <c r="U139" s="225">
        <f>S139*T139</f>
        <v>0</v>
      </c>
      <c r="V139" s="143">
        <f>U139^2</f>
        <v>0</v>
      </c>
      <c r="W139" s="144">
        <f>U139^4/R139</f>
        <v>0</v>
      </c>
    </row>
    <row r="140" spans="1:23" ht="13">
      <c r="A140" s="140" t="s">
        <v>108</v>
      </c>
      <c r="B140" s="213" t="s">
        <v>205</v>
      </c>
      <c r="C140" s="141" t="s">
        <v>47</v>
      </c>
      <c r="D140" s="434">
        <f>'DB NIBP'!K90</f>
        <v>0.14698708061533672</v>
      </c>
      <c r="E140" s="151">
        <f>SQRT(3)</f>
        <v>1.7320508075688772</v>
      </c>
      <c r="F140" s="141">
        <v>50</v>
      </c>
      <c r="G140" s="152">
        <f>D140/E140</f>
        <v>8.4863030560661884E-2</v>
      </c>
      <c r="H140" s="141">
        <v>1</v>
      </c>
      <c r="I140" s="152">
        <f>G140*H140</f>
        <v>8.4863030560661884E-2</v>
      </c>
      <c r="J140" s="149">
        <f>I140^2</f>
        <v>7.2017339559398326E-3</v>
      </c>
      <c r="K140" s="153">
        <f>I140^4/F140</f>
        <v>1.0372994394427358E-6</v>
      </c>
      <c r="L140" s="219"/>
      <c r="M140" s="145" t="s">
        <v>46</v>
      </c>
      <c r="N140" s="213" t="s">
        <v>137</v>
      </c>
      <c r="O140" s="146" t="s">
        <v>47</v>
      </c>
      <c r="P140" s="433">
        <f>0.5*1</f>
        <v>0.5</v>
      </c>
      <c r="Q140" s="147">
        <f>SQRT(3)</f>
        <v>1.7320508075688772</v>
      </c>
      <c r="R140" s="141">
        <v>50</v>
      </c>
      <c r="S140" s="148">
        <f>P140/Q140</f>
        <v>0.28867513459481292</v>
      </c>
      <c r="T140" s="141">
        <v>1</v>
      </c>
      <c r="U140" s="148">
        <f>S140*T140</f>
        <v>0.28867513459481292</v>
      </c>
      <c r="V140" s="149">
        <f>U140^2</f>
        <v>8.3333333333333356E-2</v>
      </c>
      <c r="W140" s="150">
        <f>U140^4/R140</f>
        <v>1.3888888888888897E-4</v>
      </c>
    </row>
    <row r="141" spans="1:23" ht="13">
      <c r="A141" s="154" t="s">
        <v>109</v>
      </c>
      <c r="B141" s="213" t="s">
        <v>205</v>
      </c>
      <c r="C141" s="146" t="s">
        <v>45</v>
      </c>
      <c r="D141" s="435">
        <f>'DB NIBP'!L90</f>
        <v>1.5315844977835873</v>
      </c>
      <c r="E141" s="155">
        <v>2</v>
      </c>
      <c r="F141" s="141">
        <v>50</v>
      </c>
      <c r="G141" s="148">
        <f>D141/E141</f>
        <v>0.76579224889179365</v>
      </c>
      <c r="H141" s="141">
        <v>1</v>
      </c>
      <c r="I141" s="148">
        <f>G141*H141</f>
        <v>0.76579224889179365</v>
      </c>
      <c r="J141" s="149">
        <f>I141^2</f>
        <v>0.58643776846275086</v>
      </c>
      <c r="K141" s="153">
        <f>I141^4/F141</f>
        <v>6.8781851255914194E-3</v>
      </c>
      <c r="L141" s="219"/>
      <c r="M141" s="154"/>
      <c r="N141" s="141"/>
      <c r="O141" s="141"/>
      <c r="P141" s="141"/>
      <c r="Q141" s="151"/>
      <c r="R141" s="141"/>
      <c r="S141" s="152"/>
      <c r="T141" s="141"/>
      <c r="U141" s="152"/>
      <c r="V141" s="149"/>
      <c r="W141" s="153"/>
    </row>
    <row r="142" spans="1:23" ht="14">
      <c r="A142" s="154"/>
      <c r="B142" s="141"/>
      <c r="C142" s="141"/>
      <c r="D142" s="141"/>
      <c r="E142" s="151"/>
      <c r="F142" s="141"/>
      <c r="G142" s="152"/>
      <c r="H142" s="141"/>
      <c r="I142" s="152"/>
      <c r="J142" s="149"/>
      <c r="K142" s="153"/>
      <c r="L142" s="219"/>
      <c r="M142" s="10" t="s">
        <v>48</v>
      </c>
      <c r="N142" s="226"/>
      <c r="O142" s="226"/>
      <c r="P142" s="226"/>
      <c r="Q142" s="227"/>
      <c r="R142" s="226"/>
      <c r="S142" s="226"/>
      <c r="T142" s="226"/>
      <c r="U142" s="226"/>
      <c r="V142" s="156">
        <f>SUM(V139:V140)</f>
        <v>8.3333333333333356E-2</v>
      </c>
      <c r="W142" s="157">
        <f>SUM(W139:W140)</f>
        <v>1.3888888888888897E-4</v>
      </c>
    </row>
    <row r="143" spans="1:23" ht="17">
      <c r="A143" s="10" t="s">
        <v>48</v>
      </c>
      <c r="B143" s="226"/>
      <c r="C143" s="226"/>
      <c r="D143" s="226"/>
      <c r="E143" s="227"/>
      <c r="F143" s="226"/>
      <c r="G143" s="226"/>
      <c r="H143" s="226"/>
      <c r="I143" s="226"/>
      <c r="J143" s="156">
        <f>SUM(J138:J141)</f>
        <v>0.78808394686313521</v>
      </c>
      <c r="K143" s="157">
        <f>SUM(K138:K141)</f>
        <v>1.3190950820092593E-2</v>
      </c>
      <c r="L143" s="219"/>
      <c r="M143" s="158" t="s">
        <v>49</v>
      </c>
      <c r="N143" s="159"/>
      <c r="O143" s="159"/>
      <c r="P143" s="159"/>
      <c r="Q143" s="160"/>
      <c r="R143" s="159"/>
      <c r="S143" s="161" t="s">
        <v>50</v>
      </c>
      <c r="T143" s="159"/>
      <c r="U143" s="159"/>
      <c r="V143" s="162">
        <f>SQRT(V142)</f>
        <v>0.28867513459481292</v>
      </c>
      <c r="W143" s="163"/>
    </row>
    <row r="144" spans="1:23" ht="15" customHeight="1">
      <c r="A144" s="158" t="s">
        <v>49</v>
      </c>
      <c r="B144" s="159"/>
      <c r="C144" s="159"/>
      <c r="D144" s="159"/>
      <c r="E144" s="160"/>
      <c r="F144" s="159"/>
      <c r="G144" s="161" t="s">
        <v>50</v>
      </c>
      <c r="H144" s="159"/>
      <c r="I144" s="159"/>
      <c r="J144" s="162">
        <f>SQRT(J143)</f>
        <v>0.8877409232783714</v>
      </c>
      <c r="K144" s="163"/>
      <c r="L144" s="219"/>
      <c r="M144" s="10" t="s">
        <v>51</v>
      </c>
      <c r="N144" s="11"/>
      <c r="O144" s="11"/>
      <c r="P144" s="11"/>
      <c r="Q144" s="12"/>
      <c r="R144" s="11"/>
      <c r="S144" s="228" t="s">
        <v>52</v>
      </c>
      <c r="T144" s="11"/>
      <c r="U144" s="11"/>
      <c r="V144" s="164">
        <f>V143^4/(W142)</f>
        <v>50</v>
      </c>
      <c r="W144" s="165"/>
    </row>
    <row r="145" spans="1:34" ht="16.5" customHeight="1">
      <c r="A145" s="10" t="s">
        <v>51</v>
      </c>
      <c r="B145" s="11"/>
      <c r="C145" s="11"/>
      <c r="D145" s="11"/>
      <c r="E145" s="12"/>
      <c r="F145" s="11"/>
      <c r="G145" s="228" t="s">
        <v>52</v>
      </c>
      <c r="H145" s="11"/>
      <c r="I145" s="11"/>
      <c r="J145" s="164">
        <f>J144^4/(K143)</f>
        <v>47.083513218573088</v>
      </c>
      <c r="K145" s="165"/>
      <c r="L145" s="219"/>
      <c r="M145" s="158" t="s">
        <v>110</v>
      </c>
      <c r="N145" s="159"/>
      <c r="O145" s="159"/>
      <c r="P145" s="159"/>
      <c r="Q145" s="160"/>
      <c r="R145" s="159"/>
      <c r="S145" s="166" t="s">
        <v>53</v>
      </c>
      <c r="T145" s="159"/>
      <c r="U145" s="159"/>
      <c r="V145" s="167">
        <f>1.95996+(2.37356/V144)+(2.818745/V144^2)+(2.546662/V144^3)+(1.761829/V144^4)+(0.245458/V144^5)+(1.000764/V144^6)</f>
        <v>2.008579354038154</v>
      </c>
      <c r="W145" s="163"/>
    </row>
    <row r="146" spans="1:34" ht="15" customHeight="1" thickBot="1">
      <c r="A146" s="158" t="s">
        <v>110</v>
      </c>
      <c r="B146" s="159"/>
      <c r="C146" s="159"/>
      <c r="D146" s="159"/>
      <c r="E146" s="160"/>
      <c r="F146" s="159"/>
      <c r="G146" s="166" t="s">
        <v>53</v>
      </c>
      <c r="H146" s="159"/>
      <c r="I146" s="159"/>
      <c r="J146" s="167">
        <f>1.95996+(2.37356/J145)+(2.818745/J145^2)+(2.546662/J145^3)+(1.761829/J145^4)+(0.245458/J145^5)+(1.000764/J145^6)</f>
        <v>2.01166796442942</v>
      </c>
      <c r="K146" s="357">
        <f>TINV(0.05,J145)</f>
        <v>2.0117405137297668</v>
      </c>
      <c r="L146" s="219"/>
      <c r="M146" s="30" t="s">
        <v>54</v>
      </c>
      <c r="N146" s="31"/>
      <c r="O146" s="31"/>
      <c r="P146" s="31"/>
      <c r="Q146" s="32"/>
      <c r="R146" s="31"/>
      <c r="S146" s="33" t="s">
        <v>55</v>
      </c>
      <c r="T146" s="31"/>
      <c r="U146" s="31"/>
      <c r="V146" s="611">
        <f>V143*V145</f>
        <v>0.57982691537132647</v>
      </c>
      <c r="W146" s="608" t="s">
        <v>199</v>
      </c>
    </row>
    <row r="147" spans="1:34" ht="15.75" customHeight="1">
      <c r="A147" s="168" t="s">
        <v>54</v>
      </c>
      <c r="B147" s="169"/>
      <c r="C147" s="169"/>
      <c r="D147" s="169"/>
      <c r="E147" s="170"/>
      <c r="F147" s="169"/>
      <c r="G147" s="171" t="s">
        <v>55</v>
      </c>
      <c r="H147" s="169"/>
      <c r="I147" s="169"/>
      <c r="J147" s="436">
        <f>J144*J146</f>
        <v>1.7858399760720953</v>
      </c>
      <c r="K147" s="217" t="s">
        <v>205</v>
      </c>
      <c r="L147" s="219"/>
      <c r="M147" s="531" t="s">
        <v>54</v>
      </c>
      <c r="N147" s="526"/>
      <c r="O147" s="526"/>
      <c r="P147" s="533"/>
      <c r="Q147" s="534"/>
      <c r="R147" s="533"/>
      <c r="S147" s="537" t="s">
        <v>55</v>
      </c>
      <c r="T147" s="533"/>
      <c r="U147" s="533"/>
      <c r="V147" s="539"/>
      <c r="W147" s="615" t="s">
        <v>205</v>
      </c>
    </row>
    <row r="148" spans="1:34" ht="15" customHeight="1" thickBot="1">
      <c r="A148" s="237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1"/>
    </row>
    <row r="149" spans="1:34" ht="14">
      <c r="A149" s="10"/>
      <c r="B149" s="11"/>
      <c r="C149" s="11"/>
      <c r="D149" s="11"/>
      <c r="E149" s="12"/>
      <c r="F149" s="11"/>
      <c r="G149" s="129"/>
      <c r="H149" s="11"/>
      <c r="I149" s="11"/>
      <c r="J149" s="183"/>
      <c r="K149" s="184"/>
      <c r="W149" s="612"/>
    </row>
    <row r="150" spans="1:34" ht="14">
      <c r="A150" s="54"/>
      <c r="B150" s="11"/>
      <c r="C150" s="11"/>
      <c r="D150" s="11"/>
      <c r="E150" s="12"/>
      <c r="F150" s="11"/>
      <c r="G150" s="129"/>
      <c r="H150" s="11"/>
      <c r="I150" s="11"/>
      <c r="J150" s="183"/>
      <c r="K150" s="184"/>
    </row>
    <row r="151" spans="1:34" ht="14">
      <c r="A151" s="1591"/>
      <c r="B151" s="1591"/>
      <c r="C151" s="54"/>
      <c r="D151" s="54"/>
      <c r="E151" s="54"/>
      <c r="F151" s="54"/>
      <c r="H151" s="470"/>
    </row>
    <row r="152" spans="1:34" ht="14">
      <c r="A152" s="1430"/>
      <c r="B152" s="1430"/>
      <c r="C152" s="1430"/>
      <c r="D152" s="1430"/>
      <c r="E152" s="1430"/>
      <c r="F152" s="1430"/>
      <c r="H152" s="1591"/>
      <c r="I152" s="1591"/>
      <c r="J152" s="1591"/>
      <c r="K152" s="1430"/>
      <c r="L152" s="1583"/>
      <c r="N152" s="68"/>
      <c r="X152" s="1580"/>
      <c r="Y152" s="1580"/>
      <c r="Z152" s="1580"/>
      <c r="AA152" s="1430"/>
      <c r="AB152" s="1423"/>
      <c r="AD152" s="1580"/>
      <c r="AE152" s="1580"/>
      <c r="AF152" s="1580"/>
      <c r="AG152" s="1430"/>
      <c r="AH152" s="1423"/>
    </row>
    <row r="153" spans="1:34" ht="13">
      <c r="A153" s="16"/>
      <c r="B153" s="16"/>
      <c r="C153" s="16"/>
      <c r="D153" s="16"/>
      <c r="E153" s="16"/>
      <c r="F153" s="16"/>
      <c r="H153" s="353"/>
      <c r="I153" s="1430"/>
      <c r="J153" s="1430"/>
      <c r="K153" s="1430"/>
      <c r="L153" s="1584"/>
      <c r="N153" s="68"/>
      <c r="X153" s="353"/>
      <c r="Y153" s="1430"/>
      <c r="Z153" s="1430"/>
      <c r="AA153" s="1430"/>
      <c r="AB153" s="1423"/>
      <c r="AD153" s="353"/>
      <c r="AE153" s="1430"/>
      <c r="AF153" s="1430"/>
      <c r="AG153" s="1430"/>
      <c r="AH153" s="1423"/>
    </row>
    <row r="154" spans="1:34" ht="14">
      <c r="A154" s="16"/>
      <c r="B154" s="16"/>
      <c r="C154" s="63"/>
      <c r="D154" s="471"/>
      <c r="E154" s="63"/>
      <c r="F154" s="61"/>
      <c r="H154" s="60"/>
      <c r="I154" s="60"/>
      <c r="J154" s="60"/>
      <c r="K154" s="1430"/>
      <c r="L154" s="1584"/>
      <c r="N154" s="68"/>
      <c r="X154" s="354"/>
      <c r="Y154" s="16"/>
      <c r="Z154" s="16"/>
      <c r="AA154" s="1430"/>
      <c r="AB154" s="1423"/>
      <c r="AD154" s="354"/>
      <c r="AE154" s="355"/>
      <c r="AF154" s="355"/>
      <c r="AG154" s="1430"/>
      <c r="AH154" s="1423"/>
    </row>
    <row r="155" spans="1:34" ht="14">
      <c r="A155" s="16"/>
      <c r="B155" s="16"/>
      <c r="C155" s="63"/>
      <c r="D155" s="471"/>
      <c r="E155" s="63"/>
      <c r="F155" s="61"/>
      <c r="H155" s="60"/>
      <c r="I155" s="62"/>
      <c r="J155" s="62"/>
      <c r="K155" s="62"/>
      <c r="L155" s="60"/>
      <c r="N155" s="61"/>
      <c r="X155" s="16"/>
      <c r="Y155" s="424"/>
      <c r="Z155" s="424"/>
      <c r="AA155" s="424"/>
      <c r="AB155" s="424"/>
      <c r="AD155" s="16"/>
      <c r="AE155" s="63"/>
      <c r="AF155" s="63"/>
      <c r="AG155" s="63"/>
      <c r="AH155" s="63"/>
    </row>
    <row r="156" spans="1:34" ht="14">
      <c r="A156" s="16"/>
      <c r="B156" s="16"/>
      <c r="C156" s="63"/>
      <c r="D156" s="471"/>
      <c r="E156" s="63"/>
      <c r="F156" s="61"/>
      <c r="H156" s="60"/>
      <c r="I156" s="62"/>
      <c r="J156" s="62"/>
      <c r="K156" s="62"/>
      <c r="L156" s="15"/>
      <c r="N156" s="61"/>
      <c r="X156" s="16"/>
      <c r="Y156" s="424"/>
      <c r="Z156" s="424"/>
      <c r="AA156" s="424"/>
      <c r="AB156" s="424"/>
      <c r="AD156" s="16"/>
      <c r="AE156" s="63"/>
      <c r="AF156" s="63"/>
      <c r="AG156" s="63"/>
      <c r="AH156" s="63"/>
    </row>
    <row r="157" spans="1:34" ht="14">
      <c r="A157" s="16"/>
      <c r="B157" s="16"/>
      <c r="C157" s="63"/>
      <c r="D157" s="471"/>
      <c r="E157" s="63"/>
      <c r="F157" s="61"/>
      <c r="H157" s="60"/>
      <c r="I157" s="62"/>
      <c r="J157" s="62"/>
      <c r="K157" s="62"/>
      <c r="L157" s="15"/>
      <c r="N157" s="61"/>
      <c r="X157" s="16"/>
      <c r="Y157" s="424"/>
      <c r="Z157" s="424"/>
      <c r="AA157" s="424"/>
      <c r="AB157" s="424"/>
      <c r="AD157" s="16"/>
      <c r="AE157" s="63"/>
      <c r="AF157" s="63"/>
      <c r="AG157" s="63"/>
      <c r="AH157" s="63"/>
    </row>
    <row r="158" spans="1:34" ht="14">
      <c r="A158" s="16"/>
      <c r="B158" s="16"/>
      <c r="C158" s="63"/>
      <c r="D158" s="471"/>
      <c r="E158" s="63"/>
      <c r="F158" s="63"/>
      <c r="H158" s="60"/>
      <c r="I158" s="62"/>
      <c r="J158" s="62"/>
      <c r="K158" s="62"/>
      <c r="L158" s="15"/>
      <c r="N158" s="61"/>
      <c r="X158" s="16"/>
      <c r="Y158" s="424"/>
      <c r="Z158" s="424"/>
      <c r="AA158" s="424"/>
      <c r="AB158" s="424"/>
      <c r="AD158" s="16"/>
      <c r="AE158" s="63"/>
      <c r="AF158" s="63"/>
      <c r="AG158" s="63"/>
      <c r="AH158" s="63"/>
    </row>
    <row r="159" spans="1:34" ht="14">
      <c r="A159" s="16"/>
      <c r="B159" s="16"/>
      <c r="C159" s="63"/>
      <c r="D159" s="471"/>
      <c r="E159" s="63"/>
      <c r="F159" s="63"/>
      <c r="H159" s="60"/>
      <c r="I159" s="62"/>
      <c r="J159" s="62"/>
      <c r="K159" s="62"/>
      <c r="L159" s="15"/>
      <c r="N159" s="61"/>
      <c r="X159" s="16"/>
      <c r="Y159" s="424"/>
      <c r="Z159" s="424"/>
      <c r="AA159" s="424"/>
      <c r="AB159" s="424"/>
      <c r="AD159" s="16"/>
      <c r="AE159" s="63"/>
      <c r="AF159" s="63"/>
      <c r="AG159" s="63"/>
      <c r="AH159" s="63"/>
    </row>
    <row r="160" spans="1:34" ht="14">
      <c r="A160" s="1430"/>
      <c r="B160" s="1430"/>
      <c r="H160" s="60"/>
      <c r="I160" s="62"/>
      <c r="J160" s="62"/>
      <c r="K160" s="62"/>
      <c r="L160" s="15"/>
      <c r="N160" s="61"/>
      <c r="X160" s="16"/>
      <c r="Y160" s="424"/>
      <c r="Z160" s="424"/>
      <c r="AA160" s="424"/>
      <c r="AB160" s="424"/>
      <c r="AD160" s="16"/>
      <c r="AE160" s="63"/>
      <c r="AF160" s="63"/>
      <c r="AG160" s="63"/>
      <c r="AH160" s="63"/>
    </row>
    <row r="161" spans="1:41" ht="14">
      <c r="A161" s="16"/>
      <c r="B161" s="16"/>
      <c r="H161" s="60"/>
      <c r="I161" s="62"/>
      <c r="J161" s="62"/>
      <c r="K161" s="62"/>
      <c r="L161" s="15"/>
      <c r="N161" s="61"/>
      <c r="X161" s="16"/>
      <c r="Y161" s="424"/>
      <c r="Z161" s="424"/>
      <c r="AA161" s="424"/>
      <c r="AB161" s="424"/>
      <c r="AD161" s="16"/>
      <c r="AE161" s="63"/>
      <c r="AF161" s="63"/>
      <c r="AG161" s="63"/>
      <c r="AH161" s="63"/>
    </row>
    <row r="162" spans="1:41" ht="14">
      <c r="A162" s="16"/>
      <c r="B162" s="16"/>
      <c r="H162" s="1582"/>
      <c r="I162" s="1582"/>
      <c r="J162" s="1582"/>
      <c r="K162" s="60"/>
      <c r="L162" s="1583"/>
      <c r="N162" s="68"/>
      <c r="X162" s="16"/>
      <c r="Y162" s="424"/>
      <c r="Z162" s="424"/>
      <c r="AA162" s="424"/>
      <c r="AB162" s="424"/>
      <c r="AD162" s="16"/>
      <c r="AE162" s="63"/>
      <c r="AF162" s="63"/>
      <c r="AG162" s="63"/>
      <c r="AH162" s="63"/>
    </row>
    <row r="163" spans="1:41" ht="15.75" customHeight="1">
      <c r="A163" s="16"/>
      <c r="B163" s="16"/>
      <c r="H163" s="60"/>
      <c r="I163" s="1430"/>
      <c r="J163" s="1430"/>
      <c r="K163" s="60"/>
      <c r="L163" s="1584"/>
      <c r="N163" s="68"/>
      <c r="AD163" s="16"/>
      <c r="AE163" s="63"/>
      <c r="AF163" s="63"/>
      <c r="AG163" s="63"/>
      <c r="AH163" s="63"/>
    </row>
    <row r="164" spans="1:41" ht="14">
      <c r="A164" s="16"/>
      <c r="B164" s="16"/>
      <c r="H164" s="60"/>
      <c r="I164" s="60"/>
      <c r="J164" s="60"/>
      <c r="K164" s="60"/>
      <c r="L164" s="1584"/>
      <c r="N164" s="68"/>
      <c r="AD164" s="16"/>
      <c r="AE164" s="63"/>
      <c r="AF164" s="63"/>
      <c r="AG164" s="63"/>
      <c r="AH164" s="63"/>
    </row>
    <row r="165" spans="1:41" ht="14">
      <c r="A165" s="16"/>
      <c r="B165" s="16"/>
      <c r="H165" s="60"/>
      <c r="I165" s="62"/>
      <c r="J165" s="62"/>
      <c r="K165" s="62"/>
      <c r="L165" s="60"/>
      <c r="N165" s="61"/>
      <c r="O165" s="64"/>
      <c r="P165" s="64"/>
      <c r="Q165" s="64"/>
      <c r="R165" s="64"/>
      <c r="S165" s="64"/>
      <c r="AD165" s="16"/>
      <c r="AE165" s="63"/>
      <c r="AF165" s="63"/>
      <c r="AG165" s="63"/>
      <c r="AH165" s="63"/>
    </row>
    <row r="166" spans="1:41" ht="14">
      <c r="A166" s="16"/>
      <c r="B166" s="16"/>
      <c r="H166" s="60"/>
      <c r="I166" s="62"/>
      <c r="J166" s="62"/>
      <c r="K166" s="62"/>
      <c r="L166" s="15"/>
      <c r="N166" s="61"/>
      <c r="O166" s="64"/>
      <c r="P166" s="64"/>
      <c r="Q166" s="64"/>
      <c r="R166" s="64"/>
      <c r="S166" s="64"/>
    </row>
    <row r="167" spans="1:41" ht="14">
      <c r="A167" s="16"/>
      <c r="B167" s="16"/>
      <c r="H167" s="60"/>
      <c r="I167" s="62"/>
      <c r="J167" s="62"/>
      <c r="K167" s="62"/>
      <c r="L167" s="15"/>
      <c r="N167" s="69"/>
      <c r="O167" s="64"/>
      <c r="P167" s="64"/>
      <c r="Q167" s="64"/>
      <c r="R167" s="64"/>
      <c r="S167" s="64"/>
    </row>
    <row r="168" spans="1:41" ht="14">
      <c r="A168" s="16"/>
      <c r="B168" s="16"/>
      <c r="H168" s="60"/>
      <c r="I168" s="62"/>
      <c r="J168" s="62"/>
      <c r="K168" s="62"/>
      <c r="L168" s="15"/>
      <c r="N168" s="69"/>
      <c r="O168" s="64"/>
      <c r="P168" s="64"/>
      <c r="Q168" s="64"/>
      <c r="R168" s="64"/>
      <c r="S168" s="64"/>
    </row>
    <row r="169" spans="1:41" ht="14">
      <c r="A169" s="1430"/>
      <c r="B169" s="1430"/>
      <c r="H169" s="60"/>
      <c r="I169" s="62"/>
      <c r="J169" s="62"/>
      <c r="K169" s="62"/>
      <c r="L169" s="15"/>
      <c r="N169" s="69"/>
      <c r="O169" s="64"/>
      <c r="P169" s="64"/>
      <c r="Q169" s="64"/>
      <c r="R169" s="64"/>
      <c r="S169" s="64"/>
    </row>
    <row r="170" spans="1:41" ht="14">
      <c r="A170" s="16"/>
      <c r="B170" s="16"/>
      <c r="H170" s="60"/>
      <c r="I170" s="62"/>
      <c r="J170" s="62"/>
      <c r="K170" s="62"/>
      <c r="L170" s="15"/>
      <c r="N170" s="69"/>
      <c r="O170" s="64"/>
      <c r="P170" s="64"/>
      <c r="Q170" s="64"/>
      <c r="R170" s="64"/>
      <c r="S170" s="64"/>
    </row>
    <row r="171" spans="1:41" ht="14">
      <c r="A171" s="16"/>
      <c r="B171" s="16"/>
      <c r="H171" s="60"/>
      <c r="I171" s="62"/>
      <c r="J171" s="62"/>
      <c r="K171" s="62"/>
      <c r="L171" s="15"/>
      <c r="N171" s="69"/>
      <c r="O171" s="64"/>
      <c r="P171" s="64"/>
      <c r="Q171" s="64"/>
      <c r="R171" s="64"/>
      <c r="S171" s="64"/>
    </row>
    <row r="172" spans="1:41" ht="13">
      <c r="A172" s="16"/>
      <c r="B172" s="16"/>
      <c r="O172" s="64"/>
      <c r="P172" s="64"/>
      <c r="Q172" s="64"/>
      <c r="R172" s="64"/>
      <c r="S172" s="64"/>
    </row>
    <row r="173" spans="1:41" ht="13.5" thickBot="1">
      <c r="A173" s="16"/>
      <c r="B173" s="16"/>
    </row>
    <row r="174" spans="1:41" ht="15">
      <c r="A174" s="16"/>
      <c r="B174" s="16"/>
      <c r="H174" s="1581"/>
      <c r="I174" s="1581"/>
      <c r="J174" s="1581"/>
      <c r="K174" s="1581"/>
      <c r="X174" s="1574" t="s">
        <v>112</v>
      </c>
      <c r="Y174" s="1575"/>
      <c r="Z174" s="1575"/>
      <c r="AA174" s="1576"/>
      <c r="AD174" s="1574" t="s">
        <v>112</v>
      </c>
      <c r="AE174" s="1575"/>
      <c r="AF174" s="1575"/>
      <c r="AG174" s="1576"/>
      <c r="AH174" s="1574" t="s">
        <v>113</v>
      </c>
      <c r="AI174" s="1575"/>
      <c r="AJ174" s="1575"/>
      <c r="AK174" s="1576"/>
      <c r="AL174" s="1574" t="s">
        <v>131</v>
      </c>
      <c r="AM174" s="1575"/>
      <c r="AN174" s="1575"/>
      <c r="AO174" s="1576"/>
    </row>
    <row r="175" spans="1:41" ht="13">
      <c r="A175" s="16"/>
      <c r="B175" s="16"/>
      <c r="H175" s="472"/>
      <c r="I175" s="472"/>
      <c r="J175" s="472"/>
      <c r="K175" s="472"/>
      <c r="X175" s="22"/>
      <c r="Y175" s="17">
        <f>IF(X176&lt;=$X$155,0,IF(X176&lt;=$X$156,$X$155,IF(X176&lt;=$X$157,$X$156,IF(X176&lt;=$X$158,$X$157,IF(X176&lt;=$X$159,$X$158,IF(X176&lt;=$X$160,$X$159,IF(X176&lt;=$X$161,$X$160,IF(X176&lt;=$X$162,$X$161,$X$162))))))))</f>
        <v>0</v>
      </c>
      <c r="Z175" s="17"/>
      <c r="AA175" s="18">
        <f>IF(X176&lt;=$X$155,0,IF(X176&lt;=$X$156,$Z$155,IF(X176&lt;=$X$157,$Z$156,IF(X176&lt;=$X$158,$Z$157,IF(X176&lt;=$X$159,$Z$158,IF(X176&lt;=$X$160,$Z$159,IF(X176&lt;=$X$161,$Z$160,IF(X176&lt;=$X$162,$Z$161,$Z$162))))))))</f>
        <v>0</v>
      </c>
      <c r="AD175" s="22"/>
      <c r="AE175" s="17">
        <f>IF(AD176&lt;=$AD$156,$AD$155,IF(AD176&lt;=$AD$157,$AD$156,IF(AD176&lt;=$AD$158,$AD$157,IF(AD176&lt;=$AD$159,$AD$158,IF(AD176&lt;=$AD$160,$AD$159,IF(AD176&lt;=$AD$161,$AD$160,IF(AD176&lt;=$AD$162,$AD$161,IF(AD176&lt;=$AD$163,$AD$162,IF(AD176&lt;=$AD$164,$AD$163,IF(AD176&lt;=$AD$165,$AD$164,$AD$165))))))))))</f>
        <v>0</v>
      </c>
      <c r="AF175" s="17"/>
      <c r="AG175" s="18">
        <f>IF(AD176&lt;=$AD$156,$AF$155,IF(AD176&lt;=$AD$157,$AF$156,IF(AD176&lt;=$AD$158,$AF$157,IF(AD176&lt;=$AD$159,$AF$158,IF(AD176&lt;=$AD$160,$AF$159,IF(AD176&lt;=$AD$161,$AF$160,IF(AD176&lt;=$AD$162,$AF$161,IF(AD176&lt;=$AD$163,$AF$162,IF(AD176&lt;=$AD$164,$AF$163,IF(AD176&lt;=$AD$165,$AF$164,$AF$165))))))))))</f>
        <v>0</v>
      </c>
      <c r="AH175" s="22"/>
      <c r="AI175" s="17">
        <f>IF(AH176&lt;=$AD$156,$AD$155,IF(AH176&lt;=$AD$157,$AD$156,IF(AH176&lt;=$AD$158,$AD$157,IF(AH176&lt;=$AD$159,$AD$158,IF(AH176&lt;=$AD$160,$AD$159,IF(AH176&lt;=$AD$161,$AD$160,IF(AH176&lt;=$AD$162,$AD$161,IF(AH176&lt;=$AD$163,$AD$162,IF(AH176&lt;=$AD$164,$AD$163,IF(AH176&lt;=$AD$165,$AD$164,$AD$165))))))))))</f>
        <v>0</v>
      </c>
      <c r="AJ175" s="17"/>
      <c r="AK175" s="18">
        <f>IF(AH176&lt;=$AD$156,$AG$155,IF(AH176&lt;=$AD$157,$AG$156,IF(AH176&lt;=$AD$158,$AG$157,IF(AH176&lt;=$AD$159,$AG$158,IF(AH176&lt;=$AD$160,$AG$159,IF(AH176&lt;=$AD$161,$AG$160,IF(AH176&lt;=$AD$162,$AG$161,IF(AH176&lt;=$AD$163,$AG$162,IF(AH176&lt;=$AD$164,$AG$163,IF(AH176&lt;=$AD$165,$AG$164,$AG$165))))))))))</f>
        <v>0</v>
      </c>
      <c r="AL175" s="22"/>
      <c r="AM175" s="17">
        <f>IF(AL176&lt;=$AD$156,$AD$155,IF(AL176&lt;=$AD$157,$AD$156,IF(AL176&lt;=$AD$158,$AD$157,IF(AL176&lt;=$AD$159,$AD$158,IF(AL176&lt;=$AD$160,$AD$159,IF(AL176&lt;=$AD$161,$AD$160,IF(AL176&lt;=$AD$162,$AD$161,IF(AL176&lt;=$AD$163,$AD$162,IF(AL176&lt;=$AD$164,$AD$163,IF(AL176&lt;=$AD$165,$AD$164,$AD$165))))))))))</f>
        <v>0</v>
      </c>
      <c r="AN175" s="17"/>
      <c r="AO175" s="18">
        <f>IF(AL176&lt;=$AD$156,$AH$155,IF(AL176&lt;=$AD$157,$AH$156,IF(AL176&lt;=$AD$158,$AH$157,IF(AL176&lt;=$AD$159,$AH$158,IF(AL176&lt;=$AD$160,$AH$159,IF(AL176&lt;=$AD$161,$AH$160,IF(AL176&lt;=$AD$162,$AH$161,IF(AL176&lt;=$AD$163,$AH$162,IF(AL176&lt;=$AD$164,$AH$163,IF(AL176&lt;=$AD$165,$AH$164,$AH$165))))))))))</f>
        <v>0</v>
      </c>
    </row>
    <row r="176" spans="1:41" ht="13">
      <c r="A176" s="16"/>
      <c r="B176" s="16"/>
      <c r="H176" s="473"/>
      <c r="I176" s="472"/>
      <c r="J176" s="473"/>
      <c r="K176" s="473"/>
      <c r="X176" s="23">
        <f>ID!K44</f>
        <v>90</v>
      </c>
      <c r="Y176" s="17"/>
      <c r="Z176" s="19">
        <f>((X176-Y175)/(Y177-Y175)*(AA177-AA175)+AA175)</f>
        <v>0</v>
      </c>
      <c r="AA176" s="20"/>
      <c r="AD176" s="23">
        <f>ID!H54</f>
        <v>120</v>
      </c>
      <c r="AE176" s="17"/>
      <c r="AF176" s="19">
        <f>((AD176-AE175)/(AE177-AE175)*(AG177-AG175)+AG175)</f>
        <v>0</v>
      </c>
      <c r="AG176" s="20"/>
      <c r="AH176" s="23">
        <f>AD176</f>
        <v>120</v>
      </c>
      <c r="AI176" s="17"/>
      <c r="AJ176" s="19">
        <f>((AH176-AI175)/(AI177-AI175)*(AK177-AK175)+AK175)</f>
        <v>0</v>
      </c>
      <c r="AK176" s="20"/>
      <c r="AL176" s="23">
        <f>AH176</f>
        <v>120</v>
      </c>
      <c r="AM176" s="17"/>
      <c r="AN176" s="19">
        <f>((AL176-AM175)/(AM177-AM175)*(AO177-AO175)+AO175)</f>
        <v>0</v>
      </c>
      <c r="AO176" s="20"/>
    </row>
    <row r="177" spans="1:41" ht="13.5" thickBot="1">
      <c r="A177" s="16"/>
      <c r="B177" s="16"/>
      <c r="H177" s="472"/>
      <c r="I177" s="472"/>
      <c r="J177" s="472"/>
      <c r="K177" s="472"/>
      <c r="X177" s="24"/>
      <c r="Y177" s="21">
        <f>IF(X176&lt;=$X$155,$X$155,IF(X176&lt;=$X$156,$X$156,IF(X176&lt;=$X$157,$X$157,IF(X176&lt;=$X$158,$X$158,IF(X176&lt;=$X$159,$X$159,IF(X176&lt;=$X$160,$X$160,IF(X176&lt;=$X$161,$X$161,IF(X176&lt;=$X$162,$X$162,105))))))))</f>
        <v>105</v>
      </c>
      <c r="Z177" s="21"/>
      <c r="AA177" s="25">
        <f>IF(X176&lt;=$X$155,$Z$155,IF(X176&lt;=$X$156,$Z$156,IF(X176&lt;=$X$157,$Z$157,IF(X176&lt;=$X$158,$Z$158,IF(X176&lt;=$X$159,$Z$159,IF(X176&lt;=$X$160,$Z$160,IF(X176&lt;=$X$161,$Z$161,IF(X176&lt;=$X$162,$Z$162,$Z$162))))))))</f>
        <v>0</v>
      </c>
      <c r="AD177" s="24"/>
      <c r="AE177" s="21">
        <f>IF(AD176&lt;=$AD$155,$AD$155,IF(AD176&lt;=$AD$156,$AD$156,IF(AD176&lt;=$AD$157,$AD$157,IF(AD176&lt;=$AD$158,$AD$158,IF(AD176&lt;=$AD$159,$AD$159,IF(AD176&lt;=$AD$160,$AD$160,IF(AD176&lt;=$AD$161,$AD$161,IF(AD176&lt;=$AD$162,$AD$162,IF(AD176&lt;=$AD$163,$AD$163,IF(AD176&lt;=$AD$164,$AD$164,IF(AD176&lt;=$AD$165,$AD$165,400)))))))))))</f>
        <v>400</v>
      </c>
      <c r="AF177" s="21"/>
      <c r="AG177" s="25">
        <f>IF(AD176&lt;=$AD$155,$AF$155,IF(AD176&lt;=$AD$156,$AF$156,IF(AD176&lt;=$AD$157,$AF$157,IF(AD176&lt;=$AD$158,$AF$158,IF(AD176&lt;=$AD$159,$AF$159,IF(AD176&lt;=$AD$160,$AF$160,IF(AD176&lt;=$AD$161,$AF$161,IF(AD176&lt;=$AD$162,$AF$162,IF(AD176&lt;=$AD$163,$AF$163,IF(AD176&lt;=$AD$164,$AF$164,IF(AD176&lt;=$AD$165,$AF$165,$AF$165)))))))))))</f>
        <v>0</v>
      </c>
      <c r="AH177" s="24"/>
      <c r="AI177" s="21">
        <f>IF(AH176&lt;=$AD$155,$AD$155,IF(AH176&lt;=$AD$156,$AD$156,IF(AH176&lt;=$AD$157,$AD$157,IF(AH176&lt;=$AD$158,$AD$158,IF(AH176&lt;=$AD$159,$AD$159,IF(AH176&lt;=$AD$160,$AD$160,IF(AH176&lt;=$AD$161,$AD$161,IF(AH176&lt;=$AD$162,$AD$162,IF(AH176&lt;=$AD$163,$AD$163,IF(AH176&lt;=$AD$164,$AD$164,IF(AH176&lt;=$AD$165,$AD$165,400)))))))))))</f>
        <v>400</v>
      </c>
      <c r="AJ177" s="21"/>
      <c r="AK177" s="25">
        <f>IF(AH176&lt;=$AD$155,$AG$155,IF(AH176&lt;=$AD$156,$AG$156,IF(AH176&lt;=$AD$157,$AG$157,IF(AH176&lt;=$AD$158,$AG$158,IF(AH176&lt;=$AD$159,$AG$159,IF(AH176&lt;=$AD$160,$AG$160,IF(AH176&lt;=$AD$161,$AG$161,IF(AH176&lt;=$AD$162,$AG$162,IF(AH176&lt;=$AD$163,$AG$163,IF(AH176&lt;=$AD$164,$AG$164,IF(AH176&lt;=$AD$165,$AG$165,$AG$165)))))))))))</f>
        <v>0</v>
      </c>
      <c r="AL177" s="24"/>
      <c r="AM177" s="21">
        <f>IF(AL176&lt;=$AD$155,$AD$155,IF(AL176&lt;=$AD$156,$AD$156,IF(AL176&lt;=$AD$157,$AD$157,IF(AL176&lt;=$AD$158,$AD$158,IF(AL176&lt;=$AD$159,$AD$159,IF(AL176&lt;=$AD$160,$AD$160,IF(AL176&lt;=$AD$161,$AD$161,IF(AL176&lt;=$AD$162,$AD$162,IF(AL176&lt;=$AD$163,$AD$163,IF(AL176&lt;=$AD$164,$AD$164,IF(AL176&lt;=$AD$165,$AD$165,400)))))))))))</f>
        <v>400</v>
      </c>
      <c r="AN177" s="21"/>
      <c r="AO177" s="25">
        <f>IF(AL176&lt;=$AD$155,$AH$155,IF(AL176&lt;=$AD$156,$AH$156,IF(AL176&lt;=$AD$157,$AH$157,IF(AL176&lt;=$AD$158,$AH$158,IF(AL176&lt;=$AD$159,$AH$159,IF(AL176&lt;=$AD$160,$AH$160,IF(AL176&lt;=$AD$161,$AH$161,IF(AL176&lt;=$AD$162,$AH$162,IF(AL176&lt;=$AD$163,$AH$163,IF(AL176&lt;=$AD$164,$AH$164,IF(AL176&lt;=$AD$165,$AH$165,$AH$165)))))))))))</f>
        <v>0</v>
      </c>
    </row>
    <row r="178" spans="1:41" ht="15">
      <c r="A178" s="1430"/>
      <c r="B178" s="1430"/>
      <c r="H178" s="1581"/>
      <c r="I178" s="1581"/>
      <c r="J178" s="1581"/>
      <c r="K178" s="1581"/>
      <c r="X178" s="1574" t="s">
        <v>112</v>
      </c>
      <c r="Y178" s="1575"/>
      <c r="Z178" s="1575"/>
      <c r="AA178" s="1576"/>
      <c r="AD178" s="1574" t="s">
        <v>112</v>
      </c>
      <c r="AE178" s="1575"/>
      <c r="AF178" s="1575"/>
      <c r="AG178" s="1576"/>
      <c r="AH178" s="1574" t="s">
        <v>113</v>
      </c>
      <c r="AI178" s="1575"/>
      <c r="AJ178" s="1575"/>
      <c r="AK178" s="1576"/>
      <c r="AL178" s="1574" t="s">
        <v>131</v>
      </c>
      <c r="AM178" s="1575"/>
      <c r="AN178" s="1575"/>
      <c r="AO178" s="1576"/>
    </row>
    <row r="179" spans="1:41" ht="13">
      <c r="A179" s="16"/>
      <c r="B179" s="16"/>
      <c r="H179" s="472"/>
      <c r="I179" s="472"/>
      <c r="J179" s="472"/>
      <c r="K179" s="472"/>
      <c r="X179" s="22"/>
      <c r="Y179" s="17">
        <f>IF(X180&lt;=$X$155,0,IF(X180&lt;=$X$156,$X$155,IF(X180&lt;=$X$157,$X$156,IF(X180&lt;=$X$158,$X$157,IF(X180&lt;=$X$159,$X$158,IF(X180&lt;=$X$160,$X$159,IF(X180&lt;=$X$161,$X$160,IF(X180&lt;=$X$162,$X$161,$X$162))))))))</f>
        <v>0</v>
      </c>
      <c r="Z179" s="17"/>
      <c r="AA179" s="18">
        <f>IF(X180&lt;=$X$155,0,IF(X180&lt;=$X$156,$Z$155,IF(X180&lt;=$X$157,$Z$156,IF(X180&lt;=$X$158,$Z$157,IF(X180&lt;=$X$159,$Z$158,IF(X180&lt;=$X$160,$Z$159,IF(X180&lt;=$X$161,$Z$160,IF(X180&lt;=$X$162,$Z$161,$Z$162))))))))</f>
        <v>0</v>
      </c>
      <c r="AD179" s="22"/>
      <c r="AE179" s="17">
        <f>IF(AD180&lt;=$AD$156,$AD$155,IF(AD180&lt;=$AD$157,$AD$156,IF(AD180&lt;=$AD$158,$AD$157,IF(AD180&lt;=$AD$159,$AD$158,IF(AD180&lt;=$AD$160,$AD$159,IF(AD180&lt;=$AD$161,$AD$160,IF(AD180&lt;=$AD$162,$AD$161,IF(AD180&lt;=$AD$163,$AD$162,IF(AD180&lt;=$AD$164,$AD$163,IF(AD180&lt;=$AD$165,$AD$164,$AD$165))))))))))</f>
        <v>0</v>
      </c>
      <c r="AF179" s="17"/>
      <c r="AG179" s="18">
        <f>IF(AD180&lt;=$AD$156,$AF$155,IF(AD180&lt;=$AD$157,$AF$156,IF(AD180&lt;=$AD$158,$AF$157,IF(AD180&lt;=$AD$159,$AF$158,IF(AD180&lt;=$AD$160,$AF$159,IF(AD180&lt;=$AD$161,$AF$160,IF(AD180&lt;=$AD$162,$AF$161,IF(AD180&lt;=$AD$163,$AF$162,IF(AD180&lt;=$AD$164,$AF$163,IF(AD180&lt;=$AD$165,$AF$164,$AF$165))))))))))</f>
        <v>0</v>
      </c>
      <c r="AH179" s="22"/>
      <c r="AI179" s="17">
        <f>IF(AH180&lt;=$AD$156,$AD$155,IF(AH180&lt;=$AD$157,$AD$156,IF(AH180&lt;=$AD$158,$AD$157,IF(AH180&lt;=$AD$159,$AD$158,IF(AH180&lt;=$AD$160,$AD$159,IF(AH180&lt;=$AD$161,$AD$160,IF(AH180&lt;=$AD$162,$AD$161,IF(AH180&lt;=$AD$163,$AD$162,IF(AH180&lt;=$AD$164,$AD$163,IF(AH180&lt;=$AD$165,$AD$164,$AD$165))))))))))</f>
        <v>0</v>
      </c>
      <c r="AJ179" s="17"/>
      <c r="AK179" s="18">
        <f>IF(AH180&lt;=$AD$156,$AG$155,IF(AH180&lt;=$AD$157,$AG$156,IF(AH180&lt;=$AD$158,$AG$157,IF(AH180&lt;=$AD$159,$AG$158,IF(AH180&lt;=$AD$160,$AG$159,IF(AH180&lt;=$AD$161,$AG$160,IF(AH180&lt;=$AD$162,$AG$161,IF(AH180&lt;=$AD$163,$AG$162,IF(AH180&lt;=$AD$164,$AG$163,IF(AH180&lt;=$AD$165,$AG$164,$AG$165))))))))))</f>
        <v>0</v>
      </c>
      <c r="AL179" s="22"/>
      <c r="AM179" s="17">
        <f>IF(AL180&lt;=$AD$156,$AD$155,IF(AL180&lt;=$AD$157,$AD$156,IF(AL180&lt;=$AD$158,$AD$157,IF(AL180&lt;=$AD$159,$AD$158,IF(AL180&lt;=$AD$160,$AD$159,IF(AL180&lt;=$AD$161,$AD$160,IF(AL180&lt;=$AD$162,$AD$161,IF(AL180&lt;=$AD$163,$AD$162,IF(AL180&lt;=$AD$164,$AD$163,IF(AL180&lt;=$AD$165,$AD$164,$AD$165))))))))))</f>
        <v>0</v>
      </c>
      <c r="AN179" s="17"/>
      <c r="AO179" s="18">
        <f>IF(AL180&lt;=$AD$156,$AH$155,IF(AL180&lt;=$AD$157,$AH$156,IF(AL180&lt;=$AD$158,$AH$157,IF(AL180&lt;=$AD$159,$AH$158,IF(AL180&lt;=$AD$160,$AH$159,IF(AL180&lt;=$AD$161,$AH$160,IF(AL180&lt;=$AD$162,$AH$161,IF(AL180&lt;=$AD$163,$AH$162,IF(AL180&lt;=$AD$164,$AH$163,IF(AL180&lt;=$AD$165,$AH$164,$AH$165))))))))))</f>
        <v>0</v>
      </c>
    </row>
    <row r="180" spans="1:41" ht="13">
      <c r="A180" s="16"/>
      <c r="B180" s="16"/>
      <c r="H180" s="473"/>
      <c r="I180" s="472"/>
      <c r="J180" s="473"/>
      <c r="K180" s="473"/>
      <c r="X180" s="23">
        <f>ID!K45</f>
        <v>95</v>
      </c>
      <c r="Y180" s="17"/>
      <c r="Z180" s="19">
        <f>((X180-Y179)/(Y181-Y179)*(AA181-AA179)+AA179)</f>
        <v>0</v>
      </c>
      <c r="AA180" s="20"/>
      <c r="AD180" s="23">
        <f>ID!D55</f>
        <v>80</v>
      </c>
      <c r="AE180" s="17"/>
      <c r="AF180" s="19">
        <f>((AD180-AE179)/(AE181-AE179)*(AG181-AG179)+AG179)</f>
        <v>0</v>
      </c>
      <c r="AG180" s="20"/>
      <c r="AH180" s="23">
        <f>AD180</f>
        <v>80</v>
      </c>
      <c r="AI180" s="17"/>
      <c r="AJ180" s="19">
        <f>((AH180-AI179)/(AI181-AI179)*(AK181-AK179)+AK179)</f>
        <v>0</v>
      </c>
      <c r="AK180" s="20"/>
      <c r="AL180" s="23">
        <f>AH180</f>
        <v>80</v>
      </c>
      <c r="AM180" s="17"/>
      <c r="AN180" s="19">
        <f>((AL180-AM179)/(AM181-AM179)*(AO181-AO179)+AO179)</f>
        <v>0</v>
      </c>
      <c r="AO180" s="20"/>
    </row>
    <row r="181" spans="1:41" ht="13.5" thickBot="1">
      <c r="A181" s="16"/>
      <c r="B181" s="16"/>
      <c r="H181" s="472"/>
      <c r="I181" s="472"/>
      <c r="J181" s="472"/>
      <c r="K181" s="472"/>
      <c r="X181" s="24"/>
      <c r="Y181" s="21">
        <f>IF(X180&lt;=$X$155,$X$155,IF(X180&lt;=$X$156,$X$156,IF(X180&lt;=$X$157,$X$157,IF(X180&lt;=$X$158,$X$158,IF(X180&lt;=$X$159,$X$159,IF(X180&lt;=$X$160,$X$160,IF(X180&lt;=$X$161,$X$161,IF(X180&lt;=$X$162,$X$162,105))))))))</f>
        <v>105</v>
      </c>
      <c r="Z181" s="21"/>
      <c r="AA181" s="25">
        <f>IF(X180&lt;=$X$155,$Z$155,IF(X180&lt;=$X$156,$Z$156,IF(X180&lt;=$X$157,$Z$157,IF(X180&lt;=$X$158,$Z$158,IF(X180&lt;=$X$159,$Z$159,IF(X180&lt;=$X$160,$Z$160,IF(X180&lt;=$X$161,$Z$161,IF(X180&lt;=$X$162,$Z$162,$Z$162))))))))</f>
        <v>0</v>
      </c>
      <c r="AD181" s="24"/>
      <c r="AE181" s="21">
        <f>IF(AD180&lt;=$AD$155,$AD$155,IF(AD180&lt;=$AD$156,$AD$156,IF(AD180&lt;=$AD$157,$AD$157,IF(AD180&lt;=$AD$158,$AD$158,IF(AD180&lt;=$AD$159,$AD$159,IF(AD180&lt;=$AD$160,$AD$160,IF(AD180&lt;=$AD$161,$AD$161,IF(AD180&lt;=$AD$162,$AD$162,IF(AD180&lt;=$AD$163,$AD$163,IF(AD180&lt;=$AD$164,$AD$164,IF(AD180&lt;=$AD$165,$AD$165,400)))))))))))</f>
        <v>400</v>
      </c>
      <c r="AF181" s="21"/>
      <c r="AG181" s="25">
        <f>IF(AD180&lt;=$AD$155,$AF$155,IF(AD180&lt;=$AD$156,$AF$156,IF(AD180&lt;=$AD$157,$AF$157,IF(AD180&lt;=$AD$158,$AF$158,IF(AD180&lt;=$AD$159,$AF$159,IF(AD180&lt;=$AD$160,$AF$160,IF(AD180&lt;=$AD$161,$AF$161,IF(AD180&lt;=$AD$162,$AF$162,IF(AD180&lt;=$AD$163,$AF$163,IF(AD180&lt;=$AD$164,$AF$164,IF(AD180&lt;=$AD$165,$AF$165,$AF$165)))))))))))</f>
        <v>0</v>
      </c>
      <c r="AH181" s="24"/>
      <c r="AI181" s="21">
        <f>IF(AH180&lt;=$AD$155,$AD$155,IF(AH180&lt;=$AD$156,$AD$156,IF(AH180&lt;=$AD$157,$AD$157,IF(AH180&lt;=$AD$158,$AD$158,IF(AH180&lt;=$AD$159,$AD$159,IF(AH180&lt;=$AD$160,$AD$160,IF(AH180&lt;=$AD$161,$AD$161,IF(AH180&lt;=$AD$162,$AD$162,IF(AH180&lt;=$AD$163,$AD$163,IF(AH180&lt;=$AD$164,$AD$164,IF(AH180&lt;=$AD$165,$AD$165,400)))))))))))</f>
        <v>400</v>
      </c>
      <c r="AJ181" s="21"/>
      <c r="AK181" s="25">
        <f>IF(AH180&lt;=$AD$155,$AG$155,IF(AH180&lt;=$AD$156,$AG$156,IF(AH180&lt;=$AD$157,$AG$157,IF(AH180&lt;=$AD$158,$AG$158,IF(AH180&lt;=$AD$159,$AG$159,IF(AH180&lt;=$AD$160,$AG$160,IF(AH180&lt;=$AD$161,$AG$161,IF(AH180&lt;=$AD$162,$AG$162,IF(AH180&lt;=$AD$163,$AG$163,IF(AH180&lt;=$AD$164,$AG$164,IF(AH180&lt;=$AD$165,$AG$165,$AG$165)))))))))))</f>
        <v>0</v>
      </c>
      <c r="AL181" s="24"/>
      <c r="AM181" s="21">
        <f>IF(AL180&lt;=$AD$155,$AD$155,IF(AL180&lt;=$AD$156,$AD$156,IF(AL180&lt;=$AD$157,$AD$157,IF(AL180&lt;=$AD$158,$AD$158,IF(AL180&lt;=$AD$159,$AD$159,IF(AL180&lt;=$AD$160,$AD$160,IF(AL180&lt;=$AD$161,$AD$161,IF(AL180&lt;=$AD$162,$AD$162,IF(AL180&lt;=$AD$163,$AD$163,IF(AL180&lt;=$AD$164,$AD$164,IF(AL180&lt;=$AD$165,$AD$165,400)))))))))))</f>
        <v>400</v>
      </c>
      <c r="AN181" s="21"/>
      <c r="AO181" s="25">
        <f>IF(AL180&lt;=$AD$155,$AH$155,IF(AL180&lt;=$AD$156,$AH$156,IF(AL180&lt;=$AD$157,$AH$157,IF(AL180&lt;=$AD$158,$AH$158,IF(AL180&lt;=$AD$159,$AH$159,IF(AL180&lt;=$AD$160,$AH$160,IF(AL180&lt;=$AD$161,$AH$161,IF(AL180&lt;=$AD$162,$AH$162,IF(AL180&lt;=$AD$163,$AH$163,IF(AL180&lt;=$AD$164,$AH$164,IF(AL180&lt;=$AD$165,$AH$165,$AH$165)))))))))))</f>
        <v>0</v>
      </c>
    </row>
    <row r="182" spans="1:41" ht="15">
      <c r="A182" s="16"/>
      <c r="B182" s="16"/>
      <c r="X182" s="1574" t="s">
        <v>112</v>
      </c>
      <c r="Y182" s="1575"/>
      <c r="Z182" s="1575"/>
      <c r="AA182" s="1576"/>
      <c r="AD182" s="1574" t="s">
        <v>112</v>
      </c>
      <c r="AE182" s="1575"/>
      <c r="AF182" s="1575"/>
      <c r="AG182" s="1576"/>
      <c r="AH182" s="1574" t="s">
        <v>113</v>
      </c>
      <c r="AI182" s="1575"/>
      <c r="AJ182" s="1575"/>
      <c r="AK182" s="1576"/>
      <c r="AL182" s="1574" t="s">
        <v>131</v>
      </c>
      <c r="AM182" s="1575"/>
      <c r="AN182" s="1575"/>
      <c r="AO182" s="1576"/>
    </row>
    <row r="183" spans="1:41" ht="13">
      <c r="A183" s="16"/>
      <c r="B183" s="16"/>
      <c r="X183" s="22"/>
      <c r="Y183" s="17">
        <f>IF(X184&lt;=$X$155,0,IF(X184&lt;=$X$156,$X$155,IF(X184&lt;=$X$157,$X$156,IF(X184&lt;=$X$158,$X$157,IF(X184&lt;=$X$159,$X$158,IF(X184&lt;=$X$160,$X$159,IF(X184&lt;=$X$161,$X$160,IF(X184&lt;=$X$162,$X$161,$X$162))))))))</f>
        <v>0</v>
      </c>
      <c r="Z183" s="17"/>
      <c r="AA183" s="18">
        <f>IF(X184&lt;=$X$155,0,IF(X184&lt;=$X$156,$Z$155,IF(X184&lt;=$X$157,$Z$156,IF(X184&lt;=$X$158,$Z$157,IF(X184&lt;=$X$159,$Z$158,IF(X184&lt;=$X$160,$Z$159,IF(X184&lt;=$X$161,$Z$160,IF(X184&lt;=$X$162,$Z$161,$Z$162))))))))</f>
        <v>0</v>
      </c>
      <c r="AD183" s="22"/>
      <c r="AE183" s="17">
        <f>IF(AD184&lt;=$AD$156,$AD$155,IF(AD184&lt;=$AD$157,$AD$156,IF(AD184&lt;=$AD$158,$AD$157,IF(AD184&lt;=$AD$159,$AD$158,IF(AD184&lt;=$AD$160,$AD$159,IF(AD184&lt;=$AD$161,$AD$160,IF(AD184&lt;=$AD$162,$AD$161,IF(AD184&lt;=$AD$163,$AD$162,IF(AD184&lt;=$AD$164,$AD$163,IF(AD184&lt;=$AD$165,$AD$164,$AD$165))))))))))</f>
        <v>0</v>
      </c>
      <c r="AF183" s="17"/>
      <c r="AG183" s="18">
        <f>IF(AD184&lt;=$AD$156,$AF$155,IF(AD184&lt;=$AD$157,$AF$156,IF(AD184&lt;=$AD$158,$AF$157,IF(AD184&lt;=$AD$159,$AF$158,IF(AD184&lt;=$AD$160,$AF$159,IF(AD184&lt;=$AD$161,$AF$160,IF(AD184&lt;=$AD$162,$AF$161,IF(AD184&lt;=$AD$163,$AF$162,IF(AD184&lt;=$AD$164,$AF$163,IF(AD184&lt;=$AD$165,$AF$164,$AF$165))))))))))</f>
        <v>0</v>
      </c>
      <c r="AH183" s="22"/>
      <c r="AI183" s="17">
        <f>IF(AH184&lt;=$AD$156,$AD$155,IF(AH184&lt;=$AD$157,$AD$156,IF(AH184&lt;=$AD$158,$AD$157,IF(AH184&lt;=$AD$159,$AD$158,IF(AH184&lt;=$AD$160,$AD$159,IF(AH184&lt;=$AD$161,$AD$160,IF(AH184&lt;=$AD$162,$AD$161,IF(AH184&lt;=$AD$163,$AD$162,IF(AH184&lt;=$AD$164,$AD$163,IF(AH184&lt;=$AD$165,$AD$164,$AD$165))))))))))</f>
        <v>0</v>
      </c>
      <c r="AJ183" s="17"/>
      <c r="AK183" s="18">
        <f>IF(AH184&lt;=$AD$156,$AG$155,IF(AH184&lt;=$AD$157,$AG$156,IF(AH184&lt;=$AD$158,$AG$157,IF(AH184&lt;=$AD$159,$AG$158,IF(AH184&lt;=$AD$160,$AG$159,IF(AH184&lt;=$AD$161,$AG$160,IF(AH184&lt;=$AD$162,$AG$161,IF(AH184&lt;=$AD$163,$AG$162,IF(AH184&lt;=$AD$164,$AG$163,IF(AH184&lt;=$AD$165,$AG$164,$AG$165))))))))))</f>
        <v>0</v>
      </c>
      <c r="AL183" s="22"/>
      <c r="AM183" s="17">
        <f>IF(AL184&lt;=$AD$156,$AD$155,IF(AL184&lt;=$AD$157,$AD$156,IF(AL184&lt;=$AD$158,$AD$157,IF(AL184&lt;=$AD$159,$AD$158,IF(AL184&lt;=$AD$160,$AD$159,IF(AL184&lt;=$AD$161,$AD$160,IF(AL184&lt;=$AD$162,$AD$161,IF(AL184&lt;=$AD$163,$AD$162,IF(AL184&lt;=$AD$164,$AD$163,IF(AL184&lt;=$AD$165,$AD$164,$AD$165))))))))))</f>
        <v>0</v>
      </c>
      <c r="AN183" s="17"/>
      <c r="AO183" s="18">
        <f>IF(AL184&lt;=$AD$156,$AH$155,IF(AL184&lt;=$AD$157,$AH$156,IF(AL184&lt;=$AD$158,$AH$157,IF(AL184&lt;=$AD$159,$AH$158,IF(AL184&lt;=$AD$160,$AH$159,IF(AL184&lt;=$AD$161,$AH$160,IF(AL184&lt;=$AD$162,$AH$161,IF(AL184&lt;=$AD$163,$AH$162,IF(AL184&lt;=$AD$164,$AH$163,IF(AL184&lt;=$AD$165,$AH$164,$AH$165))))))))))</f>
        <v>0</v>
      </c>
    </row>
    <row r="184" spans="1:41">
      <c r="X184" s="23">
        <f>ID!K46</f>
        <v>98</v>
      </c>
      <c r="Y184" s="17"/>
      <c r="Z184" s="19">
        <f>((X184-Y183)/(Y185-Y183)*(AA185-AA183)+AA183)</f>
        <v>0</v>
      </c>
      <c r="AA184" s="20"/>
      <c r="AD184" s="23">
        <f>ID!D56</f>
        <v>150</v>
      </c>
      <c r="AE184" s="17"/>
      <c r="AF184" s="19">
        <f>((AD184-AE183)/(AE185-AE183)*(AG185-AG183)+AG183)</f>
        <v>0</v>
      </c>
      <c r="AG184" s="20"/>
      <c r="AH184" s="23">
        <f>AD184</f>
        <v>150</v>
      </c>
      <c r="AI184" s="17"/>
      <c r="AJ184" s="19">
        <f>((AH184-AI183)/(AI185-AI183)*(AK185-AK183)+AK183)</f>
        <v>0</v>
      </c>
      <c r="AK184" s="20"/>
      <c r="AL184" s="23">
        <f>AH184</f>
        <v>150</v>
      </c>
      <c r="AM184" s="17"/>
      <c r="AN184" s="19">
        <f>((AL184-AM183)/(AM185-AM183)*(AO185-AO183)+AO183)</f>
        <v>0</v>
      </c>
      <c r="AO184" s="20"/>
    </row>
    <row r="185" spans="1:41" ht="13" thickBot="1">
      <c r="X185" s="24"/>
      <c r="Y185" s="21">
        <f>IF(X184&lt;=$X$155,$X$155,IF(X184&lt;=$X$156,$X$156,IF(X184&lt;=$X$157,$X$157,IF(X184&lt;=$X$158,$X$158,IF(X184&lt;=$X$159,$X$159,IF(X184&lt;=$X$160,$X$160,IF(X184&lt;=$X$161,$X$161,IF(X184&lt;=$X$162,$X$162,105))))))))</f>
        <v>105</v>
      </c>
      <c r="Z185" s="21"/>
      <c r="AA185" s="25">
        <f>IF(X184&lt;=$X$155,$Z$155,IF(X184&lt;=$X$156,$Z$156,IF(X184&lt;=$X$157,$Z$157,IF(X184&lt;=$X$158,$Z$158,IF(X184&lt;=$X$159,$Z$159,IF(X184&lt;=$X$160,$Z$160,IF(X184&lt;=$X$161,$Z$161,IF(X184&lt;=$X$162,$Z$162,$Z$162))))))))</f>
        <v>0</v>
      </c>
      <c r="AD185" s="24"/>
      <c r="AE185" s="21">
        <f>IF(AD184&lt;=$AD$155,$AD$155,IF(AD184&lt;=$AD$156,$AD$156,IF(AD184&lt;=$AD$157,$AD$157,IF(AD184&lt;=$AD$158,$AD$158,IF(AD184&lt;=$AD$159,$AD$159,IF(AD184&lt;=$AD$160,$AD$160,IF(AD184&lt;=$AD$161,$AD$161,IF(AD184&lt;=$AD$162,$AD$162,IF(AD184&lt;=$AD$163,$AD$163,IF(AD184&lt;=$AD$164,$AD$164,IF(AD184&lt;=$AD$165,$AD$165,400)))))))))))</f>
        <v>400</v>
      </c>
      <c r="AF185" s="21"/>
      <c r="AG185" s="25">
        <f>IF(AD184&lt;=$AD$155,$AF$155,IF(AD184&lt;=$AD$156,$AF$156,IF(AD184&lt;=$AD$157,$AF$157,IF(AD184&lt;=$AD$158,$AF$158,IF(AD184&lt;=$AD$159,$AF$159,IF(AD184&lt;=$AD$160,$AF$160,IF(AD184&lt;=$AD$161,$AF$161,IF(AD184&lt;=$AD$162,$AF$162,IF(AD184&lt;=$AD$163,$AF$163,IF(AD184&lt;=$AD$164,$AF$164,IF(AD184&lt;=$AD$165,$AF$165,$AF$165)))))))))))</f>
        <v>0</v>
      </c>
      <c r="AH185" s="24"/>
      <c r="AI185" s="21">
        <f>IF(AH184&lt;=$AD$155,$AD$155,IF(AH184&lt;=$AD$156,$AD$156,IF(AH184&lt;=$AD$157,$AD$157,IF(AH184&lt;=$AD$158,$AD$158,IF(AH184&lt;=$AD$159,$AD$159,IF(AH184&lt;=$AD$160,$AD$160,IF(AH184&lt;=$AD$161,$AD$161,IF(AH184&lt;=$AD$162,$AD$162,IF(AH184&lt;=$AD$163,$AD$163,IF(AH184&lt;=$AD$164,$AD$164,IF(AH184&lt;=$AD$165,$AD$165,400)))))))))))</f>
        <v>400</v>
      </c>
      <c r="AJ185" s="21"/>
      <c r="AK185" s="25">
        <f>IF(AH184&lt;=$AD$155,$AG$155,IF(AH184&lt;=$AD$156,$AG$156,IF(AH184&lt;=$AD$157,$AG$157,IF(AH184&lt;=$AD$158,$AG$158,IF(AH184&lt;=$AD$159,$AG$159,IF(AH184&lt;=$AD$160,$AG$160,IF(AH184&lt;=$AD$161,$AG$161,IF(AH184&lt;=$AD$162,$AG$162,IF(AH184&lt;=$AD$163,$AG$163,IF(AH184&lt;=$AD$164,$AG$164,IF(AH184&lt;=$AD$165,$AG$165,$AG$165)))))))))))</f>
        <v>0</v>
      </c>
      <c r="AL185" s="24"/>
      <c r="AM185" s="21">
        <f>IF(AL184&lt;=$AD$155,$AD$155,IF(AL184&lt;=$AD$156,$AD$156,IF(AL184&lt;=$AD$157,$AD$157,IF(AL184&lt;=$AD$158,$AD$158,IF(AL184&lt;=$AD$159,$AD$159,IF(AL184&lt;=$AD$160,$AD$160,IF(AL184&lt;=$AD$161,$AD$161,IF(AL184&lt;=$AD$162,$AD$162,IF(AL184&lt;=$AD$163,$AD$163,IF(AL184&lt;=$AD$164,$AD$164,IF(AL184&lt;=$AD$165,$AD$165,400)))))))))))</f>
        <v>400</v>
      </c>
      <c r="AN185" s="21"/>
      <c r="AO185" s="25">
        <f>IF(AL184&lt;=$AD$155,$AH$155,IF(AL184&lt;=$AD$156,$AH$156,IF(AL184&lt;=$AD$157,$AH$157,IF(AL184&lt;=$AD$158,$AH$158,IF(AL184&lt;=$AD$159,$AH$159,IF(AL184&lt;=$AD$160,$AH$160,IF(AL184&lt;=$AD$161,$AH$161,IF(AL184&lt;=$AD$162,$AH$162,IF(AL184&lt;=$AD$163,$AH$163,IF(AL184&lt;=$AD$164,$AH$164,IF(AL184&lt;=$AD$165,$AH$165,$AH$165)))))))))))</f>
        <v>0</v>
      </c>
    </row>
    <row r="186" spans="1:41" ht="15">
      <c r="X186" s="1574" t="s">
        <v>112</v>
      </c>
      <c r="Y186" s="1575"/>
      <c r="Z186" s="1575"/>
      <c r="AA186" s="1576"/>
      <c r="AD186" s="1574" t="s">
        <v>112</v>
      </c>
      <c r="AE186" s="1575"/>
      <c r="AF186" s="1575"/>
      <c r="AG186" s="1576"/>
      <c r="AH186" s="1574" t="s">
        <v>113</v>
      </c>
      <c r="AI186" s="1575"/>
      <c r="AJ186" s="1575"/>
      <c r="AK186" s="1576"/>
      <c r="AL186" s="1574" t="s">
        <v>131</v>
      </c>
      <c r="AM186" s="1575"/>
      <c r="AN186" s="1575"/>
      <c r="AO186" s="1576"/>
    </row>
    <row r="187" spans="1:41">
      <c r="X187" s="22"/>
      <c r="Y187" s="17">
        <f>IF(X188&lt;=$X$155,0,IF(X188&lt;=$X$156,$X$155,IF(X188&lt;=$X$157,$X$156,IF(X188&lt;=$X$158,$X$157,IF(X188&lt;=$X$159,$X$158,IF(X188&lt;=$X$160,$X$159,IF(X188&lt;=$X$161,$X$160,IF(X188&lt;=$X$162,$X$161,$X$162))))))))</f>
        <v>0</v>
      </c>
      <c r="Z187" s="17"/>
      <c r="AA187" s="18">
        <f>IF(X188&lt;=$X$155,0,IF(X188&lt;=$X$156,$Z$155,IF(X188&lt;=$X$157,$Z$156,IF(X188&lt;=$X$158,$Z$157,IF(X188&lt;=$X$159,$Z$158,IF(X188&lt;=$X$160,$Z$159,IF(X188&lt;=$X$161,$Z$160,IF(X188&lt;=$X$162,$Z$161,$Z$162))))))))</f>
        <v>0</v>
      </c>
      <c r="AD187" s="22"/>
      <c r="AE187" s="17">
        <f>IF(AD188&lt;=$AD$156,$AD$155,IF(AD188&lt;=$AD$157,$AD$156,IF(AD188&lt;=$AD$158,$AD$157,IF(AD188&lt;=$AD$159,$AD$158,IF(AD188&lt;=$AD$160,$AD$159,IF(AD188&lt;=$AD$161,$AD$160,IF(AD188&lt;=$AD$162,$AD$161,IF(AD188&lt;=$AD$163,$AD$162,IF(AD188&lt;=$AD$164,$AD$163,IF(AD188&lt;=$AD$165,$AD$164,$AD$165))))))))))</f>
        <v>0</v>
      </c>
      <c r="AF187" s="17"/>
      <c r="AG187" s="18">
        <f>IF(AD188&lt;=$AD$156,$AF$155,IF(AD188&lt;=$AD$157,$AF$156,IF(AD188&lt;=$AD$158,$AF$157,IF(AD188&lt;=$AD$159,$AF$158,IF(AD188&lt;=$AD$160,$AF$159,IF(AD188&lt;=$AD$161,$AF$160,IF(AD188&lt;=$AD$162,$AF$161,IF(AD188&lt;=$AD$163,$AF$162,IF(AD188&lt;=$AD$164,$AF$163,IF(AD188&lt;=$AD$165,$AF$164,$AF$165))))))))))</f>
        <v>0</v>
      </c>
      <c r="AH187" s="22"/>
      <c r="AI187" s="17">
        <f>IF(AH188&lt;=$AD$156,$AD$155,IF(AH188&lt;=$AD$157,$AD$156,IF(AH188&lt;=$AD$158,$AD$157,IF(AH188&lt;=$AD$159,$AD$158,IF(AH188&lt;=$AD$160,$AD$159,IF(AH188&lt;=$AD$161,$AD$160,IF(AH188&lt;=$AD$162,$AD$161,IF(AH188&lt;=$AD$163,$AD$162,IF(AH188&lt;=$AD$164,$AD$163,IF(AH188&lt;=$AD$165,$AD$164,$AD$165))))))))))</f>
        <v>0</v>
      </c>
      <c r="AJ187" s="17"/>
      <c r="AK187" s="18">
        <f>IF(AH188&lt;=$AD$156,$AG$155,IF(AH188&lt;=$AD$157,$AG$156,IF(AH188&lt;=$AD$158,$AG$157,IF(AH188&lt;=$AD$159,$AG$158,IF(AH188&lt;=$AD$160,$AG$159,IF(AH188&lt;=$AD$161,$AG$160,IF(AH188&lt;=$AD$162,$AG$161,IF(AH188&lt;=$AD$163,$AG$162,IF(AH188&lt;=$AD$164,$AG$163,IF(AH188&lt;=$AD$165,$AG$164,$AG$165))))))))))</f>
        <v>0</v>
      </c>
      <c r="AL187" s="22"/>
      <c r="AM187" s="17">
        <f>IF(AL188&lt;=$AD$156,$AD$155,IF(AL188&lt;=$AD$157,$AD$156,IF(AL188&lt;=$AD$158,$AD$157,IF(AL188&lt;=$AD$159,$AD$158,IF(AL188&lt;=$AD$160,$AD$159,IF(AL188&lt;=$AD$161,$AD$160,IF(AL188&lt;=$AD$162,$AD$161,IF(AL188&lt;=$AD$163,$AD$162,IF(AL188&lt;=$AD$164,$AD$163,IF(AL188&lt;=$AD$165,$AD$164,$AD$165))))))))))</f>
        <v>0</v>
      </c>
      <c r="AN187" s="17"/>
      <c r="AO187" s="18">
        <f>IF(AL188&lt;=$AD$156,$AH$155,IF(AL188&lt;=$AD$157,$AH$156,IF(AL188&lt;=$AD$158,$AH$157,IF(AL188&lt;=$AD$159,$AH$158,IF(AL188&lt;=$AD$160,$AH$159,IF(AL188&lt;=$AD$161,$AH$160,IF(AL188&lt;=$AD$162,$AH$161,IF(AL188&lt;=$AD$163,$AH$162,IF(AL188&lt;=$AD$164,$AH$163,IF(AL188&lt;=$AD$165,$AH$164,$AH$165))))))))))</f>
        <v>0</v>
      </c>
    </row>
    <row r="188" spans="1:41" ht="15">
      <c r="B188" s="1581"/>
      <c r="C188" s="1581"/>
      <c r="D188" s="1581"/>
      <c r="E188" s="1581"/>
      <c r="F188" s="1581"/>
      <c r="G188" s="1581"/>
      <c r="H188" s="1581"/>
      <c r="I188" s="1581"/>
      <c r="X188" s="23">
        <f>ID!K47</f>
        <v>99</v>
      </c>
      <c r="Y188" s="17"/>
      <c r="Z188" s="19">
        <f>((X188-Y187)/(Y189-Y187)*(AA189-AA187)+AA187)</f>
        <v>0</v>
      </c>
      <c r="AA188" s="20"/>
      <c r="AD188" s="23">
        <f>ID!D57</f>
        <v>100</v>
      </c>
      <c r="AE188" s="17"/>
      <c r="AF188" s="19">
        <f>((AD188-AE187)/(AE189-AE187)*(AG189-AG187)+AG187)</f>
        <v>0</v>
      </c>
      <c r="AG188" s="20"/>
      <c r="AH188" s="23">
        <f>AD188</f>
        <v>100</v>
      </c>
      <c r="AI188" s="17"/>
      <c r="AJ188" s="19">
        <f>((AH188-AI187)/(AI189-AI187)*(AK189-AK187)+AK187)</f>
        <v>0</v>
      </c>
      <c r="AK188" s="20"/>
      <c r="AL188" s="23">
        <f>AH188</f>
        <v>100</v>
      </c>
      <c r="AM188" s="17"/>
      <c r="AN188" s="19">
        <f>((AL188-AM187)/(AM189-AM187)*(AO189-AO187)+AO187)</f>
        <v>0</v>
      </c>
      <c r="AO188" s="20"/>
    </row>
    <row r="189" spans="1:41" ht="13" thickBot="1">
      <c r="B189" s="472"/>
      <c r="C189" s="472"/>
      <c r="D189" s="472"/>
      <c r="E189" s="473"/>
      <c r="F189" s="472"/>
      <c r="G189" s="472"/>
      <c r="H189" s="472"/>
      <c r="I189" s="474"/>
      <c r="X189" s="24"/>
      <c r="Y189" s="21">
        <f>IF(X188&lt;=$X$155,$X$155,IF(X188&lt;=$X$156,$X$156,IF(X188&lt;=$X$157,$X$157,IF(X188&lt;=$X$158,$X$158,IF(X188&lt;=$X$159,$X$159,IF(X188&lt;=$X$160,$X$160,IF(X188&lt;=$X$161,$X$161,IF(X188&lt;=$X$162,$X$162,105))))))))</f>
        <v>105</v>
      </c>
      <c r="Z189" s="21"/>
      <c r="AA189" s="25">
        <f>IF(X188&lt;=$X$155,$Z$155,IF(X188&lt;=$X$156,$Z$156,IF(X188&lt;=$X$157,$Z$157,IF(X188&lt;=$X$158,$Z$158,IF(X188&lt;=$X$159,$Z$159,IF(X188&lt;=$X$160,$Z$160,IF(X188&lt;=$X$161,$Z$161,IF(X188&lt;=$X$162,$Z$162,$Z$162))))))))</f>
        <v>0</v>
      </c>
      <c r="AD189" s="24"/>
      <c r="AE189" s="21">
        <f>IF(AD188&lt;=$AD$155,$AD$155,IF(AD188&lt;=$AD$156,$AD$156,IF(AD188&lt;=$AD$157,$AD$157,IF(AD188&lt;=$AD$158,$AD$158,IF(AD188&lt;=$AD$159,$AD$159,IF(AD188&lt;=$AD$160,$AD$160,IF(AD188&lt;=$AD$161,$AD$161,IF(AD188&lt;=$AD$162,$AD$162,IF(AD188&lt;=$AD$163,$AD$163,IF(AD188&lt;=$AD$164,$AD$164,IF(AD188&lt;=$AD$165,$AD$165,400)))))))))))</f>
        <v>400</v>
      </c>
      <c r="AF189" s="21"/>
      <c r="AG189" s="25">
        <f>IF(AD188&lt;=$AD$155,$AF$155,IF(AD188&lt;=$AD$156,$AF$156,IF(AD188&lt;=$AD$157,$AF$157,IF(AD188&lt;=$AD$158,$AF$158,IF(AD188&lt;=$AD$159,$AF$159,IF(AD188&lt;=$AD$160,$AF$160,IF(AD188&lt;=$AD$161,$AF$161,IF(AD188&lt;=$AD$162,$AF$162,IF(AD188&lt;=$AD$163,$AF$163,IF(AD188&lt;=$AD$164,$AF$164,IF(AD188&lt;=$AD$165,$AF$165,$AF$165)))))))))))</f>
        <v>0</v>
      </c>
      <c r="AH189" s="24"/>
      <c r="AI189" s="21">
        <f>IF(AH188&lt;=$AD$155,$AD$155,IF(AH188&lt;=$AD$156,$AD$156,IF(AH188&lt;=$AD$157,$AD$157,IF(AH188&lt;=$AD$158,$AD$158,IF(AH188&lt;=$AD$159,$AD$159,IF(AH188&lt;=$AD$160,$AD$160,IF(AH188&lt;=$AD$161,$AD$161,IF(AH188&lt;=$AD$162,$AD$162,IF(AH188&lt;=$AD$163,$AD$163,IF(AH188&lt;=$AD$164,$AD$164,IF(AH188&lt;=$AD$165,$AD$165,400)))))))))))</f>
        <v>400</v>
      </c>
      <c r="AJ189" s="21"/>
      <c r="AK189" s="25">
        <f>IF(AH188&lt;=$AD$155,$AG$155,IF(AH188&lt;=$AD$156,$AG$156,IF(AH188&lt;=$AD$157,$AG$157,IF(AH188&lt;=$AD$158,$AG$158,IF(AH188&lt;=$AD$159,$AG$159,IF(AH188&lt;=$AD$160,$AG$160,IF(AH188&lt;=$AD$161,$AG$161,IF(AH188&lt;=$AD$162,$AG$162,IF(AH188&lt;=$AD$163,$AG$163,IF(AH188&lt;=$AD$164,$AG$164,IF(AH188&lt;=$AD$165,$AG$165,$AG$165)))))))))))</f>
        <v>0</v>
      </c>
      <c r="AL189" s="24"/>
      <c r="AM189" s="21">
        <f>IF(AL188&lt;=$AD$155,$AD$155,IF(AL188&lt;=$AD$156,$AD$156,IF(AL188&lt;=$AD$157,$AD$157,IF(AL188&lt;=$AD$158,$AD$158,IF(AL188&lt;=$AD$159,$AD$159,IF(AL188&lt;=$AD$160,$AD$160,IF(AL188&lt;=$AD$161,$AD$161,IF(AL188&lt;=$AD$162,$AD$162,IF(AL188&lt;=$AD$163,$AD$163,IF(AL188&lt;=$AD$164,$AD$164,IF(AL188&lt;=$AD$165,$AD$165,400)))))))))))</f>
        <v>400</v>
      </c>
      <c r="AN189" s="21"/>
      <c r="AO189" s="25">
        <f>IF(AL188&lt;=$AD$155,$AH$155,IF(AL188&lt;=$AD$156,$AH$156,IF(AL188&lt;=$AD$157,$AH$157,IF(AL188&lt;=$AD$158,$AH$158,IF(AL188&lt;=$AD$159,$AH$159,IF(AL188&lt;=$AD$160,$AH$160,IF(AL188&lt;=$AD$161,$AH$161,IF(AL188&lt;=$AD$162,$AH$162,IF(AL188&lt;=$AD$163,$AH$163,IF(AL188&lt;=$AD$164,$AH$164,IF(AL188&lt;=$AD$165,$AH$165,$AH$165)))))))))))</f>
        <v>0</v>
      </c>
    </row>
    <row r="190" spans="1:41" ht="15">
      <c r="B190" s="473"/>
      <c r="C190" s="472"/>
      <c r="D190" s="473"/>
      <c r="E190" s="473"/>
      <c r="F190" s="473"/>
      <c r="G190" s="472"/>
      <c r="H190" s="473"/>
      <c r="I190" s="473"/>
      <c r="X190" s="1574" t="s">
        <v>112</v>
      </c>
      <c r="Y190" s="1575"/>
      <c r="Z190" s="1575"/>
      <c r="AA190" s="1576"/>
      <c r="AD190" s="1574" t="s">
        <v>112</v>
      </c>
      <c r="AE190" s="1575"/>
      <c r="AF190" s="1575"/>
      <c r="AG190" s="1576"/>
      <c r="AH190" s="1574" t="s">
        <v>113</v>
      </c>
      <c r="AI190" s="1575"/>
      <c r="AJ190" s="1575"/>
      <c r="AK190" s="1576"/>
      <c r="AL190" s="1574" t="s">
        <v>131</v>
      </c>
      <c r="AM190" s="1575"/>
      <c r="AN190" s="1575"/>
      <c r="AO190" s="1576"/>
    </row>
    <row r="191" spans="1:41">
      <c r="B191" s="472"/>
      <c r="C191" s="472"/>
      <c r="D191" s="472"/>
      <c r="E191" s="473"/>
      <c r="F191" s="472"/>
      <c r="G191" s="472"/>
      <c r="H191" s="472"/>
      <c r="I191" s="474"/>
      <c r="X191" s="22"/>
      <c r="Y191" s="17">
        <f>IF(X192&lt;=$X$155,0,IF(X192&lt;=$X$156,$X$155,IF(X192&lt;=$X$157,$X$156,IF(X192&lt;=$X$158,$X$157,IF(X192&lt;=$X$159,$X$158,IF(X192&lt;=$X$160,$X$159,IF(X192&lt;=$X$161,$X$160,IF(X192&lt;=$X$162,$X$161,$X$162))))))))</f>
        <v>0</v>
      </c>
      <c r="Z191" s="17"/>
      <c r="AA191" s="18">
        <f>IF(X192&lt;=$X$155,0,IF(X192&lt;=$X$156,$Z$155,IF(X192&lt;=$X$157,$Z$156,IF(X192&lt;=$X$158,$Z$157,IF(X192&lt;=$X$159,$Z$158,IF(X192&lt;=$X$160,$Z$159,IF(X192&lt;=$X$161,$Z$160,IF(X192&lt;=$X$162,$Z$161,$Z$162))))))))</f>
        <v>0</v>
      </c>
      <c r="AD191" s="22"/>
      <c r="AE191" s="17">
        <f>IF(AD192&lt;=$AD$156,$AD$155,IF(AD192&lt;=$AD$157,$AD$156,IF(AD192&lt;=$AD$158,$AD$157,IF(AD192&lt;=$AD$159,$AD$158,IF(AD192&lt;=$AD$160,$AD$159,IF(AD192&lt;=$AD$161,$AD$160,IF(AD192&lt;=$AD$162,$AD$161,IF(AD192&lt;=$AD$163,$AD$162,IF(AD192&lt;=$AD$164,$AD$163,IF(AD192&lt;=$AD$165,$AD$164,$AD$165))))))))))</f>
        <v>0</v>
      </c>
      <c r="AF191" s="17"/>
      <c r="AG191" s="18">
        <f>IF(AD192&lt;=$AD$156,$AF$155,IF(AD192&lt;=$AD$157,$AF$156,IF(AD192&lt;=$AD$158,$AF$157,IF(AD192&lt;=$AD$159,$AF$158,IF(AD192&lt;=$AD$160,$AF$159,IF(AD192&lt;=$AD$161,$AF$160,IF(AD192&lt;=$AD$162,$AF$161,IF(AD192&lt;=$AD$163,$AF$162,IF(AD192&lt;=$AD$164,$AF$163,IF(AD192&lt;=$AD$165,$AF$164,$AF$165))))))))))</f>
        <v>0</v>
      </c>
      <c r="AH191" s="22"/>
      <c r="AI191" s="17">
        <f>IF(AH192&lt;=$AD$156,$AD$155,IF(AH192&lt;=$AD$157,$AD$156,IF(AH192&lt;=$AD$158,$AD$157,IF(AH192&lt;=$AD$159,$AD$158,IF(AH192&lt;=$AD$160,$AD$159,IF(AH192&lt;=$AD$161,$AD$160,IF(AH192&lt;=$AD$162,$AD$161,IF(AH192&lt;=$AD$163,$AD$162,IF(AH192&lt;=$AD$164,$AD$163,IF(AH192&lt;=$AD$165,$AD$164,$AD$165))))))))))</f>
        <v>0</v>
      </c>
      <c r="AJ191" s="17"/>
      <c r="AK191" s="18">
        <f>IF(AH192&lt;=$AD$156,$AG$155,IF(AH192&lt;=$AD$157,$AG$156,IF(AH192&lt;=$AD$158,$AG$157,IF(AH192&lt;=$AD$159,$AG$158,IF(AH192&lt;=$AD$160,$AG$159,IF(AH192&lt;=$AD$161,$AG$160,IF(AH192&lt;=$AD$162,$AG$161,IF(AH192&lt;=$AD$163,$AG$162,IF(AH192&lt;=$AD$164,$AG$163,IF(AH192&lt;=$AD$165,$AG$164,$AG$165))))))))))</f>
        <v>0</v>
      </c>
      <c r="AL191" s="22"/>
      <c r="AM191" s="17">
        <f>IF(AL192&lt;=$AD$156,$AD$155,IF(AL192&lt;=$AD$157,$AD$156,IF(AL192&lt;=$AD$158,$AD$157,IF(AL192&lt;=$AD$159,$AD$158,IF(AL192&lt;=$AD$160,$AD$159,IF(AL192&lt;=$AD$161,$AD$160,IF(AL192&lt;=$AD$162,$AD$161,IF(AL192&lt;=$AD$163,$AD$162,IF(AL192&lt;=$AD$164,$AD$163,IF(AL192&lt;=$AD$165,$AD$164,$AD$165))))))))))</f>
        <v>0</v>
      </c>
      <c r="AN191" s="17"/>
      <c r="AO191" s="18">
        <f>IF(AL192&lt;=$AD$156,$AH$155,IF(AL192&lt;=$AD$157,$AH$156,IF(AL192&lt;=$AD$158,$AH$157,IF(AL192&lt;=$AD$159,$AH$158,IF(AL192&lt;=$AD$160,$AH$159,IF(AL192&lt;=$AD$161,$AH$160,IF(AL192&lt;=$AD$162,$AH$161,IF(AL192&lt;=$AD$163,$AH$162,IF(AL192&lt;=$AD$164,$AH$163,IF(AL192&lt;=$AD$165,$AH$164,$AH$165))))))))))</f>
        <v>0</v>
      </c>
    </row>
    <row r="192" spans="1:41" ht="15">
      <c r="B192" s="1581"/>
      <c r="C192" s="1581"/>
      <c r="D192" s="1581"/>
      <c r="E192" s="1581"/>
      <c r="F192" s="1585"/>
      <c r="G192" s="1585"/>
      <c r="H192" s="1585"/>
      <c r="I192" s="1585"/>
      <c r="X192" s="23">
        <f>ID!K48</f>
        <v>100</v>
      </c>
      <c r="Y192" s="17"/>
      <c r="Z192" s="19">
        <f>((X192-Y191)/(Y193-Y191)*(AA193-AA191)+AA191)</f>
        <v>0</v>
      </c>
      <c r="AA192" s="20"/>
      <c r="AD192" s="23">
        <f>ID!D58</f>
        <v>200</v>
      </c>
      <c r="AE192" s="17"/>
      <c r="AF192" s="19">
        <f>((AD192-AE191)/(AE193-AE191)*(AG193-AG191)+AG191)</f>
        <v>0</v>
      </c>
      <c r="AG192" s="20"/>
      <c r="AH192" s="23">
        <f>AD192</f>
        <v>200</v>
      </c>
      <c r="AI192" s="17"/>
      <c r="AJ192" s="19">
        <f>((AH192-AI191)/(AI193-AI191)*(AK193-AK191)+AK191)</f>
        <v>0</v>
      </c>
      <c r="AK192" s="20"/>
      <c r="AL192" s="23">
        <f>AH192</f>
        <v>200</v>
      </c>
      <c r="AM192" s="17"/>
      <c r="AN192" s="19">
        <f>((AL192-AM191)/(AM193-AM191)*(AO193-AO191)+AO191)</f>
        <v>0</v>
      </c>
      <c r="AO192" s="20"/>
    </row>
    <row r="193" spans="2:41" ht="13" thickBot="1">
      <c r="B193" s="472"/>
      <c r="C193" s="472"/>
      <c r="D193" s="472"/>
      <c r="E193" s="474"/>
      <c r="F193" s="472"/>
      <c r="G193" s="472"/>
      <c r="H193" s="472"/>
      <c r="I193" s="472"/>
      <c r="X193" s="24"/>
      <c r="Y193" s="21">
        <f>IF(X192&lt;=$X$155,$X$155,IF(X192&lt;=$X$156,$X$156,IF(X192&lt;=$X$157,$X$157,IF(X192&lt;=$X$158,$X$158,IF(X192&lt;=$X$159,$X$159,IF(X192&lt;=$X$160,$X$160,IF(X192&lt;=$X$161,$X$161,IF(X192&lt;=$X$162,$X$162,105))))))))</f>
        <v>105</v>
      </c>
      <c r="Z193" s="21"/>
      <c r="AA193" s="25">
        <f>IF(X192&lt;=$X$155,$Z$155,IF(X192&lt;=$X$156,$Z$156,IF(X192&lt;=$X$157,$Z$157,IF(X192&lt;=$X$158,$Z$158,IF(X192&lt;=$X$159,$Z$159,IF(X192&lt;=$X$160,$Z$160,IF(X192&lt;=$X$161,$Z$161,IF(X192&lt;=$X$162,$Z$162,$Z$162))))))))</f>
        <v>0</v>
      </c>
      <c r="AD193" s="24"/>
      <c r="AE193" s="21">
        <f>IF(AD192&lt;=$AD$155,$AD$155,IF(AD192&lt;=$AD$156,$AD$156,IF(AD192&lt;=$AD$157,$AD$157,IF(AD192&lt;=$AD$158,$AD$158,IF(AD192&lt;=$AD$159,$AD$159,IF(AD192&lt;=$AD$160,$AD$160,IF(AD192&lt;=$AD$161,$AD$161,IF(AD192&lt;=$AD$162,$AD$162,IF(AD192&lt;=$AD$163,$AD$163,IF(AD192&lt;=$AD$164,$AD$164,IF(AD192&lt;=$AD$165,$AD$165,400)))))))))))</f>
        <v>400</v>
      </c>
      <c r="AF193" s="21"/>
      <c r="AG193" s="25">
        <f>IF(AD192&lt;=$AD$155,$AF$155,IF(AD192&lt;=$AD$156,$AF$156,IF(AD192&lt;=$AD$157,$AF$157,IF(AD192&lt;=$AD$158,$AF$158,IF(AD192&lt;=$AD$159,$AF$159,IF(AD192&lt;=$AD$160,$AF$160,IF(AD192&lt;=$AD$161,$AF$161,IF(AD192&lt;=$AD$162,$AF$162,IF(AD192&lt;=$AD$163,$AF$163,IF(AD192&lt;=$AD$164,$AF$164,IF(AD192&lt;=$AD$165,$AF$165,$AF$165)))))))))))</f>
        <v>0</v>
      </c>
      <c r="AH193" s="24"/>
      <c r="AI193" s="21">
        <f>IF(AH192&lt;=$AD$155,$AD$155,IF(AH192&lt;=$AD$156,$AD$156,IF(AH192&lt;=$AD$157,$AD$157,IF(AH192&lt;=$AD$158,$AD$158,IF(AH192&lt;=$AD$159,$AD$159,IF(AH192&lt;=$AD$160,$AD$160,IF(AH192&lt;=$AD$161,$AD$161,IF(AH192&lt;=$AD$162,$AD$162,IF(AH192&lt;=$AD$163,$AD$163,IF(AH192&lt;=$AD$164,$AD$164,IF(AH192&lt;=$AD$165,$AD$165,400)))))))))))</f>
        <v>400</v>
      </c>
      <c r="AJ193" s="21"/>
      <c r="AK193" s="25">
        <f>IF(AH192&lt;=$AD$155,$AG$155,IF(AH192&lt;=$AD$156,$AG$156,IF(AH192&lt;=$AD$157,$AG$157,IF(AH192&lt;=$AD$158,$AG$158,IF(AH192&lt;=$AD$159,$AG$159,IF(AH192&lt;=$AD$160,$AG$160,IF(AH192&lt;=$AD$161,$AG$161,IF(AH192&lt;=$AD$162,$AG$162,IF(AH192&lt;=$AD$163,$AG$163,IF(AH192&lt;=$AD$164,$AG$164,IF(AH192&lt;=$AD$165,$AG$165,$AG$165)))))))))))</f>
        <v>0</v>
      </c>
      <c r="AL193" s="24"/>
      <c r="AM193" s="21">
        <f>IF(AL192&lt;=$AD$155,$AD$155,IF(AL192&lt;=$AD$156,$AD$156,IF(AL192&lt;=$AD$157,$AD$157,IF(AL192&lt;=$AD$158,$AD$158,IF(AL192&lt;=$AD$159,$AD$159,IF(AL192&lt;=$AD$160,$AD$160,IF(AL192&lt;=$AD$161,$AD$161,IF(AL192&lt;=$AD$162,$AD$162,IF(AL192&lt;=$AD$163,$AD$163,IF(AL192&lt;=$AD$164,$AD$164,IF(AL192&lt;=$AD$165,$AD$165,400)))))))))))</f>
        <v>400</v>
      </c>
      <c r="AN193" s="21"/>
      <c r="AO193" s="25">
        <f>IF(AL192&lt;=$AD$155,$AH$155,IF(AL192&lt;=$AD$156,$AH$156,IF(AL192&lt;=$AD$157,$AH$157,IF(AL192&lt;=$AD$158,$AH$158,IF(AL192&lt;=$AD$159,$AH$159,IF(AL192&lt;=$AD$160,$AH$160,IF(AL192&lt;=$AD$161,$AH$161,IF(AL192&lt;=$AD$162,$AH$162,IF(AL192&lt;=$AD$163,$AH$163,IF(AL192&lt;=$AD$164,$AH$164,IF(AL192&lt;=$AD$165,$AH$165,$AH$165)))))))))))</f>
        <v>0</v>
      </c>
    </row>
    <row r="194" spans="2:41" ht="15">
      <c r="B194" s="473"/>
      <c r="C194" s="472"/>
      <c r="D194" s="474"/>
      <c r="E194" s="474"/>
      <c r="F194" s="473"/>
      <c r="G194" s="472"/>
      <c r="H194" s="473"/>
      <c r="I194" s="473"/>
      <c r="X194" s="1574" t="s">
        <v>112</v>
      </c>
      <c r="Y194" s="1575"/>
      <c r="Z194" s="1575"/>
      <c r="AA194" s="1576"/>
      <c r="AD194" s="1574" t="s">
        <v>112</v>
      </c>
      <c r="AE194" s="1575"/>
      <c r="AF194" s="1575"/>
      <c r="AG194" s="1576"/>
      <c r="AH194" s="1574" t="s">
        <v>113</v>
      </c>
      <c r="AI194" s="1575"/>
      <c r="AJ194" s="1575"/>
      <c r="AK194" s="1576"/>
      <c r="AL194" s="1574" t="s">
        <v>131</v>
      </c>
      <c r="AM194" s="1575"/>
      <c r="AN194" s="1575"/>
      <c r="AO194" s="1576"/>
    </row>
    <row r="195" spans="2:41">
      <c r="B195" s="472"/>
      <c r="C195" s="472"/>
      <c r="D195" s="472"/>
      <c r="E195" s="474"/>
      <c r="F195" s="472"/>
      <c r="G195" s="472"/>
      <c r="H195" s="472"/>
      <c r="I195" s="472"/>
      <c r="X195" s="22"/>
      <c r="Y195" s="17">
        <f>IF(X196&lt;=$X$155,0,IF(X196&lt;=$X$156,$X$155,IF(X196&lt;=$X$157,$X$156,IF(X196&lt;=$X$158,$X$157,IF(X196&lt;=$X$159,$X$158,IF(X196&lt;=$X$160,$X$159,IF(X196&lt;=$X$161,$X$160,IF(X196&lt;=$X$162,$X$161,$X$162))))))))</f>
        <v>0</v>
      </c>
      <c r="Z195" s="17"/>
      <c r="AA195" s="18">
        <f>IF(X196&lt;=$X$155,0,IF(X196&lt;=$X$156,$Z$155,IF(X196&lt;=$X$157,$Z$156,IF(X196&lt;=$X$158,$Z$157,IF(X196&lt;=$X$159,$Z$158,IF(X196&lt;=$X$160,$Z$159,IF(X196&lt;=$X$161,$Z$160,IF(X196&lt;=$X$162,$Z$161,$Z$162))))))))</f>
        <v>0</v>
      </c>
      <c r="AD195" s="22"/>
      <c r="AE195" s="17">
        <f>IF(AD196&lt;=$AD$156,$AD$155,IF(AD196&lt;=$AD$157,$AD$156,IF(AD196&lt;=$AD$158,$AD$157,IF(AD196&lt;=$AD$159,$AD$158,IF(AD196&lt;=$AD$160,$AD$159,IF(AD196&lt;=$AD$161,$AD$160,IF(AD196&lt;=$AD$162,$AD$161,IF(AD196&lt;=$AD$163,$AD$162,IF(AD196&lt;=$AD$164,$AD$163,IF(AD196&lt;=$AD$165,$AD$164,$AD$165))))))))))</f>
        <v>0</v>
      </c>
      <c r="AF195" s="17"/>
      <c r="AG195" s="18">
        <f>IF(AD196&lt;=$AD$156,$AF$155,IF(AD196&lt;=$AD$157,$AF$156,IF(AD196&lt;=$AD$158,$AF$157,IF(AD196&lt;=$AD$159,$AF$158,IF(AD196&lt;=$AD$160,$AF$159,IF(AD196&lt;=$AD$161,$AF$160,IF(AD196&lt;=$AD$162,$AF$161,IF(AD196&lt;=$AD$163,$AF$162,IF(AD196&lt;=$AD$164,$AF$163,IF(AD196&lt;=$AD$165,$AF$164,$AF$165))))))))))</f>
        <v>0</v>
      </c>
      <c r="AH195" s="22"/>
      <c r="AI195" s="17">
        <f>IF(AH196&lt;=$AD$156,$AD$155,IF(AH196&lt;=$AD$157,$AD$156,IF(AH196&lt;=$AD$158,$AD$157,IF(AH196&lt;=$AD$159,$AD$158,IF(AH196&lt;=$AD$160,$AD$159,IF(AH196&lt;=$AD$161,$AD$160,IF(AH196&lt;=$AD$162,$AD$161,IF(AH196&lt;=$AD$163,$AD$162,IF(AH196&lt;=$AD$164,$AD$163,IF(AH196&lt;=$AD$165,$AD$164,$AD$165))))))))))</f>
        <v>0</v>
      </c>
      <c r="AJ195" s="17"/>
      <c r="AK195" s="18">
        <f>IF(AH196&lt;=$AD$156,$AG$155,IF(AH196&lt;=$AD$157,$AG$156,IF(AH196&lt;=$AD$158,$AG$157,IF(AH196&lt;=$AD$159,$AG$158,IF(AH196&lt;=$AD$160,$AG$159,IF(AH196&lt;=$AD$161,$AG$160,IF(AH196&lt;=$AD$162,$AG$161,IF(AH196&lt;=$AD$163,$AG$162,IF(AH196&lt;=$AD$164,$AG$163,IF(AH196&lt;=$AD$165,$AG$164,$AG$165))))))))))</f>
        <v>0</v>
      </c>
      <c r="AL195" s="22"/>
      <c r="AM195" s="17">
        <f>IF(AL196&lt;=$AD$156,$AD$155,IF(AL196&lt;=$AD$157,$AD$156,IF(AL196&lt;=$AD$158,$AD$157,IF(AL196&lt;=$AD$159,$AD$158,IF(AL196&lt;=$AD$160,$AD$159,IF(AL196&lt;=$AD$161,$AD$160,IF(AL196&lt;=$AD$162,$AD$161,IF(AL196&lt;=$AD$163,$AD$162,IF(AL196&lt;=$AD$164,$AD$163,IF(AL196&lt;=$AD$165,$AD$164,$AD$165))))))))))</f>
        <v>0</v>
      </c>
      <c r="AN195" s="17"/>
      <c r="AO195" s="18">
        <f>IF(AL196&lt;=$AD$156,$AH$155,IF(AL196&lt;=$AD$157,$AH$156,IF(AL196&lt;=$AD$158,$AH$157,IF(AL196&lt;=$AD$159,$AH$158,IF(AL196&lt;=$AD$160,$AH$159,IF(AL196&lt;=$AD$161,$AH$160,IF(AL196&lt;=$AD$162,$AH$161,IF(AL196&lt;=$AD$163,$AH$162,IF(AL196&lt;=$AD$164,$AH$163,IF(AL196&lt;=$AD$165,$AH$164,$AH$165))))))))))</f>
        <v>0</v>
      </c>
    </row>
    <row r="196" spans="2:41" ht="13">
      <c r="B196" s="1585"/>
      <c r="C196" s="1585"/>
      <c r="D196" s="1585"/>
      <c r="E196" s="1585"/>
      <c r="F196" s="1585"/>
      <c r="G196" s="1585"/>
      <c r="H196" s="1585"/>
      <c r="I196" s="1585"/>
      <c r="M196" s="63"/>
      <c r="N196" s="63"/>
      <c r="X196" s="23">
        <v>100</v>
      </c>
      <c r="Y196" s="17"/>
      <c r="Z196" s="19">
        <f>((X196-Y195)/(Y197-Y195)*(AA197-AA195)+AA195)</f>
        <v>0</v>
      </c>
      <c r="AA196" s="20"/>
      <c r="AD196" s="23">
        <f>ID!D59</f>
        <v>150</v>
      </c>
      <c r="AE196" s="17"/>
      <c r="AF196" s="19">
        <f>((AD196-AE195)/(AE197-AE195)*(AG197-AG195)+AG195)</f>
        <v>0</v>
      </c>
      <c r="AG196" s="20"/>
      <c r="AH196" s="23">
        <f>AD196</f>
        <v>150</v>
      </c>
      <c r="AI196" s="17"/>
      <c r="AJ196" s="19">
        <f>((AH196-AI195)/(AI197-AI195)*(AK197-AK195)+AK195)</f>
        <v>0</v>
      </c>
      <c r="AK196" s="20"/>
      <c r="AL196" s="23">
        <f>AH196</f>
        <v>150</v>
      </c>
      <c r="AM196" s="17"/>
      <c r="AN196" s="19">
        <f>((AL196-AM195)/(AM197-AM195)*(AO197-AO195)+AO195)</f>
        <v>0</v>
      </c>
      <c r="AO196" s="20"/>
    </row>
    <row r="197" spans="2:41" ht="13" thickBot="1">
      <c r="B197" s="472"/>
      <c r="C197" s="472"/>
      <c r="D197" s="472"/>
      <c r="E197" s="472"/>
      <c r="F197" s="472"/>
      <c r="G197" s="472"/>
      <c r="H197" s="472"/>
      <c r="I197" s="472"/>
      <c r="M197" s="63"/>
      <c r="N197" s="63"/>
      <c r="X197" s="24"/>
      <c r="Y197" s="21">
        <f>IF(X196&lt;=$X$155,$X$155,IF(X196&lt;=$X$156,$X$156,IF(X196&lt;=$X$157,$X$157,IF(X196&lt;=$X$158,$X$158,IF(X196&lt;=$X$159,$X$159,IF(X196&lt;=$X$160,$X$160,IF(X196&lt;=$X$161,$X$161,IF(X196&lt;=$X$162,$X$162,105))))))))</f>
        <v>105</v>
      </c>
      <c r="Z197" s="21"/>
      <c r="AA197" s="25">
        <f>IF(X196&lt;=$X$155,$Z$155,IF(X196&lt;=$X$156,$Z$156,IF(X196&lt;=$X$157,$Z$157,IF(X196&lt;=$X$158,$Z$158,IF(X196&lt;=$X$159,$Z$159,IF(X196&lt;=$X$160,$Z$160,IF(X196&lt;=$X$161,$Z$161,IF(X196&lt;=$X$162,$Z$162,$Z$162))))))))</f>
        <v>0</v>
      </c>
      <c r="AD197" s="24"/>
      <c r="AE197" s="21">
        <f>IF(AD196&lt;=$AD$155,$AD$155,IF(AD196&lt;=$AD$156,$AD$156,IF(AD196&lt;=$AD$157,$AD$157,IF(AD196&lt;=$AD$158,$AD$158,IF(AD196&lt;=$AD$159,$AD$159,IF(AD196&lt;=$AD$160,$AD$160,IF(AD196&lt;=$AD$161,$AD$161,IF(AD196&lt;=$AD$162,$AD$162,IF(AD196&lt;=$AD$163,$AD$163,IF(AD196&lt;=$AD$164,$AD$164,IF(AD196&lt;=$AD$165,$AD$165,400)))))))))))</f>
        <v>400</v>
      </c>
      <c r="AF197" s="21"/>
      <c r="AG197" s="25">
        <f>IF(AD196&lt;=$AD$155,$AF$155,IF(AD196&lt;=$AD$156,$AF$156,IF(AD196&lt;=$AD$157,$AF$157,IF(AD196&lt;=$AD$158,$AF$158,IF(AD196&lt;=$AD$159,$AF$159,IF(AD196&lt;=$AD$160,$AF$160,IF(AD196&lt;=$AD$161,$AF$161,IF(AD196&lt;=$AD$162,$AF$162,IF(AD196&lt;=$AD$163,$AF$163,IF(AD196&lt;=$AD$164,$AF$164,IF(AD196&lt;=$AD$165,$AF$165,$AF$165)))))))))))</f>
        <v>0</v>
      </c>
      <c r="AH197" s="24"/>
      <c r="AI197" s="21">
        <f>IF(AH196&lt;=$AD$155,$AD$155,IF(AH196&lt;=$AD$156,$AD$156,IF(AH196&lt;=$AD$157,$AD$157,IF(AH196&lt;=$AD$158,$AD$158,IF(AH196&lt;=$AD$159,$AD$159,IF(AH196&lt;=$AD$160,$AD$160,IF(AH196&lt;=$AD$161,$AD$161,IF(AH196&lt;=$AD$162,$AD$162,IF(AH196&lt;=$AD$163,$AD$163,IF(AH196&lt;=$AD$164,$AD$164,IF(AH196&lt;=$AD$165,$AD$165,400)))))))))))</f>
        <v>400</v>
      </c>
      <c r="AJ197" s="21"/>
      <c r="AK197" s="25">
        <f>IF(AH196&lt;=$AD$155,$AG$155,IF(AH196&lt;=$AD$156,$AG$156,IF(AH196&lt;=$AD$157,$AG$157,IF(AH196&lt;=$AD$158,$AG$158,IF(AH196&lt;=$AD$159,$AG$159,IF(AH196&lt;=$AD$160,$AG$160,IF(AH196&lt;=$AD$161,$AG$161,IF(AH196&lt;=$AD$162,$AG$162,IF(AH196&lt;=$AD$163,$AG$163,IF(AH196&lt;=$AD$164,$AG$164,IF(AH196&lt;=$AD$165,$AG$165,$AG$165)))))))))))</f>
        <v>0</v>
      </c>
      <c r="AL197" s="24"/>
      <c r="AM197" s="21">
        <f>IF(AL196&lt;=$AD$155,$AD$155,IF(AL196&lt;=$AD$156,$AD$156,IF(AL196&lt;=$AD$157,$AD$157,IF(AL196&lt;=$AD$158,$AD$158,IF(AL196&lt;=$AD$159,$AD$159,IF(AL196&lt;=$AD$160,$AD$160,IF(AL196&lt;=$AD$161,$AD$161,IF(AL196&lt;=$AD$162,$AD$162,IF(AL196&lt;=$AD$163,$AD$163,IF(AL196&lt;=$AD$164,$AD$164,IF(AL196&lt;=$AD$165,$AD$165,400)))))))))))</f>
        <v>400</v>
      </c>
      <c r="AN197" s="21"/>
      <c r="AO197" s="25">
        <f>IF(AL196&lt;=$AD$155,$AH$155,IF(AL196&lt;=$AD$156,$AH$156,IF(AL196&lt;=$AD$157,$AH$157,IF(AL196&lt;=$AD$158,$AH$158,IF(AL196&lt;=$AD$159,$AH$159,IF(AL196&lt;=$AD$160,$AH$160,IF(AL196&lt;=$AD$161,$AH$161,IF(AL196&lt;=$AD$162,$AH$162,IF(AL196&lt;=$AD$163,$AH$163,IF(AL196&lt;=$AD$164,$AH$164,IF(AL196&lt;=$AD$165,$AH$165,$AH$165)))))))))))</f>
        <v>0</v>
      </c>
    </row>
    <row r="198" spans="2:41" ht="15">
      <c r="B198" s="473"/>
      <c r="C198" s="472"/>
      <c r="D198" s="473"/>
      <c r="E198" s="473"/>
      <c r="F198" s="473"/>
      <c r="G198" s="472"/>
      <c r="H198" s="473"/>
      <c r="I198" s="473"/>
      <c r="X198" s="1574" t="s">
        <v>112</v>
      </c>
      <c r="Y198" s="1575"/>
      <c r="Z198" s="1575"/>
      <c r="AA198" s="1576"/>
      <c r="AD198" s="1574" t="s">
        <v>112</v>
      </c>
      <c r="AE198" s="1575"/>
      <c r="AF198" s="1575"/>
      <c r="AG198" s="1576"/>
      <c r="AH198" s="1574" t="s">
        <v>113</v>
      </c>
      <c r="AI198" s="1575"/>
      <c r="AJ198" s="1575"/>
      <c r="AK198" s="1576"/>
      <c r="AL198" s="1574" t="s">
        <v>131</v>
      </c>
      <c r="AM198" s="1575"/>
      <c r="AN198" s="1575"/>
      <c r="AO198" s="1576"/>
    </row>
    <row r="199" spans="2:41">
      <c r="B199" s="472"/>
      <c r="C199" s="472"/>
      <c r="D199" s="472"/>
      <c r="E199" s="472"/>
      <c r="F199" s="472"/>
      <c r="G199" s="472"/>
      <c r="H199" s="472"/>
      <c r="I199" s="472"/>
      <c r="X199" s="22"/>
      <c r="Y199" s="17">
        <f>IF(X200&lt;=$X$155,0,IF(X200&lt;=$X$156,$X$155,IF(X200&lt;=$X$157,$X$156,IF(X200&lt;=$X$158,$X$157,IF(X200&lt;=$X$159,$X$158,IF(X200&lt;=$X$160,$X$159,IF(X200&lt;=$X$161,$X$160,IF(X200&lt;=$X$162,$X$161,$X$162))))))))</f>
        <v>0</v>
      </c>
      <c r="Z199" s="17"/>
      <c r="AA199" s="18">
        <f>IF(X200&lt;=$X$155,0,IF(X200&lt;=$X$156,$Z$155,IF(X200&lt;=$X$157,$Z$156,IF(X200&lt;=$X$158,$Z$157,IF(X200&lt;=$X$159,$Z$158,IF(X200&lt;=$X$160,$Z$159,IF(X200&lt;=$X$161,$Z$160,IF(X200&lt;=$X$162,$Z$161,$Z$162))))))))</f>
        <v>0</v>
      </c>
      <c r="AD199" s="22"/>
      <c r="AE199" s="17">
        <f>IF(AD200&lt;=$AD$156,$AD$155,IF(AD200&lt;=$AD$157,$AD$156,IF(AD200&lt;=$AD$158,$AD$157,IF(AD200&lt;=$AD$159,$AD$158,IF(AD200&lt;=$AD$160,$AD$159,IF(AD200&lt;=$AD$161,$AD$160,IF(AD200&lt;=$AD$162,$AD$161,IF(AD200&lt;=$AD$163,$AD$162,IF(AD200&lt;=$AD$164,$AD$163,IF(AD200&lt;=$AD$165,$AD$164,$AD$165))))))))))</f>
        <v>0</v>
      </c>
      <c r="AF199" s="17"/>
      <c r="AG199" s="18">
        <f>IF(AD200&lt;=$AD$156,$AF$155,IF(AD200&lt;=$AD$157,$AF$156,IF(AD200&lt;=$AD$158,$AF$157,IF(AD200&lt;=$AD$159,$AF$158,IF(AD200&lt;=$AD$160,$AF$159,IF(AD200&lt;=$AD$161,$AF$160,IF(AD200&lt;=$AD$162,$AF$161,IF(AD200&lt;=$AD$163,$AF$162,IF(AD200&lt;=$AD$164,$AF$163,IF(AD200&lt;=$AD$165,$AF$164,$AF$165))))))))))</f>
        <v>0</v>
      </c>
      <c r="AH199" s="22"/>
      <c r="AI199" s="17">
        <f>IF(AH200&lt;=$AD$156,$AD$155,IF(AH200&lt;=$AD$157,$AD$156,IF(AH200&lt;=$AD$158,$AD$157,IF(AH200&lt;=$AD$159,$AD$158,IF(AH200&lt;=$AD$160,$AD$159,IF(AH200&lt;=$AD$161,$AD$160,IF(AH200&lt;=$AD$162,$AD$161,IF(AH200&lt;=$AD$163,$AD$162,IF(AH200&lt;=$AD$164,$AD$163,IF(AH200&lt;=$AD$165,$AD$164,$AD$165))))))))))</f>
        <v>0</v>
      </c>
      <c r="AJ199" s="17"/>
      <c r="AK199" s="18">
        <f>IF(AH200&lt;=$AD$156,$AG$155,IF(AH200&lt;=$AD$157,$AG$156,IF(AH200&lt;=$AD$158,$AG$157,IF(AH200&lt;=$AD$159,$AG$158,IF(AH200&lt;=$AD$160,$AG$159,IF(AH200&lt;=$AD$161,$AG$160,IF(AH200&lt;=$AD$162,$AG$161,IF(AH200&lt;=$AD$163,$AG$162,IF(AH200&lt;=$AD$164,$AG$163,IF(AH200&lt;=$AD$165,$AG$164,$AG$165))))))))))</f>
        <v>0</v>
      </c>
      <c r="AL199" s="22"/>
      <c r="AM199" s="17">
        <f>IF(AL200&lt;=$AD$156,$AD$155,IF(AL200&lt;=$AD$157,$AD$156,IF(AL200&lt;=$AD$158,$AD$157,IF(AL200&lt;=$AD$159,$AD$158,IF(AL200&lt;=$AD$160,$AD$159,IF(AL200&lt;=$AD$161,$AD$160,IF(AL200&lt;=$AD$162,$AD$161,IF(AL200&lt;=$AD$163,$AD$162,IF(AL200&lt;=$AD$164,$AD$163,IF(AL200&lt;=$AD$165,$AD$164,$AD$165))))))))))</f>
        <v>0</v>
      </c>
      <c r="AN199" s="17"/>
      <c r="AO199" s="18">
        <f>IF(AL200&lt;=$AD$156,$AH$155,IF(AL200&lt;=$AD$157,$AH$156,IF(AL200&lt;=$AD$158,$AH$157,IF(AL200&lt;=$AD$159,$AH$158,IF(AL200&lt;=$AD$160,$AH$159,IF(AL200&lt;=$AD$161,$AH$160,IF(AL200&lt;=$AD$162,$AH$161,IF(AL200&lt;=$AD$163,$AH$162,IF(AL200&lt;=$AD$164,$AH$163,IF(AL200&lt;=$AD$165,$AH$164,$AH$165))))))))))</f>
        <v>0</v>
      </c>
    </row>
    <row r="200" spans="2:41">
      <c r="X200" s="23">
        <v>100</v>
      </c>
      <c r="Y200" s="17"/>
      <c r="Z200" s="19">
        <f>((X200-Y199)/(Y201-Y199)*(AA201-AA199)+AA199)</f>
        <v>0</v>
      </c>
      <c r="AA200" s="20"/>
      <c r="AD200" s="23">
        <f>ID!D60</f>
        <v>80</v>
      </c>
      <c r="AE200" s="17"/>
      <c r="AF200" s="19">
        <f>((AD200-AE199)/(AE201-AE199)*(AG201-AG199)+AG199)</f>
        <v>0</v>
      </c>
      <c r="AG200" s="20"/>
      <c r="AH200" s="23">
        <f>AD200</f>
        <v>80</v>
      </c>
      <c r="AI200" s="17"/>
      <c r="AJ200" s="19">
        <f>((AH200-AI199)/(AI201-AI199)*(AK201-AK199)+AK199)</f>
        <v>0</v>
      </c>
      <c r="AK200" s="20"/>
      <c r="AL200" s="23">
        <f>AH200</f>
        <v>80</v>
      </c>
      <c r="AM200" s="17"/>
      <c r="AN200" s="19">
        <f>((AL200-AM199)/(AM201-AM199)*(AO201-AO199)+AO199)</f>
        <v>0</v>
      </c>
      <c r="AO200" s="20"/>
    </row>
    <row r="201" spans="2:41" ht="13" thickBot="1">
      <c r="X201" s="24"/>
      <c r="Y201" s="21">
        <f>IF(X200&lt;=$X$155,$X$155,IF(X200&lt;=$X$156,$X$156,IF(X200&lt;=$X$157,$X$157,IF(X200&lt;=$X$158,$X$158,IF(X200&lt;=$X$159,$X$159,IF(X200&lt;=$X$160,$X$160,IF(X200&lt;=$X$161,$X$161,IF(X200&lt;=$X$162,$X$162,105))))))))</f>
        <v>105</v>
      </c>
      <c r="Z201" s="21"/>
      <c r="AA201" s="25">
        <f>IF(X200&lt;=$X$155,$Z$155,IF(X200&lt;=$X$156,$Z$156,IF(X200&lt;=$X$157,$Z$157,IF(X200&lt;=$X$158,$Z$158,IF(X200&lt;=$X$159,$Z$159,IF(X200&lt;=$X$160,$Z$160,IF(X200&lt;=$X$161,$Z$161,IF(X200&lt;=$X$162,$Z$162,$Z$162))))))))</f>
        <v>0</v>
      </c>
      <c r="AD201" s="24"/>
      <c r="AE201" s="21">
        <f>IF(AD200&lt;=$AD$155,$AD$155,IF(AD200&lt;=$AD$156,$AD$156,IF(AD200&lt;=$AD$157,$AD$157,IF(AD200&lt;=$AD$158,$AD$158,IF(AD200&lt;=$AD$159,$AD$159,IF(AD200&lt;=$AD$160,$AD$160,IF(AD200&lt;=$AD$161,$AD$161,IF(AD200&lt;=$AD$162,$AD$162,IF(AD200&lt;=$AD$163,$AD$163,IF(AD200&lt;=$AD$164,$AD$164,IF(AD200&lt;=$AD$165,$AD$165,400)))))))))))</f>
        <v>400</v>
      </c>
      <c r="AF201" s="21"/>
      <c r="AG201" s="25">
        <f>IF(AD200&lt;=$AD$155,$AF$155,IF(AD200&lt;=$AD$156,$AF$156,IF(AD200&lt;=$AD$157,$AF$157,IF(AD200&lt;=$AD$158,$AF$158,IF(AD200&lt;=$AD$159,$AF$159,IF(AD200&lt;=$AD$160,$AF$160,IF(AD200&lt;=$AD$161,$AF$161,IF(AD200&lt;=$AD$162,$AF$162,IF(AD200&lt;=$AD$163,$AF$163,IF(AD200&lt;=$AD$164,$AF$164,IF(AD200&lt;=$AD$165,$AF$165,$AF$165)))))))))))</f>
        <v>0</v>
      </c>
      <c r="AH201" s="24"/>
      <c r="AI201" s="21">
        <f>IF(AH200&lt;=$AD$155,$AD$155,IF(AH200&lt;=$AD$156,$AD$156,IF(AH200&lt;=$AD$157,$AD$157,IF(AH200&lt;=$AD$158,$AD$158,IF(AH200&lt;=$AD$159,$AD$159,IF(AH200&lt;=$AD$160,$AD$160,IF(AH200&lt;=$AD$161,$AD$161,IF(AH200&lt;=$AD$162,$AD$162,IF(AH200&lt;=$AD$163,$AD$163,IF(AH200&lt;=$AD$164,$AD$164,IF(AH200&lt;=$AD$165,$AD$165,400)))))))))))</f>
        <v>400</v>
      </c>
      <c r="AJ201" s="21"/>
      <c r="AK201" s="25">
        <f>IF(AH200&lt;=$AD$155,$AG$155,IF(AH200&lt;=$AD$156,$AG$156,IF(AH200&lt;=$AD$157,$AG$157,IF(AH200&lt;=$AD$158,$AG$158,IF(AH200&lt;=$AD$159,$AG$159,IF(AH200&lt;=$AD$160,$AG$160,IF(AH200&lt;=$AD$161,$AG$161,IF(AH200&lt;=$AD$162,$AG$162,IF(AH200&lt;=$AD$163,$AG$163,IF(AH200&lt;=$AD$164,$AG$164,IF(AH200&lt;=$AD$165,$AG$165,$AG$165)))))))))))</f>
        <v>0</v>
      </c>
      <c r="AL201" s="24"/>
      <c r="AM201" s="21">
        <f>IF(AL200&lt;=$AD$155,$AD$155,IF(AL200&lt;=$AD$156,$AD$156,IF(AL200&lt;=$AD$157,$AD$157,IF(AL200&lt;=$AD$158,$AD$158,IF(AL200&lt;=$AD$159,$AD$159,IF(AL200&lt;=$AD$160,$AD$160,IF(AL200&lt;=$AD$161,$AD$161,IF(AL200&lt;=$AD$162,$AD$162,IF(AL200&lt;=$AD$163,$AD$163,IF(AL200&lt;=$AD$164,$AD$164,IF(AL200&lt;=$AD$165,$AD$165,400)))))))))))</f>
        <v>400</v>
      </c>
      <c r="AN201" s="21"/>
      <c r="AO201" s="25">
        <f>IF(AL200&lt;=$AD$155,$AH$155,IF(AL200&lt;=$AD$156,$AH$156,IF(AL200&lt;=$AD$157,$AH$157,IF(AL200&lt;=$AD$158,$AH$158,IF(AL200&lt;=$AD$159,$AH$159,IF(AL200&lt;=$AD$160,$AH$160,IF(AL200&lt;=$AD$161,$AH$161,IF(AL200&lt;=$AD$162,$AH$162,IF(AL200&lt;=$AD$163,$AH$163,IF(AL200&lt;=$AD$164,$AH$164,IF(AL200&lt;=$AD$165,$AH$165,$AH$165)))))))))))</f>
        <v>0</v>
      </c>
    </row>
    <row r="202" spans="2:41" ht="15">
      <c r="AD202" s="1574" t="s">
        <v>112</v>
      </c>
      <c r="AE202" s="1575"/>
      <c r="AF202" s="1575"/>
      <c r="AG202" s="1576"/>
      <c r="AH202" s="1574" t="s">
        <v>113</v>
      </c>
      <c r="AI202" s="1575"/>
      <c r="AJ202" s="1575"/>
      <c r="AK202" s="1576"/>
      <c r="AL202" s="1574" t="s">
        <v>131</v>
      </c>
      <c r="AM202" s="1575"/>
      <c r="AN202" s="1575"/>
      <c r="AO202" s="1576"/>
    </row>
    <row r="203" spans="2:41">
      <c r="AD203" s="22"/>
      <c r="AE203" s="17">
        <f>IF(AD204&lt;=$AD$156,$AD$155,IF(AD204&lt;=$AD$157,$AD$156,IF(AD204&lt;=$AD$158,$AD$157,IF(AD204&lt;=$AD$159,$AD$158,IF(AD204&lt;=$AD$160,$AD$159,IF(AD204&lt;=$AD$161,$AD$160,IF(AD204&lt;=$AD$162,$AD$161,IF(AD204&lt;=$AD$163,$AD$162,IF(AD204&lt;=$AD$164,$AD$163,IF(AD204&lt;=$AD$165,$AD$164,$AD$165))))))))))</f>
        <v>0</v>
      </c>
      <c r="AF203" s="17"/>
      <c r="AG203" s="18">
        <f>IF(AD204&lt;=$AD$156,$AF$155,IF(AD204&lt;=$AD$157,$AF$156,IF(AD204&lt;=$AD$158,$AF$157,IF(AD204&lt;=$AD$159,$AF$158,IF(AD204&lt;=$AD$160,$AF$159,IF(AD204&lt;=$AD$161,$AF$160,IF(AD204&lt;=$AD$162,$AF$161,IF(AD204&lt;=$AD$163,$AF$162,IF(AD204&lt;=$AD$164,$AF$163,IF(AD204&lt;=$AD$165,$AF$164,$AF$165))))))))))</f>
        <v>0</v>
      </c>
      <c r="AH203" s="22"/>
      <c r="AI203" s="17">
        <f>IF(AH204&lt;=$AD$156,$AD$155,IF(AH204&lt;=$AD$157,$AD$156,IF(AH204&lt;=$AD$158,$AD$157,IF(AH204&lt;=$AD$159,$AD$158,IF(AH204&lt;=$AD$160,$AD$159,IF(AH204&lt;=$AD$161,$AD$160,IF(AH204&lt;=$AD$162,$AD$161,IF(AH204&lt;=$AD$163,$AD$162,IF(AH204&lt;=$AD$164,$AD$163,IF(AH204&lt;=$AD$165,$AD$164,$AD$165))))))))))</f>
        <v>0</v>
      </c>
      <c r="AJ203" s="17"/>
      <c r="AK203" s="18">
        <f>IF(AH204&lt;=$AD$156,$AG$155,IF(AH204&lt;=$AD$157,$AG$156,IF(AH204&lt;=$AD$158,$AG$157,IF(AH204&lt;=$AD$159,$AG$158,IF(AH204&lt;=$AD$160,$AG$159,IF(AH204&lt;=$AD$161,$AG$160,IF(AH204&lt;=$AD$162,$AG$161,IF(AH204&lt;=$AD$163,$AG$162,IF(AH204&lt;=$AD$164,$AG$163,IF(AH204&lt;=$AD$165,$AG$164,$AG$165))))))))))</f>
        <v>0</v>
      </c>
      <c r="AL203" s="22"/>
      <c r="AM203" s="17">
        <f>IF(AL204&lt;=$AD$156,$AD$155,IF(AL204&lt;=$AD$157,$AD$156,IF(AL204&lt;=$AD$158,$AD$157,IF(AL204&lt;=$AD$159,$AD$158,IF(AL204&lt;=$AD$160,$AD$159,IF(AL204&lt;=$AD$161,$AD$160,IF(AL204&lt;=$AD$162,$AD$161,IF(AL204&lt;=$AD$163,$AD$162,IF(AL204&lt;=$AD$164,$AD$163,IF(AL204&lt;=$AD$165,$AD$164,$AD$165))))))))))</f>
        <v>0</v>
      </c>
      <c r="AN203" s="17"/>
      <c r="AO203" s="18">
        <f>IF(AL204&lt;=$AD$156,$AH$155,IF(AL204&lt;=$AD$157,$AH$156,IF(AL204&lt;=$AD$158,$AH$157,IF(AL204&lt;=$AD$159,$AH$158,IF(AL204&lt;=$AD$160,$AH$159,IF(AL204&lt;=$AD$161,$AH$160,IF(AL204&lt;=$AD$162,$AH$161,IF(AL204&lt;=$AD$163,$AH$162,IF(AL204&lt;=$AD$164,$AH$163,IF(AL204&lt;=$AD$165,$AH$164,$AH$165))))))))))</f>
        <v>0</v>
      </c>
    </row>
    <row r="204" spans="2:41">
      <c r="AD204" s="23">
        <f>ID!D61</f>
        <v>50</v>
      </c>
      <c r="AE204" s="17"/>
      <c r="AF204" s="19">
        <f>((AD204-AE203)/(AE205-AE203)*(AG205-AG203)+AG203)</f>
        <v>0</v>
      </c>
      <c r="AG204" s="20"/>
      <c r="AH204" s="23">
        <f>AD204</f>
        <v>50</v>
      </c>
      <c r="AI204" s="17"/>
      <c r="AJ204" s="19">
        <f>((AH204-AI203)/(AI205-AI203)*(AK205-AK203)+AK203)</f>
        <v>0</v>
      </c>
      <c r="AK204" s="20"/>
      <c r="AL204" s="23">
        <f>AH204</f>
        <v>50</v>
      </c>
      <c r="AM204" s="17"/>
      <c r="AN204" s="19">
        <f>((AL204-AM203)/(AM205-AM203)*(AO205-AO203)+AO203)</f>
        <v>0</v>
      </c>
      <c r="AO204" s="20"/>
    </row>
    <row r="205" spans="2:41" ht="13" thickBot="1">
      <c r="AD205" s="24"/>
      <c r="AE205" s="21">
        <f>IF(AD204&lt;=$AD$155,$AD$155,IF(AD204&lt;=$AD$156,$AD$156,IF(AD204&lt;=$AD$157,$AD$157,IF(AD204&lt;=$AD$158,$AD$158,IF(AD204&lt;=$AD$159,$AD$159,IF(AD204&lt;=$AD$160,$AD$160,IF(AD204&lt;=$AD$161,$AD$161,IF(AD204&lt;=$AD$162,$AD$162,IF(AD204&lt;=$AD$163,$AD$163,IF(AD204&lt;=$AD$164,$AD$164,IF(AD204&lt;=$AD$165,$AD$165,400)))))))))))</f>
        <v>400</v>
      </c>
      <c r="AF205" s="21"/>
      <c r="AG205" s="25">
        <f>IF(AD204&lt;=$AD$155,$AF$155,IF(AD204&lt;=$AD$156,$AF$156,IF(AD204&lt;=$AD$157,$AF$157,IF(AD204&lt;=$AD$158,$AF$158,IF(AD204&lt;=$AD$159,$AF$159,IF(AD204&lt;=$AD$160,$AF$160,IF(AD204&lt;=$AD$161,$AF$161,IF(AD204&lt;=$AD$162,$AF$162,IF(AD204&lt;=$AD$163,$AF$163,IF(AD204&lt;=$AD$164,$AF$164,IF(AD204&lt;=$AD$165,$AF$165,$AF$165)))))))))))</f>
        <v>0</v>
      </c>
      <c r="AH205" s="24"/>
      <c r="AI205" s="21">
        <f>IF(AH204&lt;=$AD$155,$AD$155,IF(AH204&lt;=$AD$156,$AD$156,IF(AH204&lt;=$AD$157,$AD$157,IF(AH204&lt;=$AD$158,$AD$158,IF(AH204&lt;=$AD$159,$AD$159,IF(AH204&lt;=$AD$160,$AD$160,IF(AH204&lt;=$AD$161,$AD$161,IF(AH204&lt;=$AD$162,$AD$162,IF(AH204&lt;=$AD$163,$AD$163,IF(AH204&lt;=$AD$164,$AD$164,IF(AH204&lt;=$AD$165,$AD$165,400)))))))))))</f>
        <v>400</v>
      </c>
      <c r="AJ205" s="21"/>
      <c r="AK205" s="25">
        <f>IF(AH204&lt;=$AD$155,$AG$155,IF(AH204&lt;=$AD$156,$AG$156,IF(AH204&lt;=$AD$157,$AG$157,IF(AH204&lt;=$AD$158,$AG$158,IF(AH204&lt;=$AD$159,$AG$159,IF(AH204&lt;=$AD$160,$AG$160,IF(AH204&lt;=$AD$161,$AG$161,IF(AH204&lt;=$AD$162,$AG$162,IF(AH204&lt;=$AD$163,$AG$163,IF(AH204&lt;=$AD$164,$AG$164,IF(AH204&lt;=$AD$165,$AG$165,$AG$165)))))))))))</f>
        <v>0</v>
      </c>
      <c r="AL205" s="24"/>
      <c r="AM205" s="21">
        <f>IF(AL204&lt;=$AD$155,$AD$155,IF(AL204&lt;=$AD$156,$AD$156,IF(AL204&lt;=$AD$157,$AD$157,IF(AL204&lt;=$AD$158,$AD$158,IF(AL204&lt;=$AD$159,$AD$159,IF(AL204&lt;=$AD$160,$AD$160,IF(AL204&lt;=$AD$161,$AD$161,IF(AL204&lt;=$AD$162,$AD$162,IF(AL204&lt;=$AD$163,$AD$163,IF(AL204&lt;=$AD$164,$AD$164,IF(AL204&lt;=$AD$165,$AD$165,400)))))))))))</f>
        <v>400</v>
      </c>
      <c r="AN205" s="21"/>
      <c r="AO205" s="25">
        <f>IF(AL204&lt;=$AD$155,$AH$155,IF(AL204&lt;=$AD$156,$AH$156,IF(AL204&lt;=$AD$157,$AH$157,IF(AL204&lt;=$AD$158,$AH$158,IF(AL204&lt;=$AD$159,$AH$159,IF(AL204&lt;=$AD$160,$AH$160,IF(AL204&lt;=$AD$161,$AH$161,IF(AL204&lt;=$AD$162,$AH$162,IF(AL204&lt;=$AD$163,$AH$163,IF(AL204&lt;=$AD$164,$AH$164,IF(AL204&lt;=$AD$165,$AH$165,$AH$165)))))))))))</f>
        <v>0</v>
      </c>
    </row>
    <row r="206" spans="2:41" ht="15">
      <c r="AD206" s="1574" t="s">
        <v>112</v>
      </c>
      <c r="AE206" s="1575"/>
      <c r="AF206" s="1575"/>
      <c r="AG206" s="1576"/>
      <c r="AH206" s="1574" t="s">
        <v>113</v>
      </c>
      <c r="AI206" s="1575"/>
      <c r="AJ206" s="1575"/>
      <c r="AK206" s="1576"/>
      <c r="AL206" s="1574" t="s">
        <v>131</v>
      </c>
      <c r="AM206" s="1575"/>
      <c r="AN206" s="1575"/>
      <c r="AO206" s="1576"/>
    </row>
    <row r="207" spans="2:41">
      <c r="AD207" s="22"/>
      <c r="AE207" s="17">
        <f>IF(AD208&lt;=$AD$156,$AD$155,IF(AD208&lt;=$AD$157,$AD$156,IF(AD208&lt;=$AD$158,$AD$157,IF(AD208&lt;=$AD$159,$AD$158,IF(AD208&lt;=$AD$160,$AD$159,IF(AD208&lt;=$AD$161,$AD$160,IF(AD208&lt;=$AD$162,$AD$161,IF(AD208&lt;=$AD$163,$AD$162,IF(AD208&lt;=$AD$164,$AD$163,IF(AD208&lt;=$AD$165,$AD$164,$AD$165))))))))))</f>
        <v>0</v>
      </c>
      <c r="AF207" s="17"/>
      <c r="AG207" s="18">
        <f>IF(AD208&lt;=$AD$156,$AF$155,IF(AD208&lt;=$AD$157,$AF$156,IF(AD208&lt;=$AD$158,$AF$157,IF(AD208&lt;=$AD$159,$AF$158,IF(AD208&lt;=$AD$160,$AF$159,IF(AD208&lt;=$AD$161,$AF$160,IF(AD208&lt;=$AD$162,$AF$161,IF(AD208&lt;=$AD$163,$AF$162,IF(AD208&lt;=$AD$164,$AF$163,IF(AD208&lt;=$AD$165,$AF$164,$AF$165))))))))))</f>
        <v>0</v>
      </c>
      <c r="AH207" s="22"/>
      <c r="AI207" s="17">
        <f>IF(AH208&lt;=$AD$156,$AD$155,IF(AH208&lt;=$AD$157,$AD$156,IF(AH208&lt;=$AD$158,$AD$157,IF(AH208&lt;=$AD$159,$AD$158,IF(AH208&lt;=$AD$160,$AD$159,IF(AH208&lt;=$AD$161,$AD$160,IF(AH208&lt;=$AD$162,$AD$161,IF(AH208&lt;=$AD$163,$AD$162,IF(AH208&lt;=$AD$164,$AD$163,IF(AH208&lt;=$AD$165,$AD$164,$AD$165))))))))))</f>
        <v>0</v>
      </c>
      <c r="AJ207" s="17"/>
      <c r="AK207" s="18">
        <f>IF(AH208&lt;=$AD$156,$AG$155,IF(AH208&lt;=$AD$157,$AG$156,IF(AH208&lt;=$AD$158,$AG$157,IF(AH208&lt;=$AD$159,$AG$158,IF(AH208&lt;=$AD$160,$AG$159,IF(AH208&lt;=$AD$161,$AG$160,IF(AH208&lt;=$AD$162,$AG$161,IF(AH208&lt;=$AD$163,$AG$162,IF(AH208&lt;=$AD$164,$AG$163,IF(AH208&lt;=$AD$165,$AG$164,$AG$165))))))))))</f>
        <v>0</v>
      </c>
      <c r="AL207" s="22"/>
      <c r="AM207" s="17">
        <f>IF(AL208&lt;=$AD$156,$AD$155,IF(AL208&lt;=$AD$157,$AD$156,IF(AL208&lt;=$AD$158,$AD$157,IF(AL208&lt;=$AD$159,$AD$158,IF(AL208&lt;=$AD$160,$AD$159,IF(AL208&lt;=$AD$161,$AD$160,IF(AL208&lt;=$AD$162,$AD$161,IF(AL208&lt;=$AD$163,$AD$162,IF(AL208&lt;=$AD$164,$AD$163,IF(AL208&lt;=$AD$165,$AD$164,$AD$165))))))))))</f>
        <v>0</v>
      </c>
      <c r="AN207" s="17"/>
      <c r="AO207" s="18">
        <f>IF(AL208&lt;=$AD$156,$AH$155,IF(AL208&lt;=$AD$157,$AH$156,IF(AL208&lt;=$AD$158,$AH$157,IF(AL208&lt;=$AD$159,$AH$158,IF(AL208&lt;=$AD$160,$AH$159,IF(AL208&lt;=$AD$161,$AH$160,IF(AL208&lt;=$AD$162,$AH$161,IF(AL208&lt;=$AD$163,$AH$162,IF(AL208&lt;=$AD$164,$AH$163,IF(AL208&lt;=$AD$165,$AH$164,$AH$165))))))))))</f>
        <v>0</v>
      </c>
    </row>
    <row r="208" spans="2:41">
      <c r="AD208" s="23">
        <v>20</v>
      </c>
      <c r="AE208" s="17"/>
      <c r="AF208" s="19">
        <f>((AD208-AE207)/(AE209-AE207)*(AG209-AG207)+AG207)</f>
        <v>0</v>
      </c>
      <c r="AG208" s="20"/>
      <c r="AH208" s="23">
        <f>AD208</f>
        <v>20</v>
      </c>
      <c r="AI208" s="17"/>
      <c r="AJ208" s="19">
        <f>((AH208-AI207)/(AI209-AI207)*(AK209-AK207)+AK207)</f>
        <v>0</v>
      </c>
      <c r="AK208" s="20"/>
      <c r="AL208" s="23">
        <f>AH208</f>
        <v>20</v>
      </c>
      <c r="AM208" s="17"/>
      <c r="AN208" s="19">
        <f>((AL208-AM207)/(AM209-AM207)*(AO209-AO207)+AO207)</f>
        <v>0</v>
      </c>
      <c r="AO208" s="20"/>
    </row>
    <row r="209" spans="30:41" ht="13" thickBot="1">
      <c r="AD209" s="24"/>
      <c r="AE209" s="21">
        <f>IF(AD208&lt;=$AD$155,$AD$155,IF(AD208&lt;=$AD$156,$AD$156,IF(AD208&lt;=$AD$157,$AD$157,IF(AD208&lt;=$AD$158,$AD$158,IF(AD208&lt;=$AD$159,$AD$159,IF(AD208&lt;=$AD$160,$AD$160,IF(AD208&lt;=$AD$161,$AD$161,IF(AD208&lt;=$AD$162,$AD$162,IF(AD208&lt;=$AD$163,$AD$163,IF(AD208&lt;=$AD$164,$AD$164,IF(AD208&lt;=$AD$165,$AD$165,400)))))))))))</f>
        <v>400</v>
      </c>
      <c r="AF209" s="21"/>
      <c r="AG209" s="25">
        <f>IF(AD208&lt;=$AD$155,$AF$155,IF(AD208&lt;=$AD$156,$AF$156,IF(AD208&lt;=$AD$157,$AF$157,IF(AD208&lt;=$AD$158,$AF$158,IF(AD208&lt;=$AD$159,$AF$159,IF(AD208&lt;=$AD$160,$AF$160,IF(AD208&lt;=$AD$161,$AF$161,IF(AD208&lt;=$AD$162,$AF$162,IF(AD208&lt;=$AD$163,$AF$163,IF(AD208&lt;=$AD$164,$AF$164,IF(AD208&lt;=$AD$165,$AF$165,$AF$165)))))))))))</f>
        <v>0</v>
      </c>
      <c r="AH209" s="24"/>
      <c r="AI209" s="21">
        <f>IF(AH208&lt;=$AD$155,$AD$155,IF(AH208&lt;=$AD$156,$AD$156,IF(AH208&lt;=$AD$157,$AD$157,IF(AH208&lt;=$AD$158,$AD$158,IF(AH208&lt;=$AD$159,$AD$159,IF(AH208&lt;=$AD$160,$AD$160,IF(AH208&lt;=$AD$161,$AD$161,IF(AH208&lt;=$AD$162,$AD$162,IF(AH208&lt;=$AD$163,$AD$163,IF(AH208&lt;=$AD$164,$AD$164,IF(AH208&lt;=$AD$165,$AD$165,400)))))))))))</f>
        <v>400</v>
      </c>
      <c r="AJ209" s="21"/>
      <c r="AK209" s="25">
        <f>IF(AH208&lt;=$AD$155,$AG$155,IF(AH208&lt;=$AD$156,$AG$156,IF(AH208&lt;=$AD$157,$AG$157,IF(AH208&lt;=$AD$158,$AG$158,IF(AH208&lt;=$AD$159,$AG$159,IF(AH208&lt;=$AD$160,$AG$160,IF(AH208&lt;=$AD$161,$AG$161,IF(AH208&lt;=$AD$162,$AG$162,IF(AH208&lt;=$AD$163,$AG$163,IF(AH208&lt;=$AD$164,$AG$164,IF(AH208&lt;=$AD$165,$AG$165,$AG$165)))))))))))</f>
        <v>0</v>
      </c>
      <c r="AL209" s="24"/>
      <c r="AM209" s="21">
        <f>IF(AL208&lt;=$AD$155,$AD$155,IF(AL208&lt;=$AD$156,$AD$156,IF(AL208&lt;=$AD$157,$AD$157,IF(AL208&lt;=$AD$158,$AD$158,IF(AL208&lt;=$AD$159,$AD$159,IF(AL208&lt;=$AD$160,$AD$160,IF(AL208&lt;=$AD$161,$AD$161,IF(AL208&lt;=$AD$162,$AD$162,IF(AL208&lt;=$AD$163,$AD$163,IF(AL208&lt;=$AD$164,$AD$164,IF(AL208&lt;=$AD$165,$AD$165,400)))))))))))</f>
        <v>400</v>
      </c>
      <c r="AN209" s="21"/>
      <c r="AO209" s="25">
        <f>IF(AL208&lt;=$AD$155,$AH$155,IF(AL208&lt;=$AD$156,$AH$156,IF(AL208&lt;=$AD$157,$AH$157,IF(AL208&lt;=$AD$158,$AH$158,IF(AL208&lt;=$AD$159,$AH$159,IF(AL208&lt;=$AD$160,$AH$160,IF(AL208&lt;=$AD$161,$AH$161,IF(AL208&lt;=$AD$162,$AH$162,IF(AL208&lt;=$AD$163,$AH$163,IF(AL208&lt;=$AD$164,$AH$164,IF(AL208&lt;=$AD$165,$AH$165,$AH$165)))))))))))</f>
        <v>0</v>
      </c>
    </row>
    <row r="210" spans="30:41" ht="15">
      <c r="AD210" s="1574" t="s">
        <v>112</v>
      </c>
      <c r="AE210" s="1575"/>
      <c r="AF210" s="1575"/>
      <c r="AG210" s="1576"/>
      <c r="AH210" s="1574" t="s">
        <v>113</v>
      </c>
      <c r="AI210" s="1575"/>
      <c r="AJ210" s="1575"/>
      <c r="AK210" s="1576"/>
      <c r="AL210" s="1574" t="s">
        <v>131</v>
      </c>
      <c r="AM210" s="1575"/>
      <c r="AN210" s="1575"/>
      <c r="AO210" s="1576"/>
    </row>
    <row r="211" spans="30:41">
      <c r="AD211" s="22"/>
      <c r="AE211" s="17">
        <f>IF(AD212&lt;=$AD$156,$AD$155,IF(AD212&lt;=$AD$157,$AD$156,IF(AD212&lt;=$AD$158,$AD$157,IF(AD212&lt;=$AD$159,$AD$158,IF(AD212&lt;=$AD$160,$AD$159,IF(AD212&lt;=$AD$161,$AD$160,IF(AD212&lt;=$AD$162,$AD$161,IF(AD212&lt;=$AD$163,$AD$162,IF(AD212&lt;=$AD$164,$AD$163,IF(AD212&lt;=$AD$165,$AD$164,$AD$165))))))))))</f>
        <v>0</v>
      </c>
      <c r="AF211" s="17"/>
      <c r="AG211" s="18">
        <f>IF(AD212&lt;=$AD$156,$AF$155,IF(AD212&lt;=$AD$157,$AF$156,IF(AD212&lt;=$AD$158,$AF$157,IF(AD212&lt;=$AD$159,$AF$158,IF(AD212&lt;=$AD$160,$AF$159,IF(AD212&lt;=$AD$161,$AF$160,IF(AD212&lt;=$AD$162,$AF$161,IF(AD212&lt;=$AD$163,$AF$162,IF(AD212&lt;=$AD$164,$AF$163,IF(AD212&lt;=$AD$165,$AF$164,$AF$165))))))))))</f>
        <v>0</v>
      </c>
      <c r="AH211" s="22"/>
      <c r="AI211" s="17">
        <f>IF(AH212&lt;=$AD$156,$AD$155,IF(AH212&lt;=$AD$157,$AD$156,IF(AH212&lt;=$AD$158,$AD$157,IF(AH212&lt;=$AD$159,$AD$158,IF(AH212&lt;=$AD$160,$AD$159,IF(AH212&lt;=$AD$161,$AD$160,IF(AH212&lt;=$AD$162,$AD$161,IF(AH212&lt;=$AD$163,$AD$162,IF(AH212&lt;=$AD$164,$AD$163,IF(AH212&lt;=$AD$165,$AD$164,$AD$165))))))))))</f>
        <v>0</v>
      </c>
      <c r="AJ211" s="17"/>
      <c r="AK211" s="18">
        <f>IF(AH212&lt;=$AD$156,$AG$155,IF(AH212&lt;=$AD$157,$AG$156,IF(AH212&lt;=$AD$158,$AG$157,IF(AH212&lt;=$AD$159,$AG$158,IF(AH212&lt;=$AD$160,$AG$159,IF(AH212&lt;=$AD$161,$AG$160,IF(AH212&lt;=$AD$162,$AG$161,IF(AH212&lt;=$AD$163,$AG$162,IF(AH212&lt;=$AD$164,$AG$163,IF(AH212&lt;=$AD$165,$AG$164,$AG$165))))))))))</f>
        <v>0</v>
      </c>
      <c r="AL211" s="22"/>
      <c r="AM211" s="17">
        <f>IF(AL212&lt;=$AD$156,$AD$155,IF(AL212&lt;=$AD$157,$AD$156,IF(AL212&lt;=$AD$158,$AD$157,IF(AL212&lt;=$AD$159,$AD$158,IF(AL212&lt;=$AD$160,$AD$159,IF(AL212&lt;=$AD$161,$AD$160,IF(AL212&lt;=$AD$162,$AD$161,IF(AL212&lt;=$AD$163,$AD$162,IF(AL212&lt;=$AD$164,$AD$163,IF(AL212&lt;=$AD$165,$AD$164,$AD$165))))))))))</f>
        <v>0</v>
      </c>
      <c r="AN211" s="17"/>
      <c r="AO211" s="18">
        <f>IF(AL212&lt;=$AD$156,$AH$155,IF(AL212&lt;=$AD$157,$AH$156,IF(AL212&lt;=$AD$158,$AH$157,IF(AL212&lt;=$AD$159,$AH$158,IF(AL212&lt;=$AD$160,$AH$159,IF(AL212&lt;=$AD$161,$AH$160,IF(AL212&lt;=$AD$162,$AH$161,IF(AL212&lt;=$AD$163,$AH$162,IF(AL212&lt;=$AD$164,$AH$163,IF(AL212&lt;=$AD$165,$AH$164,$AH$165))))))))))</f>
        <v>0</v>
      </c>
    </row>
    <row r="212" spans="30:41">
      <c r="AD212" s="23">
        <v>30</v>
      </c>
      <c r="AE212" s="17"/>
      <c r="AF212" s="19">
        <f>((AD212-AE211)/(AE213-AE211)*(AG213-AG211)+AG211)</f>
        <v>0</v>
      </c>
      <c r="AG212" s="20"/>
      <c r="AH212" s="23">
        <f>AD212</f>
        <v>30</v>
      </c>
      <c r="AI212" s="17"/>
      <c r="AJ212" s="19">
        <f>((AH212-AI211)/(AI213-AI211)*(AK213-AK211)+AK211)</f>
        <v>0</v>
      </c>
      <c r="AK212" s="20"/>
      <c r="AL212" s="23">
        <f>AH212</f>
        <v>30</v>
      </c>
      <c r="AM212" s="17"/>
      <c r="AN212" s="19">
        <f>((AL212-AM211)/(AM213-AM211)*(AO213-AO211)+AO211)</f>
        <v>0</v>
      </c>
      <c r="AO212" s="20"/>
    </row>
    <row r="213" spans="30:41" ht="13" thickBot="1">
      <c r="AD213" s="24"/>
      <c r="AE213" s="21">
        <f>IF(AD212&lt;=$AD$155,$AD$155,IF(AD212&lt;=$AD$156,$AD$156,IF(AD212&lt;=$AD$157,$AD$157,IF(AD212&lt;=$AD$158,$AD$158,IF(AD212&lt;=$AD$159,$AD$159,IF(AD212&lt;=$AD$160,$AD$160,IF(AD212&lt;=$AD$161,$AD$161,IF(AD212&lt;=$AD$162,$AD$162,IF(AD212&lt;=$AD$163,$AD$163,IF(AD212&lt;=$AD$164,$AD$164,IF(AD212&lt;=$AD$165,$AD$165,400)))))))))))</f>
        <v>400</v>
      </c>
      <c r="AF213" s="21"/>
      <c r="AG213" s="25">
        <f>IF(AD212&lt;=$AD$155,$AF$155,IF(AD212&lt;=$AD$156,$AF$156,IF(AD212&lt;=$AD$157,$AF$157,IF(AD212&lt;=$AD$158,$AF$158,IF(AD212&lt;=$AD$159,$AF$159,IF(AD212&lt;=$AD$160,$AF$160,IF(AD212&lt;=$AD$161,$AF$161,IF(AD212&lt;=$AD$162,$AF$162,IF(AD212&lt;=$AD$163,$AF$163,IF(AD212&lt;=$AD$164,$AF$164,IF(AD212&lt;=$AD$165,$AF$165,$AF$165)))))))))))</f>
        <v>0</v>
      </c>
      <c r="AH213" s="24"/>
      <c r="AI213" s="21">
        <f>IF(AH212&lt;=$AD$155,$AD$155,IF(AH212&lt;=$AD$156,$AD$156,IF(AH212&lt;=$AD$157,$AD$157,IF(AH212&lt;=$AD$158,$AD$158,IF(AH212&lt;=$AD$159,$AD$159,IF(AH212&lt;=$AD$160,$AD$160,IF(AH212&lt;=$AD$161,$AD$161,IF(AH212&lt;=$AD$162,$AD$162,IF(AH212&lt;=$AD$163,$AD$163,IF(AH212&lt;=$AD$164,$AD$164,IF(AH212&lt;=$AD$165,$AD$165,400)))))))))))</f>
        <v>400</v>
      </c>
      <c r="AJ213" s="21"/>
      <c r="AK213" s="25">
        <f>IF(AH212&lt;=$AD$155,$AG$155,IF(AH212&lt;=$AD$156,$AG$156,IF(AH212&lt;=$AD$157,$AG$157,IF(AH212&lt;=$AD$158,$AG$158,IF(AH212&lt;=$AD$159,$AG$159,IF(AH212&lt;=$AD$160,$AG$160,IF(AH212&lt;=$AD$161,$AG$161,IF(AH212&lt;=$AD$162,$AG$162,IF(AH212&lt;=$AD$163,$AG$163,IF(AH212&lt;=$AD$164,$AG$164,IF(AH212&lt;=$AD$165,$AG$165,$AG$165)))))))))))</f>
        <v>0</v>
      </c>
      <c r="AL213" s="24"/>
      <c r="AM213" s="21">
        <f>IF(AL212&lt;=$AD$155,$AD$155,IF(AL212&lt;=$AD$156,$AD$156,IF(AL212&lt;=$AD$157,$AD$157,IF(AL212&lt;=$AD$158,$AD$158,IF(AL212&lt;=$AD$159,$AD$159,IF(AL212&lt;=$AD$160,$AD$160,IF(AL212&lt;=$AD$161,$AD$161,IF(AL212&lt;=$AD$162,$AD$162,IF(AL212&lt;=$AD$163,$AD$163,IF(AL212&lt;=$AD$164,$AD$164,IF(AL212&lt;=$AD$165,$AD$165,400)))))))))))</f>
        <v>400</v>
      </c>
      <c r="AN213" s="21"/>
      <c r="AO213" s="25">
        <f>IF(AL212&lt;=$AD$155,$AH$155,IF(AL212&lt;=$AD$156,$AH$156,IF(AL212&lt;=$AD$157,$AH$157,IF(AL212&lt;=$AD$158,$AH$158,IF(AL212&lt;=$AD$159,$AH$159,IF(AL212&lt;=$AD$160,$AH$160,IF(AL212&lt;=$AD$161,$AH$161,IF(AL212&lt;=$AD$162,$AH$162,IF(AL212&lt;=$AD$163,$AH$163,IF(AL212&lt;=$AD$164,$AH$164,IF(AL212&lt;=$AD$165,$AH$165,$AH$165)))))))))))</f>
        <v>0</v>
      </c>
    </row>
    <row r="214" spans="30:41" ht="15">
      <c r="AD214" s="1574" t="s">
        <v>112</v>
      </c>
      <c r="AE214" s="1575"/>
      <c r="AF214" s="1575"/>
      <c r="AG214" s="1576"/>
      <c r="AH214" s="1574" t="s">
        <v>113</v>
      </c>
      <c r="AI214" s="1575"/>
      <c r="AJ214" s="1575"/>
      <c r="AK214" s="1576"/>
      <c r="AL214" s="1574" t="s">
        <v>131</v>
      </c>
      <c r="AM214" s="1575"/>
      <c r="AN214" s="1575"/>
      <c r="AO214" s="1576"/>
    </row>
    <row r="215" spans="30:41">
      <c r="AD215" s="22"/>
      <c r="AE215" s="17">
        <f>IF(AD216&lt;=$AD$156,$AD$155,IF(AD216&lt;=$AD$157,$AD$156,IF(AD216&lt;=$AD$158,$AD$157,IF(AD216&lt;=$AD$159,$AD$158,IF(AD216&lt;=$AD$160,$AD$159,IF(AD216&lt;=$AD$161,$AD$160,IF(AD216&lt;=$AD$162,$AD$161,IF(AD216&lt;=$AD$163,$AD$162,IF(AD216&lt;=$AD$164,$AD$163,IF(AD216&lt;=$AD$165,$AD$164,$AD$165))))))))))</f>
        <v>0</v>
      </c>
      <c r="AF215" s="17"/>
      <c r="AG215" s="18">
        <f>IF(AD216&lt;=$AD$156,$AF$155,IF(AD216&lt;=$AD$157,$AF$156,IF(AD216&lt;=$AD$158,$AF$157,IF(AD216&lt;=$AD$159,$AF$158,IF(AD216&lt;=$AD$160,$AF$159,IF(AD216&lt;=$AD$161,$AF$160,IF(AD216&lt;=$AD$162,$AF$161,IF(AD216&lt;=$AD$163,$AF$162,IF(AD216&lt;=$AD$164,$AF$163,IF(AD216&lt;=$AD$165,$AF$164,$AF$165))))))))))</f>
        <v>0</v>
      </c>
      <c r="AH215" s="22"/>
      <c r="AI215" s="17">
        <f>IF(AH216&lt;=$AD$156,$AD$155,IF(AH216&lt;=$AD$157,$AD$156,IF(AH216&lt;=$AD$158,$AD$157,IF(AH216&lt;=$AD$159,$AD$158,IF(AH216&lt;=$AD$160,$AD$159,IF(AH216&lt;=$AD$161,$AD$160,IF(AH216&lt;=$AD$162,$AD$161,IF(AH216&lt;=$AD$163,$AD$162,IF(AH216&lt;=$AD$164,$AD$163,IF(AH216&lt;=$AD$165,$AD$164,$AD$165))))))))))</f>
        <v>0</v>
      </c>
      <c r="AJ215" s="17"/>
      <c r="AK215" s="18">
        <f>IF(AH216&lt;=$AD$156,$AG$155,IF(AH216&lt;=$AD$157,$AG$156,IF(AH216&lt;=$AD$158,$AG$157,IF(AH216&lt;=$AD$159,$AG$158,IF(AH216&lt;=$AD$160,$AG$159,IF(AH216&lt;=$AD$161,$AG$160,IF(AH216&lt;=$AD$162,$AG$161,IF(AH216&lt;=$AD$163,$AG$162,IF(AH216&lt;=$AD$164,$AG$163,IF(AH216&lt;=$AD$165,$AG$164,$AG$165))))))))))</f>
        <v>0</v>
      </c>
      <c r="AL215" s="22"/>
      <c r="AM215" s="17">
        <f>IF(AL216&lt;=$AD$156,$AD$155,IF(AL216&lt;=$AD$157,$AD$156,IF(AL216&lt;=$AD$158,$AD$157,IF(AL216&lt;=$AD$159,$AD$158,IF(AL216&lt;=$AD$160,$AD$159,IF(AL216&lt;=$AD$161,$AD$160,IF(AL216&lt;=$AD$162,$AD$161,IF(AL216&lt;=$AD$163,$AD$162,IF(AL216&lt;=$AD$164,$AD$163,IF(AL216&lt;=$AD$165,$AD$164,$AD$165))))))))))</f>
        <v>0</v>
      </c>
      <c r="AN215" s="17"/>
      <c r="AO215" s="18">
        <f>IF(AL216&lt;=$AD$156,$AH$155,IF(AL216&lt;=$AD$157,$AH$156,IF(AL216&lt;=$AD$158,$AH$157,IF(AL216&lt;=$AD$159,$AH$158,IF(AL216&lt;=$AD$160,$AH$159,IF(AL216&lt;=$AD$161,$AH$160,IF(AL216&lt;=$AD$162,$AH$161,IF(AL216&lt;=$AD$163,$AH$162,IF(AL216&lt;=$AD$164,$AH$163,IF(AL216&lt;=$AD$165,$AH$164,$AH$165))))))))))</f>
        <v>0</v>
      </c>
    </row>
    <row r="216" spans="30:41">
      <c r="AD216" s="23">
        <v>40</v>
      </c>
      <c r="AE216" s="17"/>
      <c r="AF216" s="19">
        <f>((AD216-AE215)/(AE217-AE215)*(AG217-AG215)+AG215)</f>
        <v>0</v>
      </c>
      <c r="AG216" s="20"/>
      <c r="AH216" s="23">
        <f>AD216</f>
        <v>40</v>
      </c>
      <c r="AI216" s="17"/>
      <c r="AJ216" s="19">
        <f>((AH216-AI215)/(AI217-AI215)*(AK217-AK215)+AK215)</f>
        <v>0</v>
      </c>
      <c r="AK216" s="20"/>
      <c r="AL216" s="23">
        <f>AH216</f>
        <v>40</v>
      </c>
      <c r="AM216" s="17"/>
      <c r="AN216" s="19">
        <f>((AL216-AM215)/(AM217-AM215)*(AO217-AO215)+AO215)</f>
        <v>0</v>
      </c>
      <c r="AO216" s="20"/>
    </row>
    <row r="217" spans="30:41" ht="13" thickBot="1">
      <c r="AD217" s="24"/>
      <c r="AE217" s="21">
        <f>IF(AD216&lt;=$AD$155,$AD$155,IF(AD216&lt;=$AD$156,$AD$156,IF(AD216&lt;=$AD$157,$AD$157,IF(AD216&lt;=$AD$158,$AD$158,IF(AD216&lt;=$AD$159,$AD$159,IF(AD216&lt;=$AD$160,$AD$160,IF(AD216&lt;=$AD$161,$AD$161,IF(AD216&lt;=$AD$162,$AD$162,IF(AD216&lt;=$AD$163,$AD$163,IF(AD216&lt;=$AD$164,$AD$164,IF(AD216&lt;=$AD$165,$AD$165,400)))))))))))</f>
        <v>400</v>
      </c>
      <c r="AF217" s="21"/>
      <c r="AG217" s="25">
        <f>IF(AD216&lt;=$AD$155,$AF$155,IF(AD216&lt;=$AD$156,$AF$156,IF(AD216&lt;=$AD$157,$AF$157,IF(AD216&lt;=$AD$158,$AF$158,IF(AD216&lt;=$AD$159,$AF$159,IF(AD216&lt;=$AD$160,$AF$160,IF(AD216&lt;=$AD$161,$AF$161,IF(AD216&lt;=$AD$162,$AF$162,IF(AD216&lt;=$AD$163,$AF$163,IF(AD216&lt;=$AD$164,$AF$164,IF(AD216&lt;=$AD$165,$AF$165,$AF$165)))))))))))</f>
        <v>0</v>
      </c>
      <c r="AH217" s="24"/>
      <c r="AI217" s="21">
        <f>IF(AH216&lt;=$AD$155,$AD$155,IF(AH216&lt;=$AD$156,$AD$156,IF(AH216&lt;=$AD$157,$AD$157,IF(AH216&lt;=$AD$158,$AD$158,IF(AH216&lt;=$AD$159,$AD$159,IF(AH216&lt;=$AD$160,$AD$160,IF(AH216&lt;=$AD$161,$AD$161,IF(AH216&lt;=$AD$162,$AD$162,IF(AH216&lt;=$AD$163,$AD$163,IF(AH216&lt;=$AD$164,$AD$164,IF(AH216&lt;=$AD$165,$AD$165,400)))))))))))</f>
        <v>400</v>
      </c>
      <c r="AJ217" s="21"/>
      <c r="AK217" s="25">
        <f>IF(AH216&lt;=$AD$155,$AG$155,IF(AH216&lt;=$AD$156,$AG$156,IF(AH216&lt;=$AD$157,$AG$157,IF(AH216&lt;=$AD$158,$AG$158,IF(AH216&lt;=$AD$159,$AG$159,IF(AH216&lt;=$AD$160,$AG$160,IF(AH216&lt;=$AD$161,$AG$161,IF(AH216&lt;=$AD$162,$AG$162,IF(AH216&lt;=$AD$163,$AG$163,IF(AH216&lt;=$AD$164,$AG$164,IF(AH216&lt;=$AD$165,$AG$165,$AG$165)))))))))))</f>
        <v>0</v>
      </c>
      <c r="AL217" s="24"/>
      <c r="AM217" s="21">
        <f>IF(AL216&lt;=$AD$155,$AD$155,IF(AL216&lt;=$AD$156,$AD$156,IF(AL216&lt;=$AD$157,$AD$157,IF(AL216&lt;=$AD$158,$AD$158,IF(AL216&lt;=$AD$159,$AD$159,IF(AL216&lt;=$AD$160,$AD$160,IF(AL216&lt;=$AD$161,$AD$161,IF(AL216&lt;=$AD$162,$AD$162,IF(AL216&lt;=$AD$163,$AD$163,IF(AL216&lt;=$AD$164,$AD$164,IF(AL216&lt;=$AD$165,$AD$165,400)))))))))))</f>
        <v>400</v>
      </c>
      <c r="AN217" s="21"/>
      <c r="AO217" s="25">
        <f>IF(AL216&lt;=$AD$155,$AH$155,IF(AL216&lt;=$AD$156,$AH$156,IF(AL216&lt;=$AD$157,$AH$157,IF(AL216&lt;=$AD$158,$AH$158,IF(AL216&lt;=$AD$159,$AH$159,IF(AL216&lt;=$AD$160,$AH$160,IF(AL216&lt;=$AD$161,$AH$161,IF(AL216&lt;=$AD$162,$AH$162,IF(AL216&lt;=$AD$163,$AH$163,IF(AL216&lt;=$AD$164,$AH$164,IF(AL216&lt;=$AD$165,$AH$165,$AH$165)))))))))))</f>
        <v>0</v>
      </c>
    </row>
    <row r="218" spans="30:41" ht="15">
      <c r="AD218" s="1574"/>
      <c r="AE218" s="1575"/>
      <c r="AF218" s="1575"/>
      <c r="AG218" s="1576"/>
      <c r="AH218" s="1574"/>
      <c r="AI218" s="1575"/>
      <c r="AJ218" s="1575"/>
      <c r="AK218" s="1576"/>
      <c r="AL218" s="1574"/>
      <c r="AM218" s="1575"/>
      <c r="AN218" s="1575"/>
      <c r="AO218" s="1576"/>
    </row>
    <row r="219" spans="30:41">
      <c r="AD219" s="22"/>
      <c r="AE219" s="17"/>
      <c r="AF219" s="17"/>
      <c r="AG219" s="18"/>
      <c r="AH219" s="22"/>
      <c r="AI219" s="17"/>
      <c r="AJ219" s="17"/>
      <c r="AK219" s="18"/>
      <c r="AL219" s="22"/>
      <c r="AM219" s="17"/>
      <c r="AN219" s="17"/>
      <c r="AO219" s="18"/>
    </row>
    <row r="220" spans="30:41">
      <c r="AD220" s="23"/>
      <c r="AE220" s="17"/>
      <c r="AF220" s="19"/>
      <c r="AG220" s="20"/>
      <c r="AH220" s="23"/>
      <c r="AI220" s="17"/>
      <c r="AJ220" s="19"/>
      <c r="AK220" s="20"/>
      <c r="AL220" s="23"/>
      <c r="AM220" s="17"/>
      <c r="AN220" s="19"/>
      <c r="AO220" s="20"/>
    </row>
    <row r="221" spans="30:41" ht="13" thickBot="1">
      <c r="AD221" s="24"/>
      <c r="AE221" s="21"/>
      <c r="AF221" s="21"/>
      <c r="AG221" s="25"/>
      <c r="AH221" s="24"/>
      <c r="AI221" s="21"/>
      <c r="AJ221" s="21"/>
      <c r="AK221" s="25"/>
      <c r="AL221" s="24"/>
      <c r="AM221" s="21"/>
      <c r="AN221" s="21"/>
      <c r="AO221" s="25"/>
    </row>
    <row r="222" spans="30:41" ht="15">
      <c r="AD222" s="1574"/>
      <c r="AE222" s="1575"/>
      <c r="AF222" s="1575"/>
      <c r="AG222" s="1576"/>
      <c r="AH222" s="1574"/>
      <c r="AI222" s="1575"/>
      <c r="AJ222" s="1575"/>
      <c r="AK222" s="1576"/>
      <c r="AL222" s="1574"/>
      <c r="AM222" s="1575"/>
      <c r="AN222" s="1575"/>
      <c r="AO222" s="1576"/>
    </row>
    <row r="223" spans="30:41"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</row>
    <row r="224" spans="30:41" ht="15">
      <c r="AD224" s="1577"/>
      <c r="AE224" s="1578"/>
      <c r="AF224" s="1578"/>
      <c r="AG224" s="1579"/>
      <c r="AH224" s="1577"/>
      <c r="AI224" s="1578"/>
      <c r="AJ224" s="1578"/>
      <c r="AK224" s="1579"/>
      <c r="AL224" s="1577"/>
      <c r="AM224" s="1578"/>
      <c r="AN224" s="1578"/>
      <c r="AO224" s="1579"/>
    </row>
    <row r="225" spans="30:41"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</row>
  </sheetData>
  <mergeCells count="83">
    <mergeCell ref="A2:W2"/>
    <mergeCell ref="A3:K3"/>
    <mergeCell ref="M3:W3"/>
    <mergeCell ref="A152:B152"/>
    <mergeCell ref="H152:J152"/>
    <mergeCell ref="K152:K154"/>
    <mergeCell ref="I153:J153"/>
    <mergeCell ref="L152:L154"/>
    <mergeCell ref="A75:W75"/>
    <mergeCell ref="A151:B151"/>
    <mergeCell ref="C152:D152"/>
    <mergeCell ref="E152:F152"/>
    <mergeCell ref="B196:E196"/>
    <mergeCell ref="A178:B178"/>
    <mergeCell ref="H174:K174"/>
    <mergeCell ref="F188:I188"/>
    <mergeCell ref="F192:I192"/>
    <mergeCell ref="H178:K178"/>
    <mergeCell ref="B188:E188"/>
    <mergeCell ref="F196:I196"/>
    <mergeCell ref="A169:B169"/>
    <mergeCell ref="A160:B160"/>
    <mergeCell ref="B192:E192"/>
    <mergeCell ref="X174:AA174"/>
    <mergeCell ref="X178:AA178"/>
    <mergeCell ref="H162:J162"/>
    <mergeCell ref="I163:J163"/>
    <mergeCell ref="X182:AA182"/>
    <mergeCell ref="X186:AA186"/>
    <mergeCell ref="X190:AA190"/>
    <mergeCell ref="L162:L164"/>
    <mergeCell ref="X198:AA198"/>
    <mergeCell ref="AD152:AF152"/>
    <mergeCell ref="AG152:AG154"/>
    <mergeCell ref="AH152:AH154"/>
    <mergeCell ref="AE153:AF153"/>
    <mergeCell ref="AD174:AG174"/>
    <mergeCell ref="AH174:AK174"/>
    <mergeCell ref="AD186:AG186"/>
    <mergeCell ref="AD190:AG190"/>
    <mergeCell ref="AD194:AG194"/>
    <mergeCell ref="AD198:AG198"/>
    <mergeCell ref="AB152:AB154"/>
    <mergeCell ref="Y153:Z153"/>
    <mergeCell ref="X152:Z152"/>
    <mergeCell ref="X194:AA194"/>
    <mergeCell ref="AA152:AA154"/>
    <mergeCell ref="AD210:AG210"/>
    <mergeCell ref="AD214:AG214"/>
    <mergeCell ref="AD218:AG218"/>
    <mergeCell ref="AL174:AO174"/>
    <mergeCell ref="AD178:AG178"/>
    <mergeCell ref="AH178:AK178"/>
    <mergeCell ref="AL178:AO178"/>
    <mergeCell ref="AD182:AG182"/>
    <mergeCell ref="AH182:AK182"/>
    <mergeCell ref="AH194:AK194"/>
    <mergeCell ref="AH198:AK198"/>
    <mergeCell ref="AH202:AK202"/>
    <mergeCell ref="AD202:AG202"/>
    <mergeCell ref="AD206:AG206"/>
    <mergeCell ref="AH206:AK206"/>
    <mergeCell ref="AH210:AK210"/>
    <mergeCell ref="AH214:AK214"/>
    <mergeCell ref="AH218:AK218"/>
    <mergeCell ref="AL182:AO182"/>
    <mergeCell ref="AL186:AO186"/>
    <mergeCell ref="AL190:AO190"/>
    <mergeCell ref="AL194:AO194"/>
    <mergeCell ref="AL198:AO198"/>
    <mergeCell ref="AL202:AO202"/>
    <mergeCell ref="AL206:AO206"/>
    <mergeCell ref="AL210:AO210"/>
    <mergeCell ref="AL214:AO214"/>
    <mergeCell ref="AL218:AO218"/>
    <mergeCell ref="AH186:AK186"/>
    <mergeCell ref="AH190:AK190"/>
    <mergeCell ref="AD222:AG222"/>
    <mergeCell ref="AH222:AK222"/>
    <mergeCell ref="AL222:AO222"/>
    <mergeCell ref="AD224:AG224"/>
    <mergeCell ref="AH224:AK224"/>
    <mergeCell ref="AL224:AO224"/>
  </mergeCells>
  <printOptions horizontalCentered="1" verticalCentered="1"/>
  <pageMargins left="0.25" right="0.19" top="0.19" bottom="0.27" header="0.15" footer="0.2"/>
  <pageSetup paperSize="9" scale="49" orientation="landscape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AS118"/>
  <sheetViews>
    <sheetView showGridLines="0" view="pageBreakPreview" topLeftCell="A14" zoomScale="87" zoomScaleNormal="87" zoomScaleSheetLayoutView="87" workbookViewId="0">
      <selection activeCell="F45" sqref="F45"/>
    </sheetView>
  </sheetViews>
  <sheetFormatPr defaultColWidth="9.08984375" defaultRowHeight="13"/>
  <cols>
    <col min="1" max="1" width="3.6328125" style="4" customWidth="1"/>
    <col min="2" max="2" width="4.36328125" style="4" customWidth="1"/>
    <col min="3" max="3" width="19.08984375" style="4" customWidth="1"/>
    <col min="4" max="4" width="11.6328125" style="4" customWidth="1"/>
    <col min="5" max="5" width="12.90625" style="4" customWidth="1"/>
    <col min="6" max="6" width="10.453125" style="4" customWidth="1"/>
    <col min="7" max="7" width="11.54296875" style="4" customWidth="1"/>
    <col min="8" max="8" width="7.6328125" style="4" customWidth="1"/>
    <col min="9" max="9" width="9" style="4" customWidth="1"/>
    <col min="10" max="10" width="5.36328125" style="4" customWidth="1"/>
    <col min="11" max="11" width="7.36328125" style="4" customWidth="1"/>
    <col min="12" max="12" width="5.453125" style="4" customWidth="1"/>
    <col min="13" max="13" width="2.90625" style="4" customWidth="1"/>
    <col min="14" max="14" width="8.54296875" style="4" customWidth="1"/>
    <col min="15" max="15" width="12.90625" style="4" customWidth="1"/>
    <col min="16" max="16" width="9.453125" style="4" customWidth="1"/>
    <col min="17" max="18" width="12.90625" style="4" customWidth="1"/>
    <col min="19" max="19" width="12.90625" style="264" customWidth="1"/>
    <col min="20" max="25" width="12.90625" style="4" customWidth="1"/>
    <col min="26" max="29" width="4.6328125" style="4" customWidth="1"/>
    <col min="30" max="30" width="17.90625" style="4" customWidth="1"/>
    <col min="31" max="35" width="4.6328125" style="4" customWidth="1"/>
    <col min="36" max="39" width="5.36328125" style="4" customWidth="1"/>
    <col min="40" max="40" width="7.453125" style="4" customWidth="1"/>
    <col min="41" max="42" width="5.36328125" style="4" customWidth="1"/>
    <col min="43" max="43" width="7.90625" style="4" customWidth="1"/>
    <col min="44" max="45" width="5.36328125" style="4" customWidth="1"/>
    <col min="46" max="16384" width="9.08984375" style="4"/>
  </cols>
  <sheetData>
    <row r="1" spans="1:16" ht="18.5">
      <c r="A1" s="1661" t="s">
        <v>537</v>
      </c>
      <c r="B1" s="1661"/>
      <c r="C1" s="1661"/>
      <c r="D1" s="1661"/>
      <c r="E1" s="1661"/>
      <c r="F1" s="1661"/>
      <c r="G1" s="1661"/>
      <c r="H1" s="1661"/>
      <c r="I1" s="1661"/>
      <c r="J1" s="1661"/>
      <c r="K1" s="1661"/>
      <c r="L1" s="1661"/>
      <c r="M1" s="1661"/>
      <c r="N1" s="1661"/>
      <c r="O1" s="51"/>
      <c r="P1" s="51"/>
    </row>
    <row r="2" spans="1:16" ht="17">
      <c r="A2" s="1660" t="str">
        <f>ID!H2&amp;ID!I2</f>
        <v>Nomor Sertifikat : 7 / 1 / I - 22 / E - 060.26 DL</v>
      </c>
      <c r="B2" s="1660"/>
      <c r="C2" s="1660"/>
      <c r="D2" s="1660"/>
      <c r="E2" s="1660"/>
      <c r="F2" s="1660"/>
      <c r="G2" s="1660"/>
      <c r="H2" s="1660"/>
      <c r="I2" s="1660"/>
      <c r="J2" s="1660"/>
      <c r="K2" s="1660"/>
      <c r="L2" s="1660"/>
      <c r="M2" s="1660"/>
      <c r="N2" s="1660"/>
      <c r="O2" s="52" t="s">
        <v>81</v>
      </c>
      <c r="P2" s="52"/>
    </row>
    <row r="3" spans="1:16"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37"/>
      <c r="O3" s="37"/>
      <c r="P3" s="37"/>
    </row>
    <row r="4" spans="1:16" ht="14">
      <c r="A4" s="1619" t="str">
        <f>ID!A4</f>
        <v>Merek</v>
      </c>
      <c r="B4" s="1619"/>
      <c r="C4" s="1619"/>
      <c r="D4" s="868" t="str">
        <f>ID!F4</f>
        <v xml:space="preserve"> Medi Globe</v>
      </c>
      <c r="F4" s="277"/>
      <c r="G4" s="869"/>
      <c r="H4" s="869"/>
      <c r="I4" s="869"/>
      <c r="J4" s="869"/>
      <c r="K4" s="277"/>
      <c r="L4" s="277"/>
      <c r="M4" s="277"/>
      <c r="N4" s="37"/>
      <c r="O4" s="37"/>
      <c r="P4" s="37"/>
    </row>
    <row r="5" spans="1:16" ht="14">
      <c r="A5" s="1619" t="str">
        <f>ID!A5</f>
        <v>Model/Tipe</v>
      </c>
      <c r="B5" s="1619"/>
      <c r="C5" s="1619"/>
      <c r="D5" s="868" t="str">
        <f>ID!F5</f>
        <v xml:space="preserve"> Garuda 12</v>
      </c>
      <c r="F5" s="277"/>
      <c r="G5" s="869"/>
      <c r="H5" s="869"/>
      <c r="I5" s="869"/>
      <c r="J5" s="869"/>
      <c r="K5" s="277"/>
      <c r="L5" s="277"/>
      <c r="M5" s="277"/>
      <c r="N5" s="37"/>
      <c r="O5" s="37"/>
      <c r="P5" s="37"/>
    </row>
    <row r="6" spans="1:16" ht="14">
      <c r="A6" s="1619" t="str">
        <f>ID!A6</f>
        <v>No. Seri</v>
      </c>
      <c r="B6" s="1619"/>
      <c r="C6" s="1619"/>
      <c r="D6" s="868" t="str">
        <f>ID!F6</f>
        <v xml:space="preserve"> G122008063</v>
      </c>
      <c r="F6" s="277"/>
      <c r="G6" s="869"/>
      <c r="H6" s="869"/>
      <c r="I6" s="869"/>
      <c r="J6" s="869"/>
      <c r="K6" s="277"/>
      <c r="L6" s="277"/>
      <c r="M6" s="277"/>
      <c r="N6" s="37"/>
      <c r="O6" s="37"/>
      <c r="P6" s="37"/>
    </row>
    <row r="7" spans="1:16" ht="14">
      <c r="A7" s="1619" t="str">
        <f>ID!A7</f>
        <v>Tanggal Penerimaan Alat</v>
      </c>
      <c r="B7" s="1619"/>
      <c r="C7" s="1619"/>
      <c r="D7" s="868" t="str">
        <f>ID!F7</f>
        <v xml:space="preserve"> 19 Januari 2020</v>
      </c>
      <c r="F7" s="277"/>
      <c r="G7" s="869"/>
      <c r="H7" s="869"/>
      <c r="I7" s="869"/>
      <c r="J7" s="869"/>
      <c r="K7" s="277"/>
      <c r="L7" s="277"/>
      <c r="M7" s="277"/>
      <c r="N7" s="37"/>
      <c r="O7" s="37"/>
      <c r="P7" s="37"/>
    </row>
    <row r="8" spans="1:16" ht="14">
      <c r="A8" s="1619" t="str">
        <f>ID!A8</f>
        <v>Tanggal Kalibrasi</v>
      </c>
      <c r="B8" s="1619"/>
      <c r="C8" s="1619"/>
      <c r="D8" s="868" t="str">
        <f>ID!F8</f>
        <v xml:space="preserve"> 20 Januari 2020</v>
      </c>
      <c r="F8" s="277"/>
      <c r="G8" s="869"/>
      <c r="H8" s="869"/>
      <c r="I8" s="869"/>
      <c r="J8" s="869"/>
      <c r="K8" s="277"/>
      <c r="L8" s="277"/>
      <c r="M8" s="277"/>
      <c r="N8" s="37"/>
      <c r="O8" s="37"/>
      <c r="P8" s="37"/>
    </row>
    <row r="9" spans="1:16" ht="14">
      <c r="A9" s="1619" t="str">
        <f>ID!A9</f>
        <v>Tempat Kalibrasi</v>
      </c>
      <c r="B9" s="1619"/>
      <c r="C9" s="1619"/>
      <c r="D9" s="868" t="str">
        <f>ID!F9</f>
        <v xml:space="preserve"> OK</v>
      </c>
      <c r="F9" s="277"/>
      <c r="G9" s="869"/>
      <c r="H9" s="869"/>
      <c r="I9" s="869"/>
      <c r="J9" s="869"/>
      <c r="K9" s="277"/>
      <c r="L9" s="122"/>
      <c r="M9" s="277"/>
      <c r="N9" s="37"/>
      <c r="O9" s="37"/>
      <c r="P9" s="37"/>
    </row>
    <row r="10" spans="1:16" ht="14">
      <c r="A10" s="1619" t="str">
        <f>ID!A10</f>
        <v>Nama Ruang</v>
      </c>
      <c r="B10" s="1619"/>
      <c r="C10" s="1619"/>
      <c r="D10" s="868" t="str">
        <f>ID!F10</f>
        <v xml:space="preserve"> OK</v>
      </c>
      <c r="F10" s="277"/>
      <c r="G10" s="869"/>
      <c r="H10" s="869"/>
      <c r="I10" s="869"/>
      <c r="J10" s="869"/>
      <c r="K10" s="277"/>
      <c r="L10" s="122"/>
      <c r="M10" s="277"/>
      <c r="N10" s="37"/>
      <c r="O10" s="37"/>
      <c r="P10" s="37"/>
    </row>
    <row r="11" spans="1:16" ht="14">
      <c r="A11" s="1619" t="str">
        <f>ID!A11</f>
        <v>Metode Kerja</v>
      </c>
      <c r="B11" s="1619"/>
      <c r="C11" s="1619"/>
      <c r="D11" s="868" t="str">
        <f>ID!F11</f>
        <v xml:space="preserve"> MK.012-18</v>
      </c>
      <c r="F11" s="277"/>
      <c r="G11" s="869"/>
      <c r="H11" s="869"/>
      <c r="I11" s="869"/>
      <c r="J11" s="869"/>
      <c r="K11" s="277"/>
      <c r="L11" s="277"/>
      <c r="M11" s="277"/>
      <c r="N11" s="37"/>
    </row>
    <row r="12" spans="1:16" ht="14">
      <c r="A12" s="80"/>
      <c r="B12" s="869"/>
      <c r="C12" s="76"/>
      <c r="D12" s="869"/>
      <c r="E12" s="277"/>
      <c r="F12" s="869"/>
      <c r="G12" s="869"/>
      <c r="H12" s="869"/>
      <c r="I12" s="869"/>
      <c r="J12" s="869"/>
      <c r="K12" s="277"/>
      <c r="L12" s="277"/>
      <c r="M12" s="277"/>
      <c r="N12" s="37"/>
    </row>
    <row r="13" spans="1:16" ht="14">
      <c r="A13" s="81" t="s">
        <v>8</v>
      </c>
      <c r="B13" s="870" t="s">
        <v>9</v>
      </c>
      <c r="C13" s="76"/>
      <c r="D13" s="870"/>
      <c r="E13" s="277"/>
      <c r="F13" s="870"/>
      <c r="G13" s="870"/>
      <c r="H13" s="869"/>
      <c r="I13" s="277"/>
      <c r="J13" s="277"/>
      <c r="K13" s="277"/>
      <c r="L13" s="277"/>
      <c r="M13" s="277"/>
      <c r="N13" s="37"/>
    </row>
    <row r="14" spans="1:16" ht="14">
      <c r="A14" s="80"/>
      <c r="B14" s="1612" t="s">
        <v>19</v>
      </c>
      <c r="C14" s="1612"/>
      <c r="D14" s="122" t="str">
        <f xml:space="preserve"> 'DB Thermohygro'!Q381</f>
        <v>( 26.9 ± 0.5 ) °C</v>
      </c>
      <c r="E14" s="73"/>
      <c r="F14" s="277"/>
      <c r="G14" s="189"/>
      <c r="H14" s="277"/>
      <c r="I14" s="277"/>
      <c r="J14" s="277"/>
      <c r="K14" s="277"/>
      <c r="L14" s="277"/>
      <c r="M14" s="277"/>
      <c r="N14" s="37"/>
    </row>
    <row r="15" spans="1:16" ht="14">
      <c r="A15" s="80"/>
      <c r="B15" s="1612" t="s">
        <v>125</v>
      </c>
      <c r="C15" s="1612"/>
      <c r="D15" s="122" t="str">
        <f xml:space="preserve"> 'DB Thermohygro'!Q382</f>
        <v>( 66.2 ± 3.1 ) %RH</v>
      </c>
      <c r="F15" s="277"/>
      <c r="G15" s="871"/>
      <c r="H15" s="277"/>
      <c r="I15" s="277"/>
      <c r="J15" s="277"/>
      <c r="K15" s="277"/>
      <c r="L15" s="277"/>
      <c r="M15" s="277"/>
      <c r="N15" s="37"/>
      <c r="P15" s="286"/>
    </row>
    <row r="16" spans="1:16" ht="14">
      <c r="A16" s="80"/>
      <c r="B16" s="1612" t="s">
        <v>82</v>
      </c>
      <c r="C16" s="1612"/>
      <c r="D16" s="872" t="str">
        <f>IF(ID!F16="-","-",ESA!N144)</f>
        <v>( 209.7 ± 2.5 ) Volt</v>
      </c>
      <c r="F16" s="277"/>
      <c r="G16" s="871"/>
      <c r="H16" s="122"/>
      <c r="I16" s="277"/>
      <c r="J16" s="277"/>
      <c r="K16" s="277"/>
      <c r="L16" s="277"/>
      <c r="M16" s="277"/>
      <c r="N16" s="37"/>
    </row>
    <row r="17" spans="1:39" ht="15" customHeight="1">
      <c r="A17" s="80"/>
      <c r="B17" s="869"/>
      <c r="C17" s="76"/>
      <c r="D17" s="869"/>
      <c r="E17" s="277"/>
      <c r="F17" s="869"/>
      <c r="G17" s="869"/>
      <c r="H17" s="869"/>
      <c r="I17" s="277"/>
      <c r="J17" s="277"/>
      <c r="K17" s="277"/>
      <c r="L17" s="277"/>
      <c r="M17" s="277"/>
      <c r="N17" s="37"/>
    </row>
    <row r="18" spans="1:39" ht="14">
      <c r="A18" s="81" t="s">
        <v>10</v>
      </c>
      <c r="B18" s="870" t="s">
        <v>96</v>
      </c>
      <c r="C18" s="76"/>
      <c r="D18" s="870"/>
      <c r="E18" s="277"/>
      <c r="F18" s="870"/>
      <c r="G18" s="870"/>
      <c r="H18" s="870"/>
      <c r="I18" s="249"/>
      <c r="J18" s="277"/>
      <c r="K18" s="277"/>
      <c r="L18" s="277"/>
      <c r="M18" s="277"/>
      <c r="N18" s="37"/>
      <c r="Q18" s="4" t="s">
        <v>81</v>
      </c>
    </row>
    <row r="19" spans="1:39" ht="14">
      <c r="A19" s="80"/>
      <c r="B19" s="1613" t="s">
        <v>11</v>
      </c>
      <c r="C19" s="1613"/>
      <c r="D19" s="869" t="str">
        <f>ID!F19</f>
        <v xml:space="preserve"> Baik</v>
      </c>
      <c r="F19" s="277"/>
      <c r="G19" s="869"/>
      <c r="H19" s="869"/>
      <c r="I19" s="277"/>
      <c r="J19" s="277"/>
      <c r="K19" s="277"/>
      <c r="L19" s="277"/>
      <c r="M19" s="277"/>
      <c r="N19" s="1610">
        <f>SUM(O19:O20)</f>
        <v>10</v>
      </c>
      <c r="O19" s="919">
        <v>5</v>
      </c>
      <c r="Z19" s="945"/>
      <c r="AB19" s="264"/>
    </row>
    <row r="20" spans="1:39" ht="14">
      <c r="A20" s="80"/>
      <c r="B20" s="1613" t="s">
        <v>1</v>
      </c>
      <c r="C20" s="1613"/>
      <c r="D20" s="869" t="str">
        <f>ID!F20</f>
        <v xml:space="preserve"> Baik</v>
      </c>
      <c r="F20" s="277"/>
      <c r="G20" s="869"/>
      <c r="H20" s="869"/>
      <c r="I20" s="277"/>
      <c r="J20" s="277"/>
      <c r="K20" s="277"/>
      <c r="L20" s="277"/>
      <c r="M20" s="277"/>
      <c r="N20" s="1611"/>
      <c r="O20" s="919">
        <v>5</v>
      </c>
      <c r="Q20" s="920"/>
      <c r="R20" s="310"/>
      <c r="S20" s="1592" t="str">
        <f>IF(I27="-",V28,ID!R26)</f>
        <v>G</v>
      </c>
      <c r="T20" s="1592"/>
      <c r="U20" s="1593" t="s">
        <v>72</v>
      </c>
      <c r="V20" s="1593" t="s">
        <v>525</v>
      </c>
      <c r="W20" s="1593" t="s">
        <v>65</v>
      </c>
      <c r="X20" s="880"/>
      <c r="Y20" s="1594" t="str">
        <f>IF(D16="-",Y23,IF(I25="-",Y24,IF(OR(I27="-",S20=V28),Y21,IF(OR(V22&gt;W22,C27=Y29),"",IF(I27&gt;K27,Y22,"")))))</f>
        <v>Alat tidak boleh digunakan pada instalasi tanpa dilengkapi grounding</v>
      </c>
      <c r="Z20" s="1594"/>
      <c r="AA20" s="1594"/>
      <c r="AB20" s="1594"/>
      <c r="AC20" s="1594"/>
      <c r="AD20" s="1594"/>
      <c r="AE20" s="1594"/>
      <c r="AF20" s="1594"/>
      <c r="AG20" s="1594"/>
      <c r="AH20" s="310"/>
    </row>
    <row r="21" spans="1:39" ht="15" customHeight="1">
      <c r="A21" s="81"/>
      <c r="B21" s="870"/>
      <c r="C21" s="76"/>
      <c r="D21" s="869"/>
      <c r="E21" s="869"/>
      <c r="F21" s="869"/>
      <c r="G21" s="869"/>
      <c r="H21" s="869"/>
      <c r="I21" s="277"/>
      <c r="J21" s="277"/>
      <c r="K21" s="277"/>
      <c r="L21" s="277"/>
      <c r="M21" s="277"/>
      <c r="N21" s="37"/>
      <c r="O21" s="960">
        <f>SUM(O19:O20)</f>
        <v>10</v>
      </c>
      <c r="Q21" s="920"/>
      <c r="R21" s="310"/>
      <c r="S21" s="1592"/>
      <c r="T21" s="1592"/>
      <c r="U21" s="1593"/>
      <c r="V21" s="1593"/>
      <c r="W21" s="1593"/>
      <c r="X21" s="880"/>
      <c r="Y21" s="1595" t="s">
        <v>526</v>
      </c>
      <c r="Z21" s="1595"/>
      <c r="AA21" s="1595"/>
      <c r="AB21" s="1595"/>
      <c r="AC21" s="1595"/>
      <c r="AD21" s="1595"/>
      <c r="AE21" s="1595"/>
      <c r="AF21" s="1595"/>
      <c r="AG21" s="1595"/>
      <c r="AH21" s="310"/>
    </row>
    <row r="22" spans="1:39" ht="14">
      <c r="A22" s="81" t="s">
        <v>2</v>
      </c>
      <c r="B22" s="870" t="s">
        <v>97</v>
      </c>
      <c r="C22" s="76"/>
      <c r="D22" s="869"/>
      <c r="E22" s="869"/>
      <c r="F22" s="869"/>
      <c r="G22" s="869"/>
      <c r="H22" s="869"/>
      <c r="I22" s="277"/>
      <c r="J22" s="277"/>
      <c r="K22" s="277"/>
      <c r="L22" s="277"/>
      <c r="M22" s="277"/>
      <c r="N22" s="37"/>
      <c r="Q22" s="920"/>
      <c r="R22" s="310"/>
      <c r="S22" s="463" t="s">
        <v>527</v>
      </c>
      <c r="T22" s="954" t="s">
        <v>528</v>
      </c>
      <c r="U22" s="955">
        <f>ID!T28</f>
        <v>67</v>
      </c>
      <c r="V22" s="956">
        <f>ESA!P142</f>
        <v>70.912773193564107</v>
      </c>
      <c r="W22" s="957">
        <v>100</v>
      </c>
      <c r="X22" s="880"/>
      <c r="Y22" s="1595" t="s">
        <v>529</v>
      </c>
      <c r="Z22" s="1595"/>
      <c r="AA22" s="1595"/>
      <c r="AB22" s="1595"/>
      <c r="AC22" s="1595"/>
      <c r="AD22" s="1595"/>
      <c r="AE22" s="1595"/>
      <c r="AF22" s="1595"/>
      <c r="AG22" s="1595"/>
      <c r="AH22" s="310"/>
    </row>
    <row r="23" spans="1:39" s="295" customFormat="1" ht="23.25" customHeight="1">
      <c r="B23" s="1638" t="s">
        <v>12</v>
      </c>
      <c r="C23" s="1620" t="s">
        <v>3</v>
      </c>
      <c r="D23" s="1621"/>
      <c r="E23" s="1621"/>
      <c r="F23" s="1621"/>
      <c r="G23" s="1621"/>
      <c r="H23" s="1621"/>
      <c r="I23" s="1634" t="s">
        <v>68</v>
      </c>
      <c r="J23" s="1635"/>
      <c r="K23" s="1634" t="s">
        <v>13</v>
      </c>
      <c r="L23" s="1635"/>
      <c r="N23" s="873"/>
      <c r="P23" s="923"/>
      <c r="Q23" s="924"/>
      <c r="R23" s="925"/>
      <c r="S23" s="946"/>
      <c r="T23" s="946"/>
      <c r="U23" s="946"/>
      <c r="V23" s="946"/>
      <c r="W23" s="946"/>
      <c r="X23" s="880"/>
      <c r="Y23" s="964" t="s">
        <v>420</v>
      </c>
      <c r="Z23" s="965"/>
      <c r="AA23" s="965"/>
      <c r="AB23" s="965"/>
      <c r="AC23" s="965"/>
      <c r="AD23" s="965"/>
      <c r="AE23" s="965"/>
      <c r="AF23" s="965"/>
      <c r="AG23" s="966"/>
      <c r="AH23" s="925"/>
    </row>
    <row r="24" spans="1:39" s="295" customFormat="1" ht="23.25" customHeight="1">
      <c r="B24" s="1639"/>
      <c r="C24" s="1622"/>
      <c r="D24" s="1623"/>
      <c r="E24" s="1623"/>
      <c r="F24" s="1623"/>
      <c r="G24" s="1623"/>
      <c r="H24" s="1623"/>
      <c r="I24" s="1636"/>
      <c r="J24" s="1637"/>
      <c r="K24" s="1636"/>
      <c r="L24" s="1637"/>
      <c r="N24" s="873"/>
      <c r="P24" s="923"/>
      <c r="Q24" s="924"/>
      <c r="R24" s="925"/>
      <c r="S24" s="946"/>
      <c r="T24" s="946"/>
      <c r="U24" s="946"/>
      <c r="V24" s="946"/>
      <c r="W24" s="946"/>
      <c r="X24" s="880"/>
      <c r="Y24" s="964" t="s">
        <v>590</v>
      </c>
      <c r="Z24" s="965"/>
      <c r="AA24" s="965"/>
      <c r="AB24" s="965"/>
      <c r="AC24" s="965"/>
      <c r="AD24" s="965"/>
      <c r="AE24" s="965"/>
      <c r="AF24" s="965"/>
      <c r="AG24" s="966"/>
      <c r="AH24" s="925"/>
    </row>
    <row r="25" spans="1:39" ht="15" customHeight="1">
      <c r="B25" s="98">
        <v>1</v>
      </c>
      <c r="C25" s="1640" t="str">
        <f>ID!C25</f>
        <v>Resistansi Isolasi</v>
      </c>
      <c r="D25" s="1641"/>
      <c r="E25" s="1641"/>
      <c r="F25" s="1641"/>
      <c r="G25" s="1641"/>
      <c r="H25" s="1641"/>
      <c r="I25" s="874">
        <f>ESA!P138</f>
        <v>12.000000999999999</v>
      </c>
      <c r="J25" s="875" t="str">
        <f>IF(I25="-","",IF(I25="OL","","MΩ"))</f>
        <v>MΩ</v>
      </c>
      <c r="K25" s="1175">
        <f>ID!L25</f>
        <v>2</v>
      </c>
      <c r="L25" s="876" t="s">
        <v>83</v>
      </c>
      <c r="M25" s="900" t="str">
        <f>IF(Z25=10,$Z$31,$Z$32)</f>
        <v>û</v>
      </c>
      <c r="N25" s="1601">
        <f>IF(AND(O27=0,O28=0,O26=0),O29+10,O29)</f>
        <v>30</v>
      </c>
      <c r="O25" s="940">
        <f>IF(OR(I25="-",I25="OL",I25&gt;K25),10,0)</f>
        <v>10</v>
      </c>
      <c r="Q25" s="926"/>
      <c r="R25" s="310"/>
      <c r="S25" s="946"/>
      <c r="T25" s="946"/>
      <c r="U25" s="946"/>
      <c r="V25" s="946"/>
      <c r="W25" s="946"/>
      <c r="X25" s="880"/>
      <c r="Y25" s="1596" t="s">
        <v>407</v>
      </c>
      <c r="Z25" s="1597"/>
      <c r="AA25" s="1597"/>
      <c r="AB25" s="1597"/>
      <c r="AC25" s="1597"/>
      <c r="AD25" s="1597"/>
      <c r="AE25" s="1598"/>
      <c r="AF25" s="946"/>
      <c r="AG25" s="946"/>
      <c r="AH25" s="310"/>
    </row>
    <row r="26" spans="1:39" ht="15.75" customHeight="1">
      <c r="B26" s="98">
        <v>2</v>
      </c>
      <c r="C26" s="1640" t="str">
        <f>ID!C26</f>
        <v>Resistansi Pembumian Protektif (kabel tidak dapat dilepas)</v>
      </c>
      <c r="D26" s="1641"/>
      <c r="E26" s="1641"/>
      <c r="F26" s="1641"/>
      <c r="G26" s="1641"/>
      <c r="H26" s="1641"/>
      <c r="I26" s="877">
        <f>ESA!P139</f>
        <v>0.21987345659365568</v>
      </c>
      <c r="J26" s="875" t="str">
        <f>IF(I26="-","",IF(I26="OL","","Ω"))</f>
        <v>Ω</v>
      </c>
      <c r="K26" s="943">
        <f>ID!L26</f>
        <v>0.3</v>
      </c>
      <c r="L26" s="876" t="s">
        <v>84</v>
      </c>
      <c r="M26" s="900" t="str">
        <f>IF(Z26=10,$Z$31,$Z$32)</f>
        <v>û</v>
      </c>
      <c r="N26" s="1602"/>
      <c r="O26" s="940">
        <f>IF(I26&gt;=K26,0,IF(OR(I26="-",I26="OL",I26="NC",I26="OR",I26&lt;=K26,C27=Y29),10))</f>
        <v>10</v>
      </c>
      <c r="Q26" s="926"/>
      <c r="R26" s="310"/>
      <c r="S26" s="1593" t="s">
        <v>530</v>
      </c>
      <c r="T26" s="1599" t="s">
        <v>65</v>
      </c>
      <c r="U26" s="946"/>
      <c r="V26" s="463" t="s">
        <v>531</v>
      </c>
      <c r="W26" s="946"/>
      <c r="X26" s="880"/>
      <c r="Y26" s="947" t="s">
        <v>263</v>
      </c>
      <c r="Z26" s="458"/>
      <c r="AA26" s="458"/>
      <c r="AB26" s="458"/>
      <c r="AC26" s="458"/>
      <c r="AD26" s="459"/>
      <c r="AE26" s="463">
        <v>0.2</v>
      </c>
      <c r="AF26" s="946"/>
      <c r="AG26" s="948"/>
      <c r="AH26" s="310"/>
    </row>
    <row r="27" spans="1:39" ht="15.75" customHeight="1">
      <c r="B27" s="98">
        <v>3</v>
      </c>
      <c r="C27" s="1640" t="str">
        <f>ID!C27</f>
        <v>Arus bocor peralatan untuk peralatan elektromedik kelas I</v>
      </c>
      <c r="D27" s="1641"/>
      <c r="E27" s="1641"/>
      <c r="F27" s="1641"/>
      <c r="G27" s="1641"/>
      <c r="H27" s="1641"/>
      <c r="I27" s="874">
        <f>ESA!P140</f>
        <v>641.52374503132239</v>
      </c>
      <c r="J27" s="875" t="str">
        <f>IF(I27="-","",IF(I27="OL","","µA"))</f>
        <v>µA</v>
      </c>
      <c r="K27" s="942">
        <f>ID!L27</f>
        <v>500</v>
      </c>
      <c r="L27" s="876" t="s">
        <v>72</v>
      </c>
      <c r="M27" s="900" t="str">
        <f>IF(Z27=10,$Z$31,$Z$32)</f>
        <v>û</v>
      </c>
      <c r="N27" s="1602"/>
      <c r="O27" s="940">
        <f>IF(I27="",0,IF(I27="-",0,IF(S28&gt;=T28,"OVER",IF(I27&gt;=K27,0,IF(I27&lt;=K27,10)))))</f>
        <v>0</v>
      </c>
      <c r="Q27" s="310"/>
      <c r="R27" s="310"/>
      <c r="S27" s="1593"/>
      <c r="T27" s="1600"/>
      <c r="U27" s="946"/>
      <c r="V27" s="463" t="s">
        <v>244</v>
      </c>
      <c r="W27" s="946"/>
      <c r="X27" s="880"/>
      <c r="Y27" s="949" t="s">
        <v>264</v>
      </c>
      <c r="Z27" s="950"/>
      <c r="AA27" s="950"/>
      <c r="AB27" s="950"/>
      <c r="AC27" s="950"/>
      <c r="AD27" s="951"/>
      <c r="AE27" s="463">
        <v>0.3</v>
      </c>
      <c r="AF27" s="946"/>
      <c r="AG27" s="948"/>
      <c r="AH27" s="310"/>
      <c r="AJ27" s="50"/>
    </row>
    <row r="28" spans="1:39" ht="15.75" customHeight="1">
      <c r="B28" s="98">
        <v>4</v>
      </c>
      <c r="C28" s="1640" t="str">
        <f>ID!C28</f>
        <v>Arus bocor peralatan yang diaplikasikan</v>
      </c>
      <c r="D28" s="1641"/>
      <c r="E28" s="1641"/>
      <c r="F28" s="1641"/>
      <c r="G28" s="1641"/>
      <c r="H28" s="1641"/>
      <c r="I28" s="874">
        <f>ESA!P141</f>
        <v>39.685307073089774</v>
      </c>
      <c r="J28" s="875" t="str">
        <f>IF(I28="-","",IF(I28="OL","","µA"))</f>
        <v>µA</v>
      </c>
      <c r="K28" s="942">
        <f>ID!L28</f>
        <v>50</v>
      </c>
      <c r="L28" s="876" t="s">
        <v>72</v>
      </c>
      <c r="M28" s="900" t="str">
        <f>IF(Z28=10,$Z$31,$Z$32)</f>
        <v>û</v>
      </c>
      <c r="N28" s="1603"/>
      <c r="O28" s="940">
        <f>IF(I28="-",0,IF(I28&lt;=K28,10,IF(I28&gt;=K28,"OVER")))</f>
        <v>10</v>
      </c>
      <c r="Q28" s="926"/>
      <c r="R28" s="310"/>
      <c r="S28" s="956">
        <f>IF(OR(U22="",C27=Y29,S20=V28),I27,IF(I27&gt;K27,V22,I27))</f>
        <v>70.912773193564107</v>
      </c>
      <c r="T28" s="958">
        <f>IF(OR(U22="",C27=Y29,S20=V28),K27,IF(I27&gt;K27,W22,K27))</f>
        <v>100</v>
      </c>
      <c r="U28" s="946"/>
      <c r="V28" s="463" t="s">
        <v>284</v>
      </c>
      <c r="W28" s="946"/>
      <c r="X28" s="880"/>
      <c r="Y28" s="952" t="s">
        <v>127</v>
      </c>
      <c r="Z28" s="953"/>
      <c r="AA28" s="953"/>
      <c r="AB28" s="953"/>
      <c r="AC28" s="953"/>
      <c r="AD28" s="951"/>
      <c r="AE28" s="463">
        <v>500</v>
      </c>
      <c r="AF28" s="948"/>
      <c r="AG28" s="948"/>
      <c r="AH28" s="310"/>
      <c r="AJ28" s="49"/>
    </row>
    <row r="29" spans="1:39" ht="24.75" customHeight="1">
      <c r="A29" s="82" t="s">
        <v>79</v>
      </c>
      <c r="B29" s="82" t="str">
        <f>ID!B30</f>
        <v xml:space="preserve">Pengujian Kinerja </v>
      </c>
      <c r="C29" s="76"/>
      <c r="D29" s="277"/>
      <c r="E29" s="277"/>
      <c r="F29" s="277"/>
      <c r="G29" s="277"/>
      <c r="H29" s="277"/>
      <c r="I29" s="878"/>
      <c r="J29" s="879"/>
      <c r="K29" s="277"/>
      <c r="L29" s="277"/>
      <c r="M29" s="277"/>
      <c r="N29" s="37"/>
      <c r="O29" s="941">
        <f>IF(O27="OVER",0,IF(O28="OVER",0,SUM(O25:O28)))</f>
        <v>30</v>
      </c>
      <c r="Q29" s="920"/>
      <c r="R29" s="310"/>
      <c r="S29" s="946"/>
      <c r="T29" s="946"/>
      <c r="U29" s="946"/>
      <c r="V29" s="946"/>
      <c r="W29" s="946"/>
      <c r="X29" s="880"/>
      <c r="Y29" s="952" t="s">
        <v>128</v>
      </c>
      <c r="Z29" s="953"/>
      <c r="AA29" s="953"/>
      <c r="AB29" s="953"/>
      <c r="AC29" s="953"/>
      <c r="AD29" s="951"/>
      <c r="AE29" s="463">
        <v>100</v>
      </c>
      <c r="AF29" s="948"/>
      <c r="AG29" s="948"/>
      <c r="AH29" s="310"/>
    </row>
    <row r="30" spans="1:39" ht="14">
      <c r="A30" s="82"/>
      <c r="B30" s="279" t="str">
        <f>ID!B31</f>
        <v>a. Kalibrasi Heart Rate</v>
      </c>
      <c r="C30" s="76"/>
      <c r="D30" s="880"/>
      <c r="E30" s="279"/>
      <c r="F30" s="880"/>
      <c r="G30" s="880"/>
      <c r="H30" s="880"/>
      <c r="I30" s="880"/>
      <c r="J30" s="880"/>
      <c r="K30" s="880"/>
      <c r="L30" s="880"/>
      <c r="M30" s="880"/>
      <c r="P30" s="927"/>
      <c r="Q30" s="310"/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  <c r="AF30" s="310"/>
      <c r="AG30" s="310"/>
      <c r="AH30" s="310"/>
    </row>
    <row r="31" spans="1:39" s="295" customFormat="1" ht="15" customHeight="1">
      <c r="B31" s="1533" t="s">
        <v>12</v>
      </c>
      <c r="C31" s="1533" t="s">
        <v>3</v>
      </c>
      <c r="D31" s="1536" t="s">
        <v>134</v>
      </c>
      <c r="E31" s="1615" t="s">
        <v>166</v>
      </c>
      <c r="F31" s="1615" t="s">
        <v>25</v>
      </c>
      <c r="G31" s="1615" t="s">
        <v>65</v>
      </c>
      <c r="H31" s="1615" t="s">
        <v>20</v>
      </c>
      <c r="I31" s="1615"/>
      <c r="J31" s="853"/>
      <c r="L31" s="1614" t="s">
        <v>265</v>
      </c>
      <c r="M31" s="1614"/>
      <c r="Z31" s="126" t="s">
        <v>106</v>
      </c>
      <c r="AB31" s="298"/>
      <c r="AK31" s="296"/>
      <c r="AM31" s="300"/>
    </row>
    <row r="32" spans="1:39" s="295" customFormat="1" ht="15" customHeight="1">
      <c r="B32" s="1534"/>
      <c r="C32" s="1534"/>
      <c r="D32" s="1537"/>
      <c r="E32" s="1615"/>
      <c r="F32" s="1615"/>
      <c r="G32" s="1615"/>
      <c r="H32" s="1615"/>
      <c r="I32" s="1615"/>
      <c r="J32" s="853"/>
      <c r="L32" s="1614"/>
      <c r="M32" s="1614"/>
      <c r="Z32" s="299" t="s">
        <v>107</v>
      </c>
      <c r="AA32" s="301"/>
      <c r="AB32" s="298"/>
    </row>
    <row r="33" spans="2:44" s="295" customFormat="1" ht="5.25" customHeight="1">
      <c r="B33" s="1535"/>
      <c r="C33" s="1535"/>
      <c r="D33" s="1538"/>
      <c r="E33" s="1615"/>
      <c r="F33" s="1615"/>
      <c r="G33" s="1536"/>
      <c r="H33" s="1615"/>
      <c r="I33" s="1615"/>
      <c r="J33" s="853"/>
      <c r="L33" s="1614"/>
      <c r="M33" s="1614"/>
      <c r="AA33" s="301">
        <f>SUM(AB34:AB37)</f>
        <v>0</v>
      </c>
      <c r="AB33" s="298"/>
    </row>
    <row r="34" spans="2:44" ht="14.25" customHeight="1">
      <c r="B34" s="1499">
        <v>1</v>
      </c>
      <c r="C34" s="1478" t="str">
        <f>ID!C35</f>
        <v>Heart Rate (BPM)</v>
      </c>
      <c r="D34" s="269">
        <f>ID!D35</f>
        <v>30</v>
      </c>
      <c r="E34" s="630">
        <f>IFERROR(ID!L35,"-")</f>
        <v>28.666667824959351</v>
      </c>
      <c r="F34" s="881">
        <f>IF(E34="-","-",'DB ECG SIM'!U271)</f>
        <v>1.333332175040649</v>
      </c>
      <c r="G34" s="1631" t="str">
        <f>IF(D35="-","-","± 5 bpm")</f>
        <v>± 5 bpm</v>
      </c>
      <c r="H34" s="178" t="str">
        <f>IF(I34="-","","±")</f>
        <v>±</v>
      </c>
      <c r="I34" s="848">
        <f>IF(E34="-","-",'DB ECG SIM'!W271)</f>
        <v>1.1372622222264168</v>
      </c>
      <c r="J34" s="174"/>
      <c r="K34" s="76"/>
      <c r="L34" s="1618">
        <f>IF(E34="-","-",ABS(F34)+I34)</f>
        <v>2.4705943972670656</v>
      </c>
      <c r="M34" s="1618"/>
      <c r="N34" s="1604">
        <f>IF(C34='kata-kata'!J20,Penyelia!AA35,Penyelia!AA36)</f>
        <v>40</v>
      </c>
      <c r="O34" s="935"/>
      <c r="P34" s="286"/>
      <c r="Z34" s="203" t="str">
        <f>IF(L34&lt;=5,"YES","NO")</f>
        <v>YES</v>
      </c>
      <c r="AA34" s="263">
        <f>(COUNTIF(Z34:Z37,"YES")/(COUNTA(Z34:Z37))*100)</f>
        <v>100</v>
      </c>
      <c r="AD34" s="76"/>
      <c r="AJ34" s="50"/>
    </row>
    <row r="35" spans="2:44" ht="14.25" customHeight="1">
      <c r="B35" s="1479"/>
      <c r="C35" s="1479"/>
      <c r="D35" s="269">
        <f>ID!D36</f>
        <v>60</v>
      </c>
      <c r="E35" s="630">
        <f>IFERROR(ID!L36,"-")</f>
        <v>59.833334383302848</v>
      </c>
      <c r="F35" s="881">
        <f>IF(E35="-","-",'DB ECG SIM'!U272)</f>
        <v>0.16666561669715207</v>
      </c>
      <c r="G35" s="1632"/>
      <c r="H35" s="178" t="str">
        <f>IF(I35="-","","±")</f>
        <v>±</v>
      </c>
      <c r="I35" s="848">
        <f>IF(E35="-","-",'DB ECG SIM'!W272)</f>
        <v>0.74308304247564883</v>
      </c>
      <c r="J35" s="174"/>
      <c r="K35" s="76"/>
      <c r="L35" s="1618">
        <f>IF(E35="-","-",ABS(F35)+I35)</f>
        <v>0.9097486591728009</v>
      </c>
      <c r="M35" s="1618"/>
      <c r="N35" s="1605"/>
      <c r="O35" s="931"/>
      <c r="Z35" s="203" t="str">
        <f>IF(L35&lt;=5,"YES","NO")</f>
        <v>YES</v>
      </c>
      <c r="AA35" s="590">
        <f>IF(AA34&gt;=70,40,0)</f>
        <v>40</v>
      </c>
      <c r="AB35" s="264"/>
      <c r="AD35" s="76"/>
    </row>
    <row r="36" spans="2:44" ht="14.25" customHeight="1">
      <c r="B36" s="1479"/>
      <c r="C36" s="1479"/>
      <c r="D36" s="269">
        <f>ID!D37</f>
        <v>120</v>
      </c>
      <c r="E36" s="630">
        <f>IFERROR(ID!L37,"-")</f>
        <v>119.83333417476625</v>
      </c>
      <c r="F36" s="881">
        <f>IF(E36="-","-",'DB ECG SIM'!U273)</f>
        <v>0.16666582523374984</v>
      </c>
      <c r="G36" s="1632"/>
      <c r="H36" s="178" t="str">
        <f>IF(I36="-","","±")</f>
        <v>±</v>
      </c>
      <c r="I36" s="848">
        <f>IF(E36="-","-",'DB ECG SIM'!W273)</f>
        <v>0.93104855799269004</v>
      </c>
      <c r="J36" s="174"/>
      <c r="K36" s="76"/>
      <c r="L36" s="1618">
        <f>IF(E36="-","-",ABS(F36)+I36)</f>
        <v>1.0977143832264398</v>
      </c>
      <c r="M36" s="1618"/>
      <c r="N36" s="1605"/>
      <c r="O36" s="931"/>
      <c r="Z36" s="203" t="str">
        <f>IF(L36&lt;=5,"YES","NO")</f>
        <v>YES</v>
      </c>
      <c r="AA36" s="590">
        <f>AA35+5</f>
        <v>45</v>
      </c>
      <c r="AB36" s="264"/>
      <c r="AD36" s="76"/>
    </row>
    <row r="37" spans="2:44" ht="14.25" customHeight="1">
      <c r="B37" s="1480"/>
      <c r="C37" s="1480"/>
      <c r="D37" s="269">
        <f>ID!D38</f>
        <v>180</v>
      </c>
      <c r="E37" s="630">
        <f>IFERROR(ID!L38,"-")</f>
        <v>181.66666729319104</v>
      </c>
      <c r="F37" s="881">
        <f>IF(E37="-","-",'DB ECG SIM'!U274)</f>
        <v>-1.6666672931910398</v>
      </c>
      <c r="G37" s="1633"/>
      <c r="H37" s="178" t="str">
        <f>IF(I37="-","","±")</f>
        <v>±</v>
      </c>
      <c r="I37" s="848">
        <f>IF(E37="-","-",'DB ECG SIM'!W274)</f>
        <v>2.1687165872233458</v>
      </c>
      <c r="J37" s="174"/>
      <c r="K37" s="76"/>
      <c r="L37" s="1618">
        <f>IF(E37="-","-",ABS(F37)+I37)</f>
        <v>3.8353838804143856</v>
      </c>
      <c r="M37" s="1618"/>
      <c r="N37" s="1606"/>
      <c r="O37" s="931"/>
      <c r="Z37" s="203" t="str">
        <f>IF(L37&lt;=5,"YES","NO")</f>
        <v>YES</v>
      </c>
      <c r="AA37" s="967"/>
      <c r="AB37" s="264"/>
      <c r="AD37" s="76"/>
    </row>
    <row r="38" spans="2:44" ht="14.25" customHeight="1">
      <c r="B38" s="204"/>
      <c r="C38" s="84"/>
      <c r="D38" s="278"/>
      <c r="E38" s="850"/>
      <c r="F38" s="850"/>
      <c r="G38" s="850"/>
      <c r="H38" s="850"/>
      <c r="I38" s="850"/>
      <c r="J38" s="174"/>
      <c r="K38" s="76"/>
      <c r="L38" s="1617"/>
      <c r="M38" s="1617"/>
      <c r="O38" s="931"/>
      <c r="AA38" s="74"/>
      <c r="AB38" s="264"/>
    </row>
    <row r="39" spans="2:44" ht="14.25" customHeight="1">
      <c r="B39" s="279" t="str">
        <f>ID!B40</f>
        <v>b. Kalibrasi Pulse Oximetri</v>
      </c>
      <c r="C39" s="76"/>
      <c r="D39" s="278"/>
      <c r="E39" s="850"/>
      <c r="F39" s="850"/>
      <c r="G39" s="850"/>
      <c r="H39" s="850"/>
      <c r="I39" s="850"/>
      <c r="J39" s="174"/>
      <c r="K39" s="76"/>
      <c r="L39" s="1617"/>
      <c r="M39" s="1617"/>
      <c r="O39" s="931"/>
      <c r="AA39" s="266"/>
      <c r="AB39" s="264"/>
    </row>
    <row r="40" spans="2:44" s="295" customFormat="1" ht="14.25" customHeight="1">
      <c r="B40" s="1533" t="s">
        <v>12</v>
      </c>
      <c r="C40" s="1533" t="s">
        <v>3</v>
      </c>
      <c r="D40" s="1536" t="s">
        <v>134</v>
      </c>
      <c r="E40" s="1615" t="s">
        <v>166</v>
      </c>
      <c r="F40" s="1615" t="s">
        <v>25</v>
      </c>
      <c r="G40" s="1615" t="s">
        <v>65</v>
      </c>
      <c r="H40" s="1615" t="s">
        <v>20</v>
      </c>
      <c r="I40" s="1615"/>
      <c r="J40" s="882"/>
      <c r="L40" s="1614" t="s">
        <v>206</v>
      </c>
      <c r="M40" s="1614"/>
      <c r="O40" s="932"/>
      <c r="AA40" s="297"/>
      <c r="AB40" s="298"/>
    </row>
    <row r="41" spans="2:44" s="295" customFormat="1" ht="14.25" customHeight="1">
      <c r="B41" s="1534"/>
      <c r="C41" s="1534"/>
      <c r="D41" s="1537"/>
      <c r="E41" s="1615"/>
      <c r="F41" s="1615"/>
      <c r="G41" s="1615"/>
      <c r="H41" s="1615"/>
      <c r="I41" s="1615"/>
      <c r="J41" s="882"/>
      <c r="L41" s="1614"/>
      <c r="M41" s="1614"/>
      <c r="O41" s="932"/>
      <c r="AA41" s="298"/>
      <c r="AB41" s="298"/>
      <c r="AN41" s="302"/>
      <c r="AQ41" s="302"/>
      <c r="AR41" s="303"/>
    </row>
    <row r="42" spans="2:44" s="295" customFormat="1" ht="4.5" customHeight="1">
      <c r="B42" s="1535"/>
      <c r="C42" s="1535"/>
      <c r="D42" s="1538"/>
      <c r="E42" s="1615"/>
      <c r="F42" s="1615"/>
      <c r="G42" s="1536"/>
      <c r="H42" s="1615"/>
      <c r="I42" s="1615"/>
      <c r="J42" s="882"/>
      <c r="L42" s="1614"/>
      <c r="M42" s="1614"/>
      <c r="O42" s="932"/>
      <c r="AB42" s="298"/>
      <c r="AI42" s="304"/>
      <c r="AN42" s="305"/>
    </row>
    <row r="43" spans="2:44" ht="14.25" customHeight="1">
      <c r="B43" s="1494">
        <v>1</v>
      </c>
      <c r="C43" s="1478" t="s">
        <v>364</v>
      </c>
      <c r="D43" s="851">
        <f>ID!D44</f>
        <v>90</v>
      </c>
      <c r="E43" s="883">
        <f>IFERROR('DB SPO2'!Q94,"-")</f>
        <v>90.000000999999997</v>
      </c>
      <c r="F43" s="881">
        <f>IF(E43="-","-",'DB SPO2'!R94)</f>
        <v>-9.9999999747524271E-7</v>
      </c>
      <c r="G43" s="1631" t="str">
        <f>IF(D44="-","-","± 1% O2")</f>
        <v>± 1% O2</v>
      </c>
      <c r="H43" s="178" t="str">
        <f>IF(I43="-","","±")</f>
        <v>±</v>
      </c>
      <c r="I43" s="848" t="str">
        <f>IFERROR(FIXED('DB SPO2'!S94, 1),"-")</f>
        <v>0.6</v>
      </c>
      <c r="J43" s="174"/>
      <c r="K43" s="174"/>
      <c r="L43" s="1628">
        <f>IF(E43="-","-",ABS(F43))</f>
        <v>9.9999999747524271E-7</v>
      </c>
      <c r="M43" s="1629"/>
      <c r="N43" s="1655">
        <f>IF(OR(AA43&gt;70,AA53&gt;70),5,0)</f>
        <v>5</v>
      </c>
      <c r="O43" s="931"/>
      <c r="Z43" s="203" t="str">
        <f>IF(L43&lt;=1,"YES","NO")</f>
        <v>YES</v>
      </c>
      <c r="AA43" s="590">
        <f>(COUNTIF(Z43:Z47,"YES")/(COUNTA(Z43:Z47))*100)</f>
        <v>100</v>
      </c>
      <c r="AB43" s="264"/>
      <c r="AD43" s="591"/>
    </row>
    <row r="44" spans="2:44" ht="15" customHeight="1">
      <c r="B44" s="1495"/>
      <c r="C44" s="1479"/>
      <c r="D44" s="851">
        <f>ID!D45</f>
        <v>95</v>
      </c>
      <c r="E44" s="883">
        <f>IFERROR('DB SPO2'!Q95,"-")</f>
        <v>95.000000999999997</v>
      </c>
      <c r="F44" s="881">
        <f>IF(E44="-","-",'DB SPO2'!R95)</f>
        <v>-9.9999999747524271E-7</v>
      </c>
      <c r="G44" s="1632"/>
      <c r="H44" s="178" t="str">
        <f>IF(I44="-","","±")</f>
        <v>±</v>
      </c>
      <c r="I44" s="848" t="str">
        <f>IFERROR(FIXED('DB SPO2'!S95,1),"-")</f>
        <v>0.6</v>
      </c>
      <c r="J44" s="174"/>
      <c r="K44" s="174"/>
      <c r="L44" s="1628">
        <f>IF(E44="-","-",ABS(F44))</f>
        <v>9.9999999747524271E-7</v>
      </c>
      <c r="M44" s="1629"/>
      <c r="N44" s="1655"/>
      <c r="O44" s="931"/>
      <c r="Z44" s="203" t="str">
        <f>IF(L44&lt;=1,"YES","NO")</f>
        <v>YES</v>
      </c>
      <c r="AA44" s="590"/>
      <c r="AB44" s="264"/>
      <c r="AD44" s="78"/>
    </row>
    <row r="45" spans="2:44" ht="15" customHeight="1">
      <c r="B45" s="1495"/>
      <c r="C45" s="1479"/>
      <c r="D45" s="851">
        <f>ID!D46</f>
        <v>98</v>
      </c>
      <c r="E45" s="883">
        <f>IFERROR('DB SPO2'!Q96,"-")</f>
        <v>98.000000999999997</v>
      </c>
      <c r="F45" s="881">
        <f>IF(E45="-","-",'DB SPO2'!R96)</f>
        <v>-9.9999999747524271E-7</v>
      </c>
      <c r="G45" s="1632"/>
      <c r="H45" s="178" t="str">
        <f>IF(I45="-","","±")</f>
        <v>±</v>
      </c>
      <c r="I45" s="848" t="str">
        <f>IFERROR(FIXED('DB SPO2'!S96,1),"-")</f>
        <v>0.6</v>
      </c>
      <c r="J45" s="174"/>
      <c r="K45" s="76"/>
      <c r="L45" s="1628">
        <f>IF(E45="-","-",ABS(F45))</f>
        <v>9.9999999747524271E-7</v>
      </c>
      <c r="M45" s="1629"/>
      <c r="N45" s="1655"/>
      <c r="O45" s="931"/>
      <c r="Z45" s="203" t="str">
        <f>IF(L45&lt;=1,"YES","NO")</f>
        <v>YES</v>
      </c>
      <c r="AA45" s="590"/>
      <c r="AB45" s="264"/>
      <c r="AD45" s="76"/>
    </row>
    <row r="46" spans="2:44" ht="12.75" customHeight="1">
      <c r="B46" s="1495"/>
      <c r="C46" s="1479"/>
      <c r="D46" s="851">
        <f>ID!D47</f>
        <v>99</v>
      </c>
      <c r="E46" s="883">
        <f>IFERROR('DB SPO2'!Q97,"-")</f>
        <v>99</v>
      </c>
      <c r="F46" s="881">
        <f>IF(E46="-","-",'DB SPO2'!R97)</f>
        <v>0</v>
      </c>
      <c r="G46" s="1632"/>
      <c r="H46" s="178" t="str">
        <f>IF(I46="-","","±")</f>
        <v>±</v>
      </c>
      <c r="I46" s="848" t="str">
        <f>IFERROR(FIXED('DB SPO2'!S97,1),"-")</f>
        <v>0.6</v>
      </c>
      <c r="J46" s="174"/>
      <c r="K46" s="76"/>
      <c r="L46" s="1628">
        <f>IF(E46="-","-",ABS(F46))</f>
        <v>0</v>
      </c>
      <c r="M46" s="1629"/>
      <c r="N46" s="1655"/>
      <c r="O46" s="931"/>
      <c r="Z46" s="203" t="str">
        <f>IF(L46&lt;=1,"YES","NO")</f>
        <v>YES</v>
      </c>
      <c r="AA46" s="590"/>
      <c r="AB46" s="264"/>
      <c r="AD46" s="76"/>
    </row>
    <row r="47" spans="2:44" ht="12.75" customHeight="1">
      <c r="B47" s="1496"/>
      <c r="C47" s="1480"/>
      <c r="D47" s="851">
        <f>ID!D48</f>
        <v>100</v>
      </c>
      <c r="E47" s="883">
        <f>IFERROR('DB SPO2'!Q98,"-")</f>
        <v>100.000001</v>
      </c>
      <c r="F47" s="881">
        <f>IF(E47="-","-",'DB SPO2'!R98)</f>
        <v>-9.9999999747524271E-7</v>
      </c>
      <c r="G47" s="1633"/>
      <c r="H47" s="178" t="str">
        <f>IF(I47="-","","±")</f>
        <v>±</v>
      </c>
      <c r="I47" s="848" t="str">
        <f>IFERROR(FIXED('DB SPO2'!S98,1),"-")</f>
        <v>0.6</v>
      </c>
      <c r="J47" s="174"/>
      <c r="K47" s="76"/>
      <c r="L47" s="1628">
        <f>IF(E47="-","-",ABS(F47))</f>
        <v>9.9999999747524271E-7</v>
      </c>
      <c r="M47" s="1629"/>
      <c r="N47" s="1655"/>
      <c r="O47" s="931"/>
      <c r="Z47" s="203" t="str">
        <f>IF(L47&lt;=1,"YES","NO")</f>
        <v>YES</v>
      </c>
      <c r="AA47" s="590"/>
      <c r="AB47" s="264"/>
      <c r="AD47" s="76"/>
      <c r="AI47" s="37"/>
    </row>
    <row r="48" spans="2:44" ht="14.25" customHeight="1">
      <c r="N48" s="1655"/>
      <c r="O48" s="931"/>
      <c r="Z48" s="74"/>
      <c r="AA48" s="590"/>
      <c r="AB48" s="264"/>
      <c r="AD48" s="76"/>
    </row>
    <row r="49" spans="2:45" s="3" customFormat="1" ht="15" customHeight="1">
      <c r="B49" s="279" t="str">
        <f>LK!B54</f>
        <v>c. Kalibrasi NIBP (Non Invasive Blood Pressure)</v>
      </c>
      <c r="C49" s="884"/>
      <c r="D49" s="880"/>
      <c r="E49" s="850"/>
      <c r="F49" s="850"/>
      <c r="G49" s="850"/>
      <c r="H49" s="850"/>
      <c r="I49" s="850"/>
      <c r="J49" s="869"/>
      <c r="K49" s="869"/>
      <c r="L49" s="1627"/>
      <c r="M49" s="1627"/>
      <c r="N49" s="1655"/>
      <c r="O49" s="933"/>
      <c r="Z49" s="4"/>
      <c r="AA49" s="266"/>
      <c r="AB49" s="268"/>
      <c r="AI49" s="238"/>
      <c r="AJ49" s="4"/>
      <c r="AK49" s="4"/>
      <c r="AL49" s="4"/>
      <c r="AM49" s="1662"/>
      <c r="AN49" s="1662"/>
      <c r="AO49" s="1662"/>
      <c r="AP49" s="4"/>
      <c r="AQ49" s="4"/>
      <c r="AR49" s="4"/>
      <c r="AS49" s="4"/>
    </row>
    <row r="50" spans="2:45" s="295" customFormat="1" ht="14.25" customHeight="1">
      <c r="B50" s="1533" t="s">
        <v>12</v>
      </c>
      <c r="C50" s="1536" t="s">
        <v>145</v>
      </c>
      <c r="D50" s="1536" t="s">
        <v>134</v>
      </c>
      <c r="E50" s="1615" t="s">
        <v>166</v>
      </c>
      <c r="F50" s="1615" t="s">
        <v>25</v>
      </c>
      <c r="G50" s="1615" t="s">
        <v>65</v>
      </c>
      <c r="H50" s="1615" t="s">
        <v>20</v>
      </c>
      <c r="I50" s="1615"/>
      <c r="J50" s="882"/>
      <c r="K50" s="853"/>
      <c r="L50" s="1614" t="s">
        <v>207</v>
      </c>
      <c r="M50" s="1625"/>
      <c r="N50" s="1655"/>
      <c r="O50" s="932"/>
      <c r="AA50" s="296"/>
      <c r="AB50" s="306"/>
      <c r="AI50" s="306"/>
      <c r="AM50" s="1662"/>
      <c r="AN50" s="1662"/>
      <c r="AO50" s="1662"/>
    </row>
    <row r="51" spans="2:45" s="295" customFormat="1" ht="15" customHeight="1">
      <c r="B51" s="1534"/>
      <c r="C51" s="1537"/>
      <c r="D51" s="1537"/>
      <c r="E51" s="1615"/>
      <c r="F51" s="1615"/>
      <c r="G51" s="1615"/>
      <c r="H51" s="1615"/>
      <c r="I51" s="1615"/>
      <c r="J51" s="882"/>
      <c r="K51" s="853"/>
      <c r="L51" s="1614"/>
      <c r="M51" s="1625"/>
      <c r="N51" s="1655"/>
      <c r="O51" s="932"/>
      <c r="Z51" s="296"/>
      <c r="AA51" s="298"/>
      <c r="AB51" s="306"/>
      <c r="AC51" s="307"/>
      <c r="AI51" s="306"/>
      <c r="AM51" s="1662"/>
      <c r="AN51" s="1662"/>
      <c r="AO51" s="1662"/>
    </row>
    <row r="52" spans="2:45" s="295" customFormat="1" ht="4.5" customHeight="1">
      <c r="B52" s="1534"/>
      <c r="C52" s="1537"/>
      <c r="D52" s="1537"/>
      <c r="E52" s="1615"/>
      <c r="F52" s="1536"/>
      <c r="G52" s="1536"/>
      <c r="H52" s="1536"/>
      <c r="I52" s="1536"/>
      <c r="J52" s="882"/>
      <c r="K52" s="853"/>
      <c r="L52" s="1614"/>
      <c r="M52" s="1625"/>
      <c r="N52" s="1655"/>
      <c r="O52" s="932"/>
      <c r="Z52" s="296"/>
      <c r="AB52" s="306"/>
      <c r="AI52" s="298"/>
      <c r="AM52" s="308"/>
      <c r="AN52" s="308"/>
      <c r="AO52" s="308"/>
    </row>
    <row r="53" spans="2:45" ht="14.25" customHeight="1">
      <c r="B53" s="1616">
        <v>1</v>
      </c>
      <c r="C53" s="885" t="s">
        <v>146</v>
      </c>
      <c r="D53" s="851">
        <f>ID!D54</f>
        <v>120</v>
      </c>
      <c r="E53" s="883">
        <f>IFERROR(ID!I54,"-")</f>
        <v>119.85257967705802</v>
      </c>
      <c r="F53" s="185">
        <f>IF(E53="-","-",'DB NIBP'!O85)</f>
        <v>0.14742032294198282</v>
      </c>
      <c r="G53" s="1664" t="str">
        <f>LH!G55</f>
        <v>± 5 mmHg</v>
      </c>
      <c r="H53" s="178" t="str">
        <f t="shared" ref="H53:H60" si="0">IF(I53="-","","±")</f>
        <v>±</v>
      </c>
      <c r="I53" s="848" t="str">
        <f>IFERROR(FIXED(Budget!J87,1),"-")</f>
        <v>1.6</v>
      </c>
      <c r="J53" s="174"/>
      <c r="K53" s="277"/>
      <c r="L53" s="1618">
        <f t="shared" ref="L53:L60" si="1">IF(E53="-","-",ABS(F53))</f>
        <v>0.14742032294198282</v>
      </c>
      <c r="M53" s="1626"/>
      <c r="N53" s="1655"/>
      <c r="O53" s="931"/>
      <c r="Z53" s="203" t="str">
        <f t="shared" ref="Z53:Z60" si="2">IF(L53&lt;=5,"YES","NO")</f>
        <v>YES</v>
      </c>
      <c r="AA53" s="590">
        <f>(COUNTIF(Z53:Z60,"YES")/(COUNTA(Z53:Z60))*100)</f>
        <v>100</v>
      </c>
      <c r="AB53" s="264"/>
      <c r="AD53" s="264"/>
      <c r="AF53" s="286"/>
      <c r="AG53" s="3"/>
      <c r="AI53" s="239"/>
      <c r="AM53" s="175"/>
      <c r="AN53" s="175"/>
      <c r="AO53" s="175"/>
    </row>
    <row r="54" spans="2:45" ht="14.25" customHeight="1">
      <c r="B54" s="1616"/>
      <c r="C54" s="885" t="s">
        <v>147</v>
      </c>
      <c r="D54" s="851">
        <f>ID!D55</f>
        <v>80</v>
      </c>
      <c r="E54" s="883">
        <f>IFERROR(ID!I55,"-")</f>
        <v>79.56209019455423</v>
      </c>
      <c r="F54" s="185">
        <f>IF(E54="-","-",'DB NIBP'!O86)</f>
        <v>0.43790980544576996</v>
      </c>
      <c r="G54" s="1664"/>
      <c r="H54" s="178" t="str">
        <f t="shared" si="0"/>
        <v>±</v>
      </c>
      <c r="I54" s="848" t="str">
        <f>IFERROR(FIXED(Budget!J99,1),"-")</f>
        <v>1.7</v>
      </c>
      <c r="J54" s="174"/>
      <c r="K54" s="277"/>
      <c r="L54" s="1618">
        <f t="shared" si="1"/>
        <v>0.43790980544576996</v>
      </c>
      <c r="M54" s="1626"/>
      <c r="N54" s="1655"/>
      <c r="O54" s="931"/>
      <c r="Z54" s="203" t="str">
        <f t="shared" si="2"/>
        <v>YES</v>
      </c>
      <c r="AA54" s="590"/>
      <c r="AB54" s="264"/>
      <c r="AD54" s="264"/>
      <c r="AI54" s="75"/>
      <c r="AM54" s="175"/>
      <c r="AN54" s="175"/>
      <c r="AO54" s="175"/>
    </row>
    <row r="55" spans="2:45" ht="14.25" customHeight="1">
      <c r="B55" s="1616">
        <v>2</v>
      </c>
      <c r="C55" s="885" t="s">
        <v>146</v>
      </c>
      <c r="D55" s="851">
        <f>ID!D56</f>
        <v>150</v>
      </c>
      <c r="E55" s="883">
        <f>IFERROR(ID!I56,"-")</f>
        <v>149.48773309807319</v>
      </c>
      <c r="F55" s="185">
        <f>IF(E55="-","-",'DB NIBP'!O87)</f>
        <v>0.51226690192680735</v>
      </c>
      <c r="G55" s="1664"/>
      <c r="H55" s="178" t="str">
        <f t="shared" si="0"/>
        <v>±</v>
      </c>
      <c r="I55" s="848" t="str">
        <f>IFERROR(FIXED(Budget!J111,1),"-")</f>
        <v>1.8</v>
      </c>
      <c r="J55" s="174"/>
      <c r="K55" s="277"/>
      <c r="L55" s="1618">
        <f t="shared" si="1"/>
        <v>0.51226690192680735</v>
      </c>
      <c r="M55" s="1626"/>
      <c r="N55" s="1655"/>
      <c r="O55" s="931"/>
      <c r="Z55" s="203" t="str">
        <f t="shared" si="2"/>
        <v>YES</v>
      </c>
      <c r="AA55" s="590"/>
      <c r="AB55" s="264"/>
      <c r="AD55" s="265"/>
      <c r="AI55" s="75"/>
    </row>
    <row r="56" spans="2:45" ht="14.25" customHeight="1">
      <c r="B56" s="1616"/>
      <c r="C56" s="885" t="s">
        <v>147</v>
      </c>
      <c r="D56" s="851">
        <f>ID!D57</f>
        <v>100</v>
      </c>
      <c r="E56" s="883">
        <f>IFERROR(ID!I57,"-")</f>
        <v>99.540845309845366</v>
      </c>
      <c r="F56" s="185">
        <f>IF(E56="-","-",'DB NIBP'!O88)</f>
        <v>0.45915469015463373</v>
      </c>
      <c r="G56" s="1664"/>
      <c r="H56" s="178" t="str">
        <f t="shared" si="0"/>
        <v>±</v>
      </c>
      <c r="I56" s="848" t="str">
        <f>IFERROR(FIXED(Budget!J123,1),"-")</f>
        <v>1.7</v>
      </c>
      <c r="J56" s="174"/>
      <c r="K56" s="277"/>
      <c r="L56" s="1618">
        <f t="shared" si="1"/>
        <v>0.45915469015463373</v>
      </c>
      <c r="M56" s="1626"/>
      <c r="N56" s="1655"/>
      <c r="O56" s="931"/>
      <c r="Z56" s="203" t="str">
        <f t="shared" si="2"/>
        <v>YES</v>
      </c>
      <c r="AA56" s="593"/>
      <c r="AB56" s="264"/>
      <c r="AD56" s="265"/>
      <c r="AI56" s="75"/>
      <c r="AM56" s="175"/>
      <c r="AN56" s="175"/>
      <c r="AO56" s="175"/>
    </row>
    <row r="57" spans="2:45" ht="14.25" customHeight="1">
      <c r="B57" s="1616">
        <v>3</v>
      </c>
      <c r="C57" s="885" t="s">
        <v>146</v>
      </c>
      <c r="D57" s="851">
        <f>ID!D58</f>
        <v>200</v>
      </c>
      <c r="E57" s="883">
        <f>IFERROR(ID!I58,"-")</f>
        <v>199.43462088630102</v>
      </c>
      <c r="F57" s="185">
        <f>IF(E57="-","-",'DB NIBP'!O89)</f>
        <v>0.56537911369898097</v>
      </c>
      <c r="G57" s="1664"/>
      <c r="H57" s="178" t="str">
        <f t="shared" si="0"/>
        <v>±</v>
      </c>
      <c r="I57" s="848" t="str">
        <f>IFERROR(FIXED(Budget!J135,1),"-")</f>
        <v>1.9</v>
      </c>
      <c r="J57" s="174"/>
      <c r="K57" s="277"/>
      <c r="L57" s="1618">
        <f t="shared" si="1"/>
        <v>0.56537911369898097</v>
      </c>
      <c r="M57" s="1626"/>
      <c r="N57" s="1655"/>
      <c r="O57" s="931"/>
      <c r="Z57" s="203" t="str">
        <f t="shared" si="2"/>
        <v>YES</v>
      </c>
      <c r="AA57" s="594"/>
      <c r="AB57" s="264"/>
      <c r="AD57" s="265"/>
      <c r="AI57" s="238"/>
      <c r="AM57" s="175"/>
      <c r="AN57" s="175"/>
      <c r="AO57" s="175"/>
      <c r="AP57" s="76"/>
    </row>
    <row r="58" spans="2:45" ht="14.25" customHeight="1">
      <c r="B58" s="1616"/>
      <c r="C58" s="885" t="s">
        <v>147</v>
      </c>
      <c r="D58" s="851">
        <f>ID!D59</f>
        <v>150</v>
      </c>
      <c r="E58" s="883">
        <f>IFERROR(ID!I59,"-")</f>
        <v>149.48773309807319</v>
      </c>
      <c r="F58" s="185">
        <f>IF(E58="-","-",'DB NIBP'!O90)</f>
        <v>0.51226690192680735</v>
      </c>
      <c r="G58" s="1664"/>
      <c r="H58" s="178" t="str">
        <f t="shared" si="0"/>
        <v>±</v>
      </c>
      <c r="I58" s="848" t="str">
        <f>IFERROR(FIXED(Budget!J147,1),"-")</f>
        <v>1.8</v>
      </c>
      <c r="J58" s="174"/>
      <c r="K58" s="277"/>
      <c r="L58" s="1618">
        <f t="shared" si="1"/>
        <v>0.51226690192680735</v>
      </c>
      <c r="M58" s="1626"/>
      <c r="N58" s="1655"/>
      <c r="O58" s="931"/>
      <c r="Z58" s="203" t="str">
        <f t="shared" si="2"/>
        <v>YES</v>
      </c>
      <c r="AA58" s="590"/>
      <c r="AB58" s="264"/>
      <c r="AI58" s="238"/>
      <c r="AM58" s="175"/>
      <c r="AN58" s="175"/>
      <c r="AO58" s="175"/>
      <c r="AP58" s="76"/>
    </row>
    <row r="59" spans="2:45" ht="14.25" customHeight="1">
      <c r="B59" s="1616">
        <v>4</v>
      </c>
      <c r="C59" s="885" t="s">
        <v>146</v>
      </c>
      <c r="D59" s="851">
        <f>ID!D60</f>
        <v>80</v>
      </c>
      <c r="E59" s="883">
        <f>IFERROR(ID!I60,"-")</f>
        <v>80.561027950318788</v>
      </c>
      <c r="F59" s="185">
        <f>IF(E59="-","-",'DB NIBP'!O91)</f>
        <v>-0.56102795031878827</v>
      </c>
      <c r="G59" s="1664"/>
      <c r="H59" s="178" t="str">
        <f t="shared" si="0"/>
        <v>±</v>
      </c>
      <c r="I59" s="848" t="str">
        <f>IFERROR(FIXED(Budget!V87,1),"-")</f>
        <v>2.9</v>
      </c>
      <c r="J59" s="174"/>
      <c r="K59" s="277"/>
      <c r="L59" s="1618">
        <f t="shared" si="1"/>
        <v>0.56102795031878827</v>
      </c>
      <c r="M59" s="1626"/>
      <c r="N59" s="1655"/>
      <c r="O59" s="931"/>
      <c r="Z59" s="203" t="str">
        <f t="shared" si="2"/>
        <v>YES</v>
      </c>
      <c r="AA59" s="590"/>
      <c r="AB59" s="264"/>
      <c r="AI59" s="238"/>
      <c r="AM59" s="175"/>
      <c r="AN59" s="175"/>
      <c r="AO59" s="175"/>
      <c r="AP59" s="76"/>
    </row>
    <row r="60" spans="2:45" ht="14.25" customHeight="1">
      <c r="B60" s="1616"/>
      <c r="C60" s="885" t="s">
        <v>147</v>
      </c>
      <c r="D60" s="851">
        <f>ID!D61</f>
        <v>50</v>
      </c>
      <c r="E60" s="883">
        <f>IFERROR(ID!I61,"-")</f>
        <v>52.590770788911193</v>
      </c>
      <c r="F60" s="185">
        <f>IF(E60="-","-",'DB NIBP'!O92)</f>
        <v>-2.5907707889111933</v>
      </c>
      <c r="G60" s="1664"/>
      <c r="H60" s="178" t="str">
        <f t="shared" si="0"/>
        <v>±</v>
      </c>
      <c r="I60" s="848" t="str">
        <f>IFERROR(FIXED(Budget!V99,1),"-")</f>
        <v>1.6</v>
      </c>
      <c r="J60" s="174"/>
      <c r="K60" s="277"/>
      <c r="L60" s="1618">
        <f t="shared" si="1"/>
        <v>2.5907707889111933</v>
      </c>
      <c r="M60" s="1626"/>
      <c r="N60" s="1655"/>
      <c r="O60" s="931"/>
      <c r="Z60" s="203" t="str">
        <f t="shared" si="2"/>
        <v>YES</v>
      </c>
      <c r="AA60" s="595"/>
      <c r="AB60" s="264"/>
      <c r="AI60" s="238"/>
      <c r="AM60" s="175"/>
      <c r="AN60" s="175"/>
      <c r="AO60" s="175"/>
      <c r="AP60" s="76"/>
    </row>
    <row r="61" spans="2:45" ht="14.25" customHeight="1">
      <c r="N61" s="886"/>
      <c r="O61" s="931"/>
      <c r="AA61" s="73"/>
      <c r="AB61" s="276"/>
      <c r="AI61" s="238"/>
      <c r="AM61" s="175"/>
      <c r="AN61" s="175"/>
      <c r="AO61" s="175"/>
      <c r="AP61" s="76"/>
    </row>
    <row r="62" spans="2:45" ht="14.25" customHeight="1">
      <c r="N62" s="886"/>
      <c r="O62" s="931"/>
      <c r="AB62" s="264"/>
      <c r="AI62" s="238"/>
      <c r="AM62" s="175"/>
      <c r="AN62" s="175"/>
      <c r="AO62" s="175"/>
    </row>
    <row r="63" spans="2:45">
      <c r="O63" s="931"/>
      <c r="S63" s="4"/>
      <c r="AB63" s="264"/>
      <c r="AD63" s="275"/>
      <c r="AF63" s="275"/>
    </row>
    <row r="64" spans="2:45">
      <c r="O64" s="931"/>
      <c r="S64" s="4"/>
      <c r="AB64" s="264"/>
    </row>
    <row r="65" spans="1:42">
      <c r="O65" s="931"/>
      <c r="S65" s="4"/>
      <c r="AB65" s="264"/>
    </row>
    <row r="66" spans="1:42" hidden="1">
      <c r="O66" s="931"/>
      <c r="S66" s="4"/>
      <c r="Z66" s="74"/>
      <c r="AA66" s="267"/>
      <c r="AB66" s="268"/>
    </row>
    <row r="67" spans="1:42" ht="14" hidden="1">
      <c r="B67" s="887"/>
      <c r="C67" s="888"/>
      <c r="D67" s="241"/>
      <c r="E67" s="86"/>
      <c r="F67" s="189"/>
      <c r="G67" s="190"/>
      <c r="H67" s="191"/>
      <c r="I67" s="122"/>
      <c r="J67" s="174"/>
      <c r="K67" s="277"/>
      <c r="L67" s="192"/>
      <c r="M67" s="192"/>
      <c r="N67" s="75"/>
      <c r="O67" s="931"/>
      <c r="Z67" s="297"/>
      <c r="AA67" s="296"/>
      <c r="AB67" s="306"/>
      <c r="AC67" s="295"/>
      <c r="AI67" s="75"/>
      <c r="AL67" s="77"/>
      <c r="AM67" s="78"/>
      <c r="AP67" s="73"/>
    </row>
    <row r="68" spans="1:42" ht="14">
      <c r="B68" s="279" t="str">
        <f>ID!B66</f>
        <v>d. Kalibrasi Respirasi</v>
      </c>
      <c r="C68" s="76"/>
      <c r="D68" s="880"/>
      <c r="E68" s="86"/>
      <c r="F68" s="189"/>
      <c r="G68" s="190"/>
      <c r="H68" s="191"/>
      <c r="I68" s="122"/>
      <c r="J68" s="174"/>
      <c r="K68" s="277"/>
      <c r="L68" s="192"/>
      <c r="M68" s="192"/>
      <c r="N68" s="75"/>
      <c r="O68" s="931"/>
      <c r="Z68" s="297"/>
      <c r="AA68" s="298"/>
      <c r="AB68" s="306"/>
      <c r="AC68" s="295"/>
      <c r="AI68" s="75"/>
      <c r="AL68" s="77"/>
      <c r="AM68" s="78"/>
      <c r="AP68" s="73"/>
    </row>
    <row r="69" spans="1:42" s="295" customFormat="1" ht="14.25" customHeight="1">
      <c r="B69" s="1533" t="s">
        <v>12</v>
      </c>
      <c r="C69" s="1533" t="s">
        <v>3</v>
      </c>
      <c r="D69" s="1536" t="s">
        <v>134</v>
      </c>
      <c r="E69" s="1615" t="s">
        <v>166</v>
      </c>
      <c r="F69" s="1615" t="s">
        <v>25</v>
      </c>
      <c r="G69" s="1615" t="s">
        <v>65</v>
      </c>
      <c r="H69" s="1615" t="s">
        <v>20</v>
      </c>
      <c r="I69" s="1615"/>
      <c r="J69" s="882"/>
      <c r="K69" s="853"/>
      <c r="L69" s="1614" t="s">
        <v>265</v>
      </c>
      <c r="M69" s="1614"/>
      <c r="N69" s="298"/>
      <c r="O69" s="932"/>
      <c r="Z69" s="297"/>
      <c r="AB69" s="306"/>
      <c r="AI69" s="306"/>
      <c r="AL69" s="296"/>
      <c r="AM69" s="297"/>
      <c r="AP69" s="296"/>
    </row>
    <row r="70" spans="1:42" s="295" customFormat="1" ht="14.25" customHeight="1">
      <c r="B70" s="1534"/>
      <c r="C70" s="1534"/>
      <c r="D70" s="1537"/>
      <c r="E70" s="1615"/>
      <c r="F70" s="1615"/>
      <c r="G70" s="1615"/>
      <c r="H70" s="1615"/>
      <c r="I70" s="1615"/>
      <c r="J70" s="882"/>
      <c r="K70" s="853"/>
      <c r="L70" s="1614"/>
      <c r="M70" s="1614"/>
      <c r="N70" s="298"/>
      <c r="O70" s="932"/>
      <c r="AI70" s="306"/>
      <c r="AL70" s="296"/>
      <c r="AM70" s="297"/>
      <c r="AP70" s="296"/>
    </row>
    <row r="71" spans="1:42" s="295" customFormat="1" ht="3.75" customHeight="1">
      <c r="B71" s="1535"/>
      <c r="C71" s="1535"/>
      <c r="D71" s="1538"/>
      <c r="E71" s="1615"/>
      <c r="F71" s="1536"/>
      <c r="G71" s="1536"/>
      <c r="H71" s="1536"/>
      <c r="I71" s="1536"/>
      <c r="J71" s="882"/>
      <c r="K71" s="853"/>
      <c r="L71" s="1614"/>
      <c r="M71" s="1614"/>
      <c r="N71" s="298"/>
      <c r="O71" s="932"/>
      <c r="AI71" s="306"/>
      <c r="AL71" s="296"/>
      <c r="AM71" s="297"/>
      <c r="AP71" s="296"/>
    </row>
    <row r="72" spans="1:42" ht="20.25" customHeight="1">
      <c r="B72" s="1491">
        <v>1</v>
      </c>
      <c r="C72" s="1478" t="s">
        <v>273</v>
      </c>
      <c r="D72" s="851">
        <f>ID!D70</f>
        <v>20</v>
      </c>
      <c r="E72" s="630">
        <f>IFERROR(ID!L70,"-")</f>
        <v>19.333334524065041</v>
      </c>
      <c r="F72" s="185">
        <f>IF(E72="-","-",'DB ECG SIM'!U280)</f>
        <v>0.66666547593495906</v>
      </c>
      <c r="G72" s="1631" t="str">
        <f>IF(E72:E75="-","-","±  5 BrPM")</f>
        <v>±  5 BrPM</v>
      </c>
      <c r="H72" s="178" t="str">
        <f>IF(I72="-","","±")</f>
        <v>±</v>
      </c>
      <c r="I72" s="848" t="str">
        <f>IFERROR(FIXED('DB ECG SIM'!W280,1),"-")</f>
        <v>0.7</v>
      </c>
      <c r="J72" s="174"/>
      <c r="K72" s="277"/>
      <c r="L72" s="1663">
        <f>IF(E72="-","-",ABS(F72)+I72)</f>
        <v>1.366665475934959</v>
      </c>
      <c r="M72" s="1663"/>
      <c r="N72" s="1607">
        <f>IF(ID!C35='kata-kata'!J20,Penyelia!AA73,0)</f>
        <v>5</v>
      </c>
      <c r="O72" s="931"/>
      <c r="Z72" s="203" t="str">
        <f>IF(L72&lt;=5,"YES","NO")</f>
        <v>YES</v>
      </c>
      <c r="AA72" s="590">
        <f>(COUNTIF(Z72:Z75,"YES")/(COUNTA(Z72:Z75))*100)</f>
        <v>100</v>
      </c>
      <c r="AB72" s="264"/>
      <c r="AD72" s="295"/>
      <c r="AI72" s="238"/>
      <c r="AL72" s="77"/>
      <c r="AM72" s="78"/>
      <c r="AP72" s="73"/>
    </row>
    <row r="73" spans="1:42" ht="14">
      <c r="B73" s="1492"/>
      <c r="C73" s="1479"/>
      <c r="D73" s="851">
        <f>ID!D71</f>
        <v>30</v>
      </c>
      <c r="E73" s="630">
        <f>IFERROR(ID!L71,"-")</f>
        <v>30.000001153658538</v>
      </c>
      <c r="F73" s="185">
        <f>IF(E73="-","-",'DB ECG SIM'!U281)</f>
        <v>-1.1536585375893083E-6</v>
      </c>
      <c r="G73" s="1632"/>
      <c r="H73" s="178" t="str">
        <f t="shared" ref="H73:H75" si="3">IF(I73="-","","±")</f>
        <v>±</v>
      </c>
      <c r="I73" s="848" t="str">
        <f>IFERROR(FIXED('DB ECG SIM'!W281,1),"-")</f>
        <v>0.6</v>
      </c>
      <c r="J73" s="174"/>
      <c r="K73" s="277"/>
      <c r="L73" s="1663">
        <f>IF(E73="-","-",ABS(F73)+I73)</f>
        <v>0.60000115365853757</v>
      </c>
      <c r="M73" s="1663"/>
      <c r="N73" s="1608"/>
      <c r="O73" s="931"/>
      <c r="Z73" s="203" t="str">
        <f>IF(L73&lt;=5,"YES","NO")</f>
        <v>YES</v>
      </c>
      <c r="AA73" s="968">
        <f>IF(AA72&gt;70,5,0)</f>
        <v>5</v>
      </c>
      <c r="AB73" s="264"/>
      <c r="AD73" s="295"/>
      <c r="AI73" s="238"/>
      <c r="AL73" s="77"/>
      <c r="AM73" s="78"/>
      <c r="AP73" s="73"/>
    </row>
    <row r="74" spans="1:42" ht="14">
      <c r="B74" s="1492"/>
      <c r="C74" s="1479"/>
      <c r="D74" s="851">
        <f>ID!D72</f>
        <v>40</v>
      </c>
      <c r="E74" s="630">
        <f>IFERROR(ID!L72,"-")</f>
        <v>41.000001115426826</v>
      </c>
      <c r="F74" s="185">
        <f>IF(E74="-","-",'DB ECG SIM'!U282)</f>
        <v>-1.0000011154268265</v>
      </c>
      <c r="G74" s="1632"/>
      <c r="H74" s="178" t="str">
        <f t="shared" si="3"/>
        <v>±</v>
      </c>
      <c r="I74" s="848" t="str">
        <f>IFERROR(FIXED('DB ECG SIM'!W282,1),"-")</f>
        <v>1.2</v>
      </c>
      <c r="J74" s="174"/>
      <c r="K74" s="277"/>
      <c r="L74" s="1663">
        <f>IF(E74="-","-",ABS(F74)+I74)</f>
        <v>2.2000011154268266</v>
      </c>
      <c r="M74" s="1663"/>
      <c r="N74" s="1608"/>
      <c r="O74" s="931"/>
      <c r="Z74" s="203" t="str">
        <f>IF(L74&lt;=5,"YES","NO")</f>
        <v>YES</v>
      </c>
      <c r="AA74" s="968"/>
      <c r="AB74" s="264"/>
      <c r="AI74" s="238"/>
      <c r="AL74" s="77"/>
      <c r="AM74" s="78"/>
      <c r="AP74" s="73"/>
    </row>
    <row r="75" spans="1:42" ht="14">
      <c r="B75" s="1493"/>
      <c r="C75" s="1480"/>
      <c r="D75" s="851">
        <f>ID!D73</f>
        <v>60</v>
      </c>
      <c r="E75" s="630">
        <f>IFERROR(ID!L73,"-")</f>
        <v>60.000001049390242</v>
      </c>
      <c r="F75" s="185">
        <f>IF(E75="-","-",'DB ECG SIM'!U283)</f>
        <v>-1.0493902422581414E-6</v>
      </c>
      <c r="G75" s="1633"/>
      <c r="H75" s="178" t="str">
        <f t="shared" si="3"/>
        <v>±</v>
      </c>
      <c r="I75" s="848" t="str">
        <f>IFERROR(FIXED('DB ECG SIM'!W283,1),"-")</f>
        <v>0.6</v>
      </c>
      <c r="J75" s="174"/>
      <c r="K75" s="277"/>
      <c r="L75" s="1663">
        <f>IF(E75="-","-",ABS(F75)+I75)</f>
        <v>0.60000104939024224</v>
      </c>
      <c r="M75" s="1663"/>
      <c r="N75" s="1609"/>
      <c r="O75" s="934"/>
      <c r="Z75" s="203" t="str">
        <f>IF(L75&lt;=5,"YES","NO")</f>
        <v>YES</v>
      </c>
      <c r="AA75" s="969"/>
      <c r="AB75" s="264"/>
      <c r="AD75" s="265"/>
      <c r="AE75" s="265"/>
      <c r="AI75" s="238"/>
      <c r="AL75" s="77"/>
      <c r="AM75" s="78"/>
      <c r="AP75" s="73"/>
    </row>
    <row r="76" spans="1:42" ht="6.75" customHeight="1">
      <c r="B76" s="84"/>
      <c r="C76" s="84"/>
      <c r="D76" s="278"/>
      <c r="E76" s="86"/>
      <c r="F76" s="189"/>
      <c r="G76" s="190"/>
      <c r="H76" s="191"/>
      <c r="I76" s="122"/>
      <c r="J76" s="174"/>
      <c r="K76" s="277"/>
      <c r="L76" s="192"/>
      <c r="M76" s="192"/>
      <c r="N76" s="75"/>
      <c r="Q76" s="74"/>
      <c r="R76" s="73"/>
      <c r="S76" s="268"/>
      <c r="AG76" s="76"/>
      <c r="AI76" s="238"/>
      <c r="AL76" s="77"/>
      <c r="AM76" s="78"/>
      <c r="AP76" s="73"/>
    </row>
    <row r="77" spans="1:42" ht="13.5" customHeight="1">
      <c r="A77" s="88" t="s">
        <v>143</v>
      </c>
      <c r="B77" s="889" t="s">
        <v>16</v>
      </c>
      <c r="C77" s="890"/>
      <c r="D77" s="281"/>
      <c r="E77" s="282"/>
      <c r="F77" s="282"/>
      <c r="G77" s="282"/>
      <c r="H77" s="282"/>
      <c r="I77" s="282"/>
      <c r="J77" s="283"/>
      <c r="K77" s="283"/>
      <c r="L77" s="283"/>
      <c r="M77" s="283"/>
      <c r="N77" s="46"/>
      <c r="AG77" s="76"/>
      <c r="AI77" s="238"/>
      <c r="AL77" s="77"/>
      <c r="AM77" s="78"/>
      <c r="AP77" s="73"/>
    </row>
    <row r="78" spans="1:42" ht="13.5" customHeight="1">
      <c r="A78" s="13"/>
      <c r="B78" s="280" t="str">
        <f>ID!B76</f>
        <v>Ketidakpastian Pengukuran Kinerja Heart Rate dilaporkan pada tingkat kepercayaan 95 % dengan faktor cakupan k = 2</v>
      </c>
      <c r="C78" s="890"/>
      <c r="D78" s="281"/>
      <c r="E78" s="282"/>
      <c r="F78" s="282"/>
      <c r="G78" s="282"/>
      <c r="H78" s="282"/>
      <c r="I78" s="282"/>
      <c r="J78" s="283"/>
      <c r="K78" s="283"/>
      <c r="L78" s="283"/>
      <c r="M78" s="283"/>
      <c r="N78" s="46"/>
      <c r="Q78" s="74"/>
      <c r="R78" s="959"/>
      <c r="S78" s="268"/>
      <c r="AG78" s="76"/>
      <c r="AI78" s="238"/>
      <c r="AL78" s="77"/>
      <c r="AM78" s="78"/>
      <c r="AP78" s="73"/>
    </row>
    <row r="79" spans="1:42" ht="13.5" customHeight="1">
      <c r="A79" s="13"/>
      <c r="B79" s="280" t="str">
        <f>IF(E43="-","",ID!B77)</f>
        <v>Ketidakpastian Pengukuran Kinerja Pulse Oxymetri dilaporkan pada tingkat kepercayaan 95 % dengan faktor cakupan k = 2</v>
      </c>
      <c r="C79" s="890"/>
      <c r="D79" s="281"/>
      <c r="E79" s="282"/>
      <c r="F79" s="282"/>
      <c r="G79" s="282"/>
      <c r="H79" s="282"/>
      <c r="I79" s="282"/>
      <c r="J79" s="283"/>
      <c r="K79" s="283"/>
      <c r="L79" s="283"/>
      <c r="M79" s="283"/>
      <c r="N79" s="46"/>
      <c r="Q79" s="74"/>
      <c r="S79" s="268"/>
      <c r="AG79" s="76"/>
      <c r="AI79" s="238"/>
      <c r="AL79" s="77"/>
      <c r="AM79" s="78"/>
      <c r="AP79" s="73"/>
    </row>
    <row r="80" spans="1:42" ht="13.5" customHeight="1">
      <c r="A80" s="13"/>
      <c r="B80" s="280" t="str">
        <f>IF(E53="-","",ID!B78)</f>
        <v>Ketidakpastian Pengukuran Kinerja NIBP dilaporkan pada tingkat kepercayaan 95 % dengan faktor cakupan k = 2</v>
      </c>
      <c r="C80" s="890"/>
      <c r="D80" s="281"/>
      <c r="E80" s="282"/>
      <c r="F80" s="282"/>
      <c r="G80" s="282"/>
      <c r="H80" s="282"/>
      <c r="I80" s="282"/>
      <c r="J80" s="283"/>
      <c r="K80" s="283"/>
      <c r="L80" s="283"/>
      <c r="M80" s="283"/>
      <c r="N80" s="46"/>
      <c r="Q80" s="74"/>
      <c r="S80" s="268"/>
      <c r="AG80" s="76"/>
      <c r="AI80" s="238"/>
      <c r="AL80" s="77"/>
      <c r="AM80" s="78"/>
      <c r="AP80" s="73"/>
    </row>
    <row r="81" spans="1:42" ht="13.5" customHeight="1">
      <c r="A81" s="13"/>
      <c r="B81" s="280" t="str">
        <f>IF(E72="-","",ID!B79)</f>
        <v>Ketidakpastian Pengukuran Kinerja Respirasi dilaporkan pada tingkat kepercayaan 95 % dengan faktor cakupan k = 2</v>
      </c>
      <c r="C81" s="890"/>
      <c r="D81" s="281"/>
      <c r="E81" s="282"/>
      <c r="F81" s="282"/>
      <c r="G81" s="282"/>
      <c r="H81" s="282"/>
      <c r="I81" s="282"/>
      <c r="J81" s="283"/>
      <c r="K81" s="283"/>
      <c r="L81" s="283"/>
      <c r="M81" s="283"/>
      <c r="N81" s="46"/>
      <c r="P81" s="73"/>
      <c r="AI81" s="238"/>
    </row>
    <row r="82" spans="1:42" ht="13.5" customHeight="1">
      <c r="A82" s="13"/>
      <c r="B82" s="280" t="str">
        <f>IF(D16="-","",ID!B80)</f>
        <v>Hasil pengukuran keselamatan listrik tertelusur ke Satuan Internasional ( SI ) melalui PT. Kaliman</v>
      </c>
      <c r="C82" s="890"/>
      <c r="D82" s="281"/>
      <c r="E82" s="282"/>
      <c r="F82" s="282"/>
      <c r="G82" s="282"/>
      <c r="H82" s="282"/>
      <c r="I82" s="282"/>
      <c r="J82" s="283"/>
      <c r="K82" s="283"/>
      <c r="L82" s="283"/>
      <c r="M82" s="283"/>
      <c r="N82" s="46"/>
      <c r="AI82" s="238"/>
    </row>
    <row r="83" spans="1:42" ht="14.5">
      <c r="A83" s="13"/>
      <c r="B83" s="280" t="str">
        <f>ID!B81</f>
        <v>Hasil kalibrasi Heart Rate tertelusur ke Satuan Internasional ( SI ) melalui Caltek PTE LTD</v>
      </c>
      <c r="C83" s="890"/>
      <c r="D83" s="284"/>
      <c r="E83" s="284"/>
      <c r="F83" s="284"/>
      <c r="G83" s="284"/>
      <c r="H83" s="284"/>
      <c r="I83" s="284"/>
      <c r="J83" s="284"/>
      <c r="K83" s="283"/>
      <c r="L83" s="283"/>
      <c r="M83" s="283"/>
      <c r="N83" s="48"/>
      <c r="Q83" s="74"/>
      <c r="S83" s="268"/>
      <c r="AG83" s="76"/>
      <c r="AI83" s="75"/>
      <c r="AL83" s="77"/>
      <c r="AM83" s="78"/>
      <c r="AP83" s="73"/>
    </row>
    <row r="84" spans="1:42" ht="14.5">
      <c r="A84" s="13"/>
      <c r="B84" s="280" t="str">
        <f>IF(E53="-","",ID!B83)</f>
        <v>Hasil kalibrasi NIBP tertelusur ke Satuan Internasional ( SI ) melalui PT. Kaliman</v>
      </c>
      <c r="C84" s="890"/>
      <c r="D84" s="284"/>
      <c r="E84" s="284"/>
      <c r="F84" s="284"/>
      <c r="G84" s="284"/>
      <c r="H84" s="284"/>
      <c r="I84" s="284"/>
      <c r="J84" s="284"/>
      <c r="K84" s="283"/>
      <c r="L84" s="283"/>
      <c r="M84" s="283"/>
      <c r="N84" s="48"/>
      <c r="Q84" s="74"/>
      <c r="S84" s="268"/>
      <c r="AG84" s="76"/>
      <c r="AI84" s="239"/>
      <c r="AL84" s="77"/>
      <c r="AM84" s="78"/>
      <c r="AP84" s="73"/>
    </row>
    <row r="85" spans="1:42" ht="14.5">
      <c r="A85" s="13"/>
      <c r="B85" s="280" t="str">
        <f>IF(E43="-","",ID!B82)</f>
        <v>Hasil kalibrasi Pulse Oximetri tertelusur ke Satuan Internasional melalui Caltek PTE LTD</v>
      </c>
      <c r="C85" s="890"/>
      <c r="D85" s="284"/>
      <c r="E85" s="284"/>
      <c r="F85" s="284"/>
      <c r="G85" s="284"/>
      <c r="H85" s="284"/>
      <c r="I85" s="284"/>
      <c r="J85" s="284"/>
      <c r="K85" s="283"/>
      <c r="L85" s="283"/>
      <c r="M85" s="283"/>
      <c r="N85" s="48"/>
      <c r="Q85" s="74"/>
      <c r="S85" s="268"/>
      <c r="AG85" s="76"/>
      <c r="AI85" s="75"/>
      <c r="AL85" s="77"/>
      <c r="AM85" s="78"/>
      <c r="AP85" s="73"/>
    </row>
    <row r="86" spans="1:42" ht="14">
      <c r="B86" s="280" t="str">
        <f>IF(E72="-","",ID!B84)</f>
        <v>Hasil kalibrasi Respirasi tertelusur ke Satuan Internasional ( SI ) melalui Caltek PTE LTD</v>
      </c>
    </row>
    <row r="87" spans="1:42" ht="14.5">
      <c r="A87" s="13"/>
      <c r="B87" s="280" t="str">
        <f>ID!B85</f>
        <v>Alat tidak boleh digunakan pada instalasi tanpa dilengkapi grounding</v>
      </c>
      <c r="C87" s="890"/>
      <c r="D87" s="284"/>
      <c r="E87" s="284"/>
      <c r="F87" s="284"/>
      <c r="G87" s="284"/>
      <c r="H87" s="284"/>
      <c r="I87" s="284"/>
      <c r="J87" s="284"/>
      <c r="K87" s="283"/>
      <c r="L87" s="283"/>
      <c r="M87" s="283"/>
      <c r="N87" s="48"/>
      <c r="Q87" s="74"/>
      <c r="S87" s="268"/>
      <c r="AG87" s="76"/>
      <c r="AI87" s="75"/>
      <c r="AL87" s="77"/>
      <c r="AM87" s="78"/>
      <c r="AP87" s="73"/>
    </row>
    <row r="88" spans="1:42" ht="14.5" hidden="1">
      <c r="A88" s="13"/>
      <c r="B88" s="280"/>
      <c r="C88" s="13"/>
      <c r="D88" s="284"/>
      <c r="E88" s="284"/>
      <c r="F88" s="284"/>
      <c r="G88" s="284"/>
      <c r="H88" s="284"/>
      <c r="I88" s="284"/>
      <c r="J88" s="284"/>
      <c r="K88" s="283"/>
      <c r="L88" s="283"/>
      <c r="M88" s="283"/>
      <c r="N88" s="48"/>
      <c r="Q88" s="74"/>
      <c r="S88" s="268"/>
      <c r="AG88" s="76"/>
      <c r="AI88" s="75"/>
      <c r="AL88" s="77"/>
      <c r="AM88" s="78"/>
      <c r="AP88" s="73"/>
    </row>
    <row r="89" spans="1:42" ht="14.5">
      <c r="A89" s="13"/>
      <c r="B89" s="285"/>
      <c r="C89" s="280"/>
      <c r="D89" s="284"/>
      <c r="E89" s="284"/>
      <c r="F89" s="284"/>
      <c r="G89" s="284"/>
      <c r="H89" s="284"/>
      <c r="I89" s="284"/>
      <c r="J89" s="284"/>
      <c r="K89" s="283"/>
      <c r="L89" s="283"/>
      <c r="M89" s="283"/>
      <c r="N89" s="48"/>
      <c r="Q89" s="74"/>
      <c r="S89" s="268"/>
      <c r="AG89" s="76"/>
      <c r="AI89" s="238"/>
      <c r="AL89" s="77"/>
      <c r="AM89" s="78"/>
      <c r="AP89" s="73"/>
    </row>
    <row r="90" spans="1:42" ht="14">
      <c r="A90" s="93" t="s">
        <v>144</v>
      </c>
      <c r="B90" s="285" t="s">
        <v>14</v>
      </c>
      <c r="C90" s="890"/>
      <c r="D90" s="284"/>
      <c r="E90" s="891"/>
      <c r="F90" s="891"/>
      <c r="G90" s="891"/>
      <c r="H90" s="891"/>
      <c r="I90" s="891"/>
      <c r="J90" s="891"/>
      <c r="K90" s="891"/>
      <c r="L90" s="891"/>
      <c r="M90" s="891"/>
      <c r="N90" s="892"/>
      <c r="Q90" s="74"/>
      <c r="S90" s="268"/>
      <c r="AG90" s="76"/>
      <c r="AI90" s="238"/>
      <c r="AL90" s="77"/>
      <c r="AM90" s="78"/>
      <c r="AP90" s="73"/>
    </row>
    <row r="91" spans="1:42" ht="14">
      <c r="A91" s="13"/>
      <c r="B91" s="893" t="str">
        <f>ID!B90</f>
        <v>Multiparameter Simulator, Merek : RIGEL , Model : PatSim200, SN : 15L-0684</v>
      </c>
      <c r="C91" s="890"/>
      <c r="D91" s="894"/>
      <c r="E91" s="894"/>
      <c r="F91" s="894"/>
      <c r="G91" s="891"/>
      <c r="H91" s="891"/>
      <c r="I91" s="891"/>
      <c r="J91" s="891"/>
      <c r="K91" s="891"/>
      <c r="L91" s="891"/>
      <c r="M91" s="891"/>
      <c r="N91" s="892"/>
      <c r="Q91" s="74"/>
      <c r="S91" s="268"/>
      <c r="AG91" s="76"/>
      <c r="AI91" s="238"/>
      <c r="AL91" s="77"/>
      <c r="AM91" s="78"/>
      <c r="AP91" s="73"/>
    </row>
    <row r="92" spans="1:42" ht="15" customHeight="1">
      <c r="A92" s="13"/>
      <c r="B92" s="893" t="str">
        <f>IF(B91=ID!B92,"",ID!B92)</f>
        <v>Vital Sign Simulator, Merek : Fluke Biomedical, Model : Prosim 8, SN : 3217028</v>
      </c>
      <c r="C92" s="890"/>
      <c r="D92" s="284"/>
      <c r="E92" s="891"/>
      <c r="F92" s="891"/>
      <c r="G92" s="891"/>
      <c r="H92" s="891"/>
      <c r="I92" s="891"/>
      <c r="J92" s="891"/>
      <c r="K92" s="891"/>
      <c r="L92" s="891"/>
      <c r="M92" s="891"/>
      <c r="N92" s="892"/>
      <c r="Q92" s="74"/>
      <c r="S92" s="268"/>
      <c r="AG92" s="76"/>
      <c r="AI92" s="238"/>
      <c r="AL92" s="77"/>
      <c r="AM92" s="78"/>
      <c r="AP92" s="73"/>
    </row>
    <row r="93" spans="1:42" ht="15" customHeight="1">
      <c r="A93" s="13"/>
      <c r="B93" s="893" t="str">
        <f>IF(OR(B91=ID!B94,Penyelia!B92=ID!B94),"",ID!B94)</f>
        <v/>
      </c>
      <c r="C93" s="890"/>
      <c r="D93" s="284"/>
      <c r="E93" s="891"/>
      <c r="F93" s="891"/>
      <c r="G93" s="891"/>
      <c r="H93" s="891"/>
      <c r="I93" s="891"/>
      <c r="J93" s="891"/>
      <c r="K93" s="891"/>
      <c r="L93" s="891"/>
      <c r="M93" s="891"/>
      <c r="N93" s="892"/>
      <c r="Q93" s="74"/>
      <c r="S93" s="268"/>
      <c r="AG93" s="76"/>
      <c r="AI93" s="75"/>
      <c r="AJ93" s="76"/>
      <c r="AK93" s="77"/>
      <c r="AL93" s="77"/>
      <c r="AM93" s="78"/>
      <c r="AP93" s="73"/>
    </row>
    <row r="94" spans="1:42" ht="14.5">
      <c r="A94" s="13"/>
      <c r="B94" s="893" t="str">
        <f>IF(Y20=Y23,"",ID!B96)</f>
        <v>Electrical Safety Analyzer, Merek : Fluke, Model : ESA 615, SN : 2853077</v>
      </c>
      <c r="C94" s="890"/>
      <c r="D94" s="284"/>
      <c r="E94" s="891"/>
      <c r="F94" s="891"/>
      <c r="G94" s="891"/>
      <c r="H94" s="891"/>
      <c r="I94" s="891"/>
      <c r="J94" s="891"/>
      <c r="K94" s="891"/>
      <c r="L94" s="891"/>
      <c r="M94" s="891"/>
      <c r="N94" s="892"/>
      <c r="AG94" s="42"/>
      <c r="AH94" s="41"/>
      <c r="AI94" s="239"/>
    </row>
    <row r="95" spans="1:42" ht="14.5">
      <c r="A95" s="13"/>
      <c r="B95" s="893"/>
      <c r="C95" s="890"/>
      <c r="D95" s="284"/>
      <c r="E95" s="891"/>
      <c r="F95" s="891"/>
      <c r="G95" s="891"/>
      <c r="H95" s="891"/>
      <c r="I95" s="891"/>
      <c r="J95" s="891"/>
      <c r="K95" s="891"/>
      <c r="L95" s="891"/>
      <c r="M95" s="891"/>
      <c r="N95" s="892"/>
      <c r="AG95" s="46"/>
      <c r="AH95" s="47"/>
      <c r="AI95" s="248"/>
      <c r="AJ95" s="13"/>
    </row>
    <row r="96" spans="1:42" ht="6" customHeight="1">
      <c r="A96" s="13"/>
      <c r="B96" s="284"/>
      <c r="C96" s="895"/>
      <c r="D96" s="284"/>
      <c r="E96" s="891"/>
      <c r="F96" s="891"/>
      <c r="G96" s="891"/>
      <c r="H96" s="891"/>
      <c r="I96" s="891"/>
      <c r="J96" s="891"/>
      <c r="K96" s="891"/>
      <c r="L96" s="891"/>
      <c r="M96" s="891"/>
      <c r="N96" s="892"/>
      <c r="AG96" s="46"/>
      <c r="AH96" s="47"/>
      <c r="AI96" s="13"/>
      <c r="AJ96" s="13"/>
    </row>
    <row r="97" spans="1:37" ht="12.75" customHeight="1">
      <c r="A97" s="93" t="s">
        <v>15</v>
      </c>
      <c r="B97" s="896" t="s">
        <v>26</v>
      </c>
      <c r="C97" s="890"/>
      <c r="D97" s="284"/>
      <c r="E97" s="891"/>
      <c r="F97" s="891"/>
      <c r="G97" s="891"/>
      <c r="H97" s="891"/>
      <c r="I97" s="891"/>
      <c r="J97" s="891"/>
      <c r="K97" s="891"/>
      <c r="L97" s="891"/>
      <c r="M97" s="891"/>
      <c r="N97" s="892"/>
      <c r="AG97" s="1624"/>
      <c r="AH97" s="1624"/>
      <c r="AI97" s="13"/>
      <c r="AJ97" s="13"/>
    </row>
    <row r="98" spans="1:37" ht="17.25" customHeight="1">
      <c r="A98" s="13"/>
      <c r="B98" s="1630" t="str">
        <f>ID!B101</f>
        <v>Alat yang dikalibrasi dalam batas toleransi dan dinyatakan LAIK PAKAI, dimana hasil atau skor akhir sama dengan atau melampaui 70 % berdasarkan Keputusan Direktur Jenderal Pelayanan Kesehatan No : HK.02.02/V/0412/2020</v>
      </c>
      <c r="C98" s="1630"/>
      <c r="D98" s="1630"/>
      <c r="E98" s="1630"/>
      <c r="F98" s="1630"/>
      <c r="G98" s="1630"/>
      <c r="H98" s="1630"/>
      <c r="I98" s="1630"/>
      <c r="J98" s="1630"/>
      <c r="K98" s="1630"/>
      <c r="L98" s="1630"/>
      <c r="M98" s="1630"/>
      <c r="N98" s="892"/>
      <c r="AG98" s="1624"/>
      <c r="AH98" s="1624"/>
      <c r="AI98" s="13"/>
      <c r="AJ98" s="13"/>
      <c r="AK98" s="74"/>
    </row>
    <row r="99" spans="1:37" ht="24" customHeight="1">
      <c r="A99" s="13"/>
      <c r="B99" s="1630"/>
      <c r="C99" s="1630"/>
      <c r="D99" s="1630"/>
      <c r="E99" s="1630"/>
      <c r="F99" s="1630"/>
      <c r="G99" s="1630"/>
      <c r="H99" s="1630"/>
      <c r="I99" s="1630"/>
      <c r="J99" s="1630"/>
      <c r="K99" s="1630"/>
      <c r="L99" s="1630"/>
      <c r="M99" s="1630"/>
      <c r="N99" s="892"/>
      <c r="AG99" s="1624"/>
      <c r="AH99" s="1624"/>
      <c r="AI99" s="13"/>
      <c r="AJ99" s="13"/>
    </row>
    <row r="100" spans="1:37" ht="3.75" customHeight="1">
      <c r="A100" s="13"/>
      <c r="B100" s="285"/>
      <c r="C100" s="896"/>
      <c r="D100" s="284"/>
      <c r="E100" s="891"/>
      <c r="F100" s="891"/>
      <c r="G100" s="891"/>
      <c r="H100" s="891"/>
      <c r="I100" s="891"/>
      <c r="J100" s="891"/>
      <c r="K100" s="891"/>
      <c r="L100" s="891"/>
      <c r="M100" s="891"/>
      <c r="N100" s="892"/>
      <c r="AG100" s="46"/>
      <c r="AH100" s="46"/>
      <c r="AI100" s="13"/>
      <c r="AJ100" s="13"/>
    </row>
    <row r="101" spans="1:37" ht="14.5">
      <c r="A101" s="93" t="s">
        <v>27</v>
      </c>
      <c r="B101" s="285" t="str">
        <f>ID!B103</f>
        <v>Petugas Kalibrasi</v>
      </c>
      <c r="C101" s="890"/>
      <c r="D101" s="285"/>
      <c r="E101" s="891"/>
      <c r="F101" s="891"/>
      <c r="G101" s="891"/>
      <c r="H101" s="891"/>
      <c r="I101" s="891"/>
      <c r="J101" s="891"/>
      <c r="K101" s="890"/>
      <c r="L101" s="890"/>
      <c r="M101" s="891"/>
      <c r="N101" s="892"/>
      <c r="AG101" s="46"/>
      <c r="AH101" s="46"/>
      <c r="AI101" s="13"/>
      <c r="AJ101" s="13"/>
    </row>
    <row r="102" spans="1:37" ht="14.5">
      <c r="A102" s="13"/>
      <c r="B102" s="280" t="str">
        <f>ID!B104</f>
        <v>Muhammad Iqbal Saiful Rahman</v>
      </c>
      <c r="C102" s="890"/>
      <c r="D102" s="284"/>
      <c r="E102" s="891"/>
      <c r="F102" s="891"/>
      <c r="G102" s="891"/>
      <c r="H102" s="891"/>
      <c r="I102" s="891"/>
      <c r="J102" s="891"/>
      <c r="K102" s="890"/>
      <c r="L102" s="890"/>
      <c r="M102" s="891"/>
      <c r="N102" s="892"/>
      <c r="AG102" s="46"/>
      <c r="AH102" s="46"/>
      <c r="AI102" s="13"/>
      <c r="AJ102" s="13"/>
    </row>
    <row r="103" spans="1:37" ht="14.5">
      <c r="B103" s="277"/>
      <c r="C103" s="277"/>
      <c r="D103" s="277"/>
      <c r="E103" s="277"/>
      <c r="F103" s="277"/>
      <c r="J103" s="277"/>
      <c r="K103" s="76"/>
      <c r="L103" s="76"/>
      <c r="M103" s="277"/>
      <c r="AG103" s="46"/>
      <c r="AH103" s="46"/>
      <c r="AI103" s="13"/>
      <c r="AJ103" s="13"/>
    </row>
    <row r="104" spans="1:37" ht="14.5">
      <c r="B104" s="277"/>
      <c r="C104" s="76"/>
      <c r="D104" s="76"/>
      <c r="E104" s="76"/>
      <c r="F104" s="76"/>
      <c r="J104" s="277"/>
      <c r="K104" s="76"/>
      <c r="L104" s="76"/>
      <c r="M104" s="277"/>
      <c r="AG104" s="46"/>
      <c r="AH104" s="46"/>
      <c r="AI104" s="13"/>
      <c r="AJ104" s="13"/>
    </row>
    <row r="105" spans="1:37" ht="14.5" hidden="1">
      <c r="B105" s="277"/>
      <c r="C105" s="76"/>
      <c r="D105" s="76"/>
      <c r="E105" s="76"/>
      <c r="F105" s="76"/>
      <c r="J105" s="277"/>
      <c r="K105" s="76"/>
      <c r="L105" s="76"/>
      <c r="M105" s="277"/>
      <c r="AG105" s="46"/>
      <c r="AH105" s="46"/>
      <c r="AI105" s="13"/>
      <c r="AJ105" s="13"/>
    </row>
    <row r="106" spans="1:37" hidden="1">
      <c r="B106" s="277"/>
      <c r="C106" s="76"/>
      <c r="D106" s="76"/>
      <c r="E106" s="76"/>
      <c r="F106" s="76"/>
      <c r="G106" s="76"/>
      <c r="H106" s="76"/>
      <c r="I106" s="76"/>
      <c r="J106" s="277"/>
      <c r="K106" s="76"/>
      <c r="L106" s="76"/>
      <c r="M106" s="277"/>
    </row>
    <row r="107" spans="1:37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</row>
    <row r="108" spans="1:37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</row>
    <row r="109" spans="1:37">
      <c r="M109" s="1648"/>
      <c r="N109" s="1648"/>
    </row>
    <row r="110" spans="1:37" ht="12.75" customHeight="1">
      <c r="M110" s="1646"/>
      <c r="N110" s="1647"/>
    </row>
    <row r="111" spans="1:37" ht="12.75" customHeight="1">
      <c r="C111" s="1656" t="s">
        <v>29</v>
      </c>
      <c r="D111" s="1657"/>
      <c r="E111" s="1657"/>
      <c r="F111" s="1658"/>
      <c r="G111" s="1507" t="s">
        <v>30</v>
      </c>
      <c r="H111" s="1508"/>
      <c r="I111" s="96" t="s">
        <v>31</v>
      </c>
      <c r="J111" s="1659" t="s">
        <v>102</v>
      </c>
      <c r="K111" s="1659"/>
      <c r="M111" s="1647"/>
      <c r="N111" s="1647"/>
    </row>
    <row r="112" spans="1:37" ht="12.75" customHeight="1">
      <c r="C112" s="962" t="s">
        <v>368</v>
      </c>
      <c r="D112" s="1642" t="str">
        <f>ID!B104</f>
        <v>Muhammad Iqbal Saiful Rahman</v>
      </c>
      <c r="E112" s="1642"/>
      <c r="F112" s="1643"/>
      <c r="G112" s="1649" t="str">
        <f>ID!B107</f>
        <v>4 2 22</v>
      </c>
      <c r="H112" s="1650"/>
      <c r="I112" s="963"/>
      <c r="J112" s="1651">
        <f>N34+N25+N19+N43+N72</f>
        <v>90</v>
      </c>
      <c r="K112" s="1652"/>
      <c r="L112" s="961"/>
      <c r="M112" s="1647"/>
      <c r="N112" s="1647"/>
    </row>
    <row r="113" spans="3:33" ht="12.75" customHeight="1">
      <c r="C113" s="962" t="s">
        <v>369</v>
      </c>
      <c r="D113" s="1644"/>
      <c r="E113" s="1644"/>
      <c r="F113" s="1645"/>
      <c r="G113" s="1649"/>
      <c r="H113" s="1650"/>
      <c r="I113" s="963"/>
      <c r="J113" s="1653"/>
      <c r="K113" s="1654"/>
      <c r="L113" s="961"/>
      <c r="M113" s="1647"/>
      <c r="N113" s="1647"/>
    </row>
    <row r="114" spans="3:33">
      <c r="O114" s="1188" t="s">
        <v>81</v>
      </c>
      <c r="AG114" s="37"/>
    </row>
    <row r="115" spans="3:33">
      <c r="AG115" s="37"/>
    </row>
    <row r="116" spans="3:33">
      <c r="AG116" s="37"/>
    </row>
    <row r="117" spans="3:33">
      <c r="AG117" s="37"/>
    </row>
    <row r="118" spans="3:33">
      <c r="AG118" s="37"/>
    </row>
  </sheetData>
  <sheetProtection formatCells="0" formatColumns="0" formatRows="0" insertColumns="0" insertRows="0" deleteColumns="0" deleteRows="0"/>
  <mergeCells count="123">
    <mergeCell ref="A2:N2"/>
    <mergeCell ref="A1:N1"/>
    <mergeCell ref="AM49:AM51"/>
    <mergeCell ref="AN49:AN51"/>
    <mergeCell ref="AO49:AO51"/>
    <mergeCell ref="F69:F71"/>
    <mergeCell ref="G69:G71"/>
    <mergeCell ref="H69:I71"/>
    <mergeCell ref="G72:G75"/>
    <mergeCell ref="L69:M71"/>
    <mergeCell ref="L72:M72"/>
    <mergeCell ref="L73:M73"/>
    <mergeCell ref="L74:M74"/>
    <mergeCell ref="L75:M75"/>
    <mergeCell ref="F50:F52"/>
    <mergeCell ref="G50:G52"/>
    <mergeCell ref="H50:I52"/>
    <mergeCell ref="L58:M58"/>
    <mergeCell ref="G53:G60"/>
    <mergeCell ref="L37:M37"/>
    <mergeCell ref="B34:B37"/>
    <mergeCell ref="C34:C37"/>
    <mergeCell ref="G31:G33"/>
    <mergeCell ref="B72:B75"/>
    <mergeCell ref="D112:F112"/>
    <mergeCell ref="D113:F113"/>
    <mergeCell ref="G40:G42"/>
    <mergeCell ref="H40:I42"/>
    <mergeCell ref="M110:N113"/>
    <mergeCell ref="M109:N109"/>
    <mergeCell ref="G112:H112"/>
    <mergeCell ref="G113:H113"/>
    <mergeCell ref="G111:H111"/>
    <mergeCell ref="J112:K113"/>
    <mergeCell ref="N43:N60"/>
    <mergeCell ref="L59:M59"/>
    <mergeCell ref="C111:F111"/>
    <mergeCell ref="J111:K111"/>
    <mergeCell ref="C72:C75"/>
    <mergeCell ref="I23:J24"/>
    <mergeCell ref="C31:C33"/>
    <mergeCell ref="K23:L24"/>
    <mergeCell ref="B23:B24"/>
    <mergeCell ref="B31:B33"/>
    <mergeCell ref="C28:H28"/>
    <mergeCell ref="C27:H27"/>
    <mergeCell ref="H31:I33"/>
    <mergeCell ref="L36:M36"/>
    <mergeCell ref="C26:H26"/>
    <mergeCell ref="C25:H25"/>
    <mergeCell ref="G34:G37"/>
    <mergeCell ref="E31:E33"/>
    <mergeCell ref="F31:F33"/>
    <mergeCell ref="AG97:AH99"/>
    <mergeCell ref="L40:M42"/>
    <mergeCell ref="L50:M52"/>
    <mergeCell ref="L56:M56"/>
    <mergeCell ref="L57:M57"/>
    <mergeCell ref="L49:M49"/>
    <mergeCell ref="L45:M45"/>
    <mergeCell ref="L46:M46"/>
    <mergeCell ref="L47:M47"/>
    <mergeCell ref="L44:M44"/>
    <mergeCell ref="L43:M43"/>
    <mergeCell ref="B98:M99"/>
    <mergeCell ref="E69:E71"/>
    <mergeCell ref="L53:M53"/>
    <mergeCell ref="L54:M54"/>
    <mergeCell ref="L55:M55"/>
    <mergeCell ref="B57:B58"/>
    <mergeCell ref="B59:B60"/>
    <mergeCell ref="F40:F42"/>
    <mergeCell ref="G43:G47"/>
    <mergeCell ref="L60:M60"/>
    <mergeCell ref="B40:B42"/>
    <mergeCell ref="C40:C42"/>
    <mergeCell ref="D40:D42"/>
    <mergeCell ref="A4:C4"/>
    <mergeCell ref="A5:C5"/>
    <mergeCell ref="A6:C6"/>
    <mergeCell ref="A8:C8"/>
    <mergeCell ref="A9:C9"/>
    <mergeCell ref="A10:C10"/>
    <mergeCell ref="A11:C11"/>
    <mergeCell ref="E40:E42"/>
    <mergeCell ref="C43:C47"/>
    <mergeCell ref="B43:B47"/>
    <mergeCell ref="C23:H24"/>
    <mergeCell ref="A7:C7"/>
    <mergeCell ref="N25:N28"/>
    <mergeCell ref="N34:N37"/>
    <mergeCell ref="N72:N75"/>
    <mergeCell ref="N19:N20"/>
    <mergeCell ref="B14:C14"/>
    <mergeCell ref="B15:C15"/>
    <mergeCell ref="B16:C16"/>
    <mergeCell ref="B19:C19"/>
    <mergeCell ref="B20:C20"/>
    <mergeCell ref="D69:D71"/>
    <mergeCell ref="D50:D52"/>
    <mergeCell ref="D31:D33"/>
    <mergeCell ref="L31:M33"/>
    <mergeCell ref="E50:E52"/>
    <mergeCell ref="B69:B71"/>
    <mergeCell ref="C69:C71"/>
    <mergeCell ref="B50:B52"/>
    <mergeCell ref="C50:C52"/>
    <mergeCell ref="B53:B54"/>
    <mergeCell ref="B55:B56"/>
    <mergeCell ref="L38:M38"/>
    <mergeCell ref="L39:M39"/>
    <mergeCell ref="L34:M34"/>
    <mergeCell ref="L35:M35"/>
    <mergeCell ref="S20:T21"/>
    <mergeCell ref="U20:U21"/>
    <mergeCell ref="V20:V21"/>
    <mergeCell ref="W20:W21"/>
    <mergeCell ref="Y20:AG20"/>
    <mergeCell ref="Y21:AG21"/>
    <mergeCell ref="Y22:AG22"/>
    <mergeCell ref="Y25:AE25"/>
    <mergeCell ref="S26:S27"/>
    <mergeCell ref="T26:T27"/>
  </mergeCells>
  <phoneticPr fontId="0" type="noConversion"/>
  <printOptions horizontalCentered="1"/>
  <pageMargins left="0.31496062992126" right="0.23622047244094499" top="0.39370078740157499" bottom="0.27559055118110198" header="0.27559055118110198" footer="0.15748031496063"/>
  <pageSetup paperSize="9" scale="83" orientation="portrait" horizontalDpi="4294967294" verticalDpi="4294967294" r:id="rId1"/>
  <headerFooter>
    <oddHeader>&amp;R&amp;8KL. 012-18</oddHeader>
    <oddFooter>&amp;R&amp;K00-032PSM 5.4.2022</oddFooter>
  </headerFooter>
  <rowBreaks count="1" manualBreakCount="1">
    <brk id="67" max="13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AB155"/>
  <sheetViews>
    <sheetView showGridLines="0" showRuler="0" showWhiteSpace="0" view="pageLayout" topLeftCell="A14" zoomScaleNormal="100" zoomScaleSheetLayoutView="90" workbookViewId="0">
      <selection activeCell="D16" sqref="D16"/>
    </sheetView>
  </sheetViews>
  <sheetFormatPr defaultColWidth="9.08984375" defaultRowHeight="13"/>
  <cols>
    <col min="1" max="1" width="3.08984375" style="4" customWidth="1"/>
    <col min="2" max="2" width="3.453125" style="4" customWidth="1"/>
    <col min="3" max="3" width="21.453125" style="4" customWidth="1"/>
    <col min="4" max="4" width="11.6328125" style="4" customWidth="1"/>
    <col min="5" max="5" width="13.08984375" style="4" customWidth="1"/>
    <col min="6" max="7" width="11.6328125" style="4" customWidth="1"/>
    <col min="8" max="8" width="8.36328125" style="4" customWidth="1"/>
    <col min="9" max="9" width="9.08984375" style="4" customWidth="1"/>
    <col min="10" max="10" width="6.36328125" style="4" customWidth="1"/>
    <col min="11" max="12" width="8.36328125" style="4" customWidth="1"/>
    <col min="13" max="13" width="13.08984375" style="4" customWidth="1"/>
    <col min="14" max="14" width="11.08984375" style="4" bestFit="1" customWidth="1"/>
    <col min="15" max="15" width="7.6328125" style="4" customWidth="1"/>
    <col min="16" max="16" width="9.54296875" style="4" customWidth="1"/>
    <col min="17" max="17" width="15" style="4" customWidth="1"/>
    <col min="18" max="16384" width="9.08984375" style="4"/>
  </cols>
  <sheetData>
    <row r="1" spans="1:17" ht="18.5">
      <c r="A1" s="1513" t="s">
        <v>537</v>
      </c>
      <c r="B1" s="1513"/>
      <c r="C1" s="1513"/>
      <c r="D1" s="1513"/>
      <c r="E1" s="1513"/>
      <c r="F1" s="1513"/>
      <c r="G1" s="1513"/>
      <c r="H1" s="1513"/>
      <c r="I1" s="1513"/>
      <c r="J1" s="1513"/>
      <c r="K1" s="1513"/>
      <c r="L1" s="1513"/>
      <c r="M1" s="51"/>
      <c r="O1" s="51"/>
      <c r="P1" s="35"/>
      <c r="Q1" s="35"/>
    </row>
    <row r="2" spans="1:17" ht="17">
      <c r="A2" s="1665" t="str">
        <f>Penyelia!A2</f>
        <v>Nomor Sertifikat : 7 / 1 / I - 22 / E - 060.26 DL</v>
      </c>
      <c r="B2" s="1665"/>
      <c r="C2" s="1665"/>
      <c r="D2" s="1665"/>
      <c r="E2" s="1665"/>
      <c r="F2" s="1665"/>
      <c r="G2" s="1665"/>
      <c r="H2" s="1665"/>
      <c r="I2" s="1665"/>
      <c r="J2" s="1665"/>
      <c r="K2" s="1665"/>
      <c r="L2" s="1665"/>
      <c r="M2" s="52"/>
      <c r="N2" s="52"/>
      <c r="O2" s="52"/>
      <c r="P2" s="36"/>
      <c r="Q2" s="36"/>
    </row>
    <row r="3" spans="1:17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 t="s">
        <v>517</v>
      </c>
      <c r="M3" s="37"/>
      <c r="N3" s="37"/>
      <c r="O3" s="37"/>
    </row>
    <row r="4" spans="1:17" ht="14">
      <c r="A4" s="1619" t="str">
        <f>Penyelia!A4</f>
        <v>Merek</v>
      </c>
      <c r="B4" s="1619"/>
      <c r="C4" s="1619"/>
      <c r="D4" s="1213" t="str">
        <f>Penyelia!D4</f>
        <v xml:space="preserve"> Medi Globe</v>
      </c>
      <c r="E4" s="79"/>
      <c r="F4" s="80"/>
      <c r="G4" s="80"/>
      <c r="H4" s="80"/>
      <c r="I4" s="80"/>
      <c r="J4" s="79"/>
      <c r="K4" s="79"/>
      <c r="L4" s="79"/>
      <c r="M4" s="37"/>
      <c r="N4" s="37"/>
      <c r="O4" s="37"/>
    </row>
    <row r="5" spans="1:17" ht="14">
      <c r="A5" s="1619" t="str">
        <f>Penyelia!A5</f>
        <v>Model/Tipe</v>
      </c>
      <c r="B5" s="1619"/>
      <c r="C5" s="1619"/>
      <c r="D5" s="1213" t="str">
        <f>Penyelia!D5</f>
        <v xml:space="preserve"> Garuda 12</v>
      </c>
      <c r="E5" s="79"/>
      <c r="F5" s="80"/>
      <c r="G5" s="80"/>
      <c r="H5" s="80"/>
      <c r="I5" s="80"/>
      <c r="J5" s="79"/>
      <c r="K5" s="79"/>
      <c r="L5" s="79"/>
      <c r="M5" s="37"/>
      <c r="N5" s="37"/>
      <c r="O5" s="37"/>
    </row>
    <row r="6" spans="1:17" ht="14">
      <c r="A6" s="1619" t="str">
        <f>Penyelia!A6</f>
        <v>No. Seri</v>
      </c>
      <c r="B6" s="1619"/>
      <c r="C6" s="1619"/>
      <c r="D6" s="1213" t="str">
        <f>Penyelia!D6</f>
        <v xml:space="preserve"> G122008063</v>
      </c>
      <c r="E6" s="79"/>
      <c r="F6" s="80"/>
      <c r="G6" s="80"/>
      <c r="H6" s="80"/>
      <c r="I6" s="80"/>
      <c r="J6" s="79"/>
      <c r="K6" s="79"/>
      <c r="L6" s="79"/>
      <c r="M6" s="37"/>
      <c r="N6" s="37"/>
      <c r="O6" s="37"/>
    </row>
    <row r="7" spans="1:17" ht="14">
      <c r="A7" s="1619" t="str">
        <f>Penyelia!A7</f>
        <v>Tanggal Penerimaan Alat</v>
      </c>
      <c r="B7" s="1619"/>
      <c r="C7" s="1619"/>
      <c r="D7" s="1214" t="str">
        <f>Penyelia!D7</f>
        <v xml:space="preserve"> 19 Januari 2020</v>
      </c>
      <c r="E7" s="79"/>
      <c r="F7" s="80"/>
      <c r="G7" s="80"/>
      <c r="H7" s="80"/>
      <c r="I7" s="80"/>
      <c r="J7" s="79"/>
      <c r="K7" s="79"/>
      <c r="L7" s="79"/>
      <c r="M7" s="37"/>
      <c r="N7" s="37"/>
      <c r="O7" s="37"/>
    </row>
    <row r="8" spans="1:17" ht="14">
      <c r="A8" s="1619" t="str">
        <f>Penyelia!A8</f>
        <v>Tanggal Kalibrasi</v>
      </c>
      <c r="B8" s="1619"/>
      <c r="C8" s="1619"/>
      <c r="D8" s="1215" t="str">
        <f>Penyelia!D8</f>
        <v xml:space="preserve"> 20 Januari 2020</v>
      </c>
      <c r="E8" s="79"/>
      <c r="F8" s="80"/>
      <c r="G8" s="80"/>
      <c r="H8" s="80"/>
      <c r="I8" s="80"/>
      <c r="J8" s="79"/>
      <c r="K8" s="79"/>
      <c r="L8" s="79"/>
      <c r="M8" s="37"/>
      <c r="N8" s="37"/>
      <c r="O8" s="37"/>
    </row>
    <row r="9" spans="1:17" ht="14">
      <c r="A9" s="1619" t="str">
        <f>Penyelia!A9</f>
        <v>Tempat Kalibrasi</v>
      </c>
      <c r="B9" s="1619"/>
      <c r="C9" s="1619"/>
      <c r="D9" s="1213" t="str">
        <f>Penyelia!D9</f>
        <v xml:space="preserve"> OK</v>
      </c>
      <c r="E9" s="79"/>
      <c r="F9" s="80"/>
      <c r="G9" s="80"/>
      <c r="H9" s="80"/>
      <c r="I9" s="80"/>
      <c r="J9" s="79"/>
      <c r="K9" s="840"/>
      <c r="L9" s="79"/>
      <c r="M9" s="37"/>
      <c r="N9" s="37"/>
      <c r="O9" s="37"/>
    </row>
    <row r="10" spans="1:17" ht="14">
      <c r="A10" s="1619" t="str">
        <f>Penyelia!A10</f>
        <v>Nama Ruang</v>
      </c>
      <c r="B10" s="1619"/>
      <c r="C10" s="1619"/>
      <c r="D10" s="1213" t="str">
        <f>Penyelia!D10</f>
        <v xml:space="preserve"> OK</v>
      </c>
      <c r="E10" s="79"/>
      <c r="F10" s="80"/>
      <c r="G10" s="80"/>
      <c r="H10" s="80"/>
      <c r="I10" s="80"/>
      <c r="J10" s="79"/>
      <c r="K10" s="840"/>
      <c r="L10" s="79"/>
      <c r="M10" s="37"/>
      <c r="N10" s="37"/>
      <c r="O10" s="37"/>
    </row>
    <row r="11" spans="1:17" ht="14">
      <c r="A11" s="1619" t="str">
        <f>Penyelia!A11</f>
        <v>Metode Kerja</v>
      </c>
      <c r="B11" s="1619"/>
      <c r="C11" s="1619"/>
      <c r="D11" s="113" t="str">
        <f>Penyelia!D11</f>
        <v xml:space="preserve"> MK.012-18</v>
      </c>
      <c r="E11" s="79"/>
      <c r="F11" s="80"/>
      <c r="G11" s="80"/>
      <c r="H11" s="80"/>
      <c r="I11" s="80"/>
      <c r="J11" s="79"/>
      <c r="K11" s="79"/>
      <c r="L11" s="79"/>
      <c r="M11" s="37"/>
      <c r="N11" s="37"/>
      <c r="O11" s="37"/>
      <c r="Q11" s="50"/>
    </row>
    <row r="12" spans="1:17" ht="15" customHeight="1">
      <c r="A12" s="80"/>
      <c r="B12" s="80"/>
      <c r="C12" s="80"/>
      <c r="D12" s="79"/>
      <c r="E12" s="80"/>
      <c r="F12" s="80"/>
      <c r="G12" s="80"/>
      <c r="H12" s="80"/>
      <c r="I12" s="80"/>
      <c r="J12" s="79"/>
      <c r="K12" s="79"/>
      <c r="L12" s="79"/>
      <c r="M12" s="37"/>
      <c r="N12" s="37"/>
      <c r="O12" s="37"/>
      <c r="Q12" s="49"/>
    </row>
    <row r="13" spans="1:17" ht="14">
      <c r="A13" s="81" t="s">
        <v>8</v>
      </c>
      <c r="B13" s="81" t="s">
        <v>9</v>
      </c>
      <c r="C13" s="81"/>
      <c r="D13" s="79"/>
      <c r="E13" s="81"/>
      <c r="F13" s="81"/>
      <c r="G13" s="80"/>
      <c r="H13" s="79"/>
      <c r="I13" s="79"/>
      <c r="J13" s="79"/>
      <c r="K13" s="79"/>
      <c r="L13" s="79"/>
      <c r="M13" s="37"/>
      <c r="N13" s="37"/>
      <c r="O13" s="37"/>
    </row>
    <row r="14" spans="1:17" ht="14">
      <c r="A14" s="80"/>
      <c r="B14" s="1619" t="s">
        <v>363</v>
      </c>
      <c r="C14" s="1619"/>
      <c r="D14" s="1216" t="str">
        <f>'DB Thermohygro'!M393</f>
        <v>26.9</v>
      </c>
      <c r="E14" s="937" t="str">
        <f>'DB Thermohygro'!N396</f>
        <v xml:space="preserve"> ± </v>
      </c>
      <c r="F14" s="1217" t="str">
        <f>'DB Thermohygro'!N393</f>
        <v>0.5</v>
      </c>
      <c r="G14" s="79" t="str">
        <f>'DB Thermohygro'!O393</f>
        <v xml:space="preserve"> °C</v>
      </c>
      <c r="H14" s="79"/>
      <c r="I14" s="79"/>
      <c r="J14" s="79"/>
      <c r="K14" s="79"/>
      <c r="L14" s="79"/>
      <c r="M14" s="37"/>
      <c r="N14" s="37"/>
      <c r="O14" s="37"/>
    </row>
    <row r="15" spans="1:17" ht="14">
      <c r="A15" s="80"/>
      <c r="B15" s="1619" t="s">
        <v>125</v>
      </c>
      <c r="C15" s="1619"/>
      <c r="D15" s="1216" t="str">
        <f>'DB Thermohygro'!M394</f>
        <v>66.2</v>
      </c>
      <c r="E15" s="937" t="str">
        <f>'DB Thermohygro'!N396</f>
        <v xml:space="preserve"> ± </v>
      </c>
      <c r="F15" s="1217" t="str">
        <f>'DB Thermohygro'!N394</f>
        <v>3.1</v>
      </c>
      <c r="G15" s="79" t="str">
        <f>'DB Thermohygro'!O394</f>
        <v xml:space="preserve"> %RH</v>
      </c>
      <c r="H15" s="79"/>
      <c r="I15" s="79"/>
      <c r="J15" s="79"/>
      <c r="K15" s="79"/>
      <c r="L15" s="79"/>
      <c r="M15" s="37"/>
      <c r="N15" s="37"/>
      <c r="O15" s="37"/>
    </row>
    <row r="16" spans="1:17" ht="15.5">
      <c r="A16" s="80"/>
      <c r="B16" s="1619" t="s">
        <v>82</v>
      </c>
      <c r="C16" s="1619"/>
      <c r="D16" s="1216">
        <f>ESA!N143</f>
        <v>209.72760734768445</v>
      </c>
      <c r="E16" s="936" t="str">
        <f>IF(D16="-","",ESA!P145)</f>
        <v xml:space="preserve"> ± </v>
      </c>
      <c r="F16" s="1217">
        <f>IF(D16="-","",ESA!O143)</f>
        <v>2.5172854210807749</v>
      </c>
      <c r="G16" s="840" t="str">
        <f>IF(D16="-","",ESA!P143)</f>
        <v>Volt</v>
      </c>
      <c r="H16" s="79"/>
      <c r="I16" s="841"/>
      <c r="J16" s="79"/>
      <c r="K16" s="79"/>
      <c r="L16" s="79"/>
      <c r="M16" s="37"/>
      <c r="N16" s="72"/>
      <c r="O16" s="37"/>
    </row>
    <row r="17" spans="1:17" ht="15.75" customHeight="1">
      <c r="A17" s="80"/>
      <c r="B17" s="80"/>
      <c r="C17" s="80"/>
      <c r="D17" s="79"/>
      <c r="E17" s="80"/>
      <c r="F17" s="80"/>
      <c r="G17" s="80"/>
      <c r="H17" s="79"/>
      <c r="I17" s="79"/>
      <c r="J17" s="79"/>
      <c r="K17" s="79"/>
      <c r="L17" s="79"/>
      <c r="M17" s="37"/>
      <c r="N17" s="37"/>
      <c r="O17" s="37"/>
    </row>
    <row r="18" spans="1:17" ht="14">
      <c r="A18" s="81" t="s">
        <v>10</v>
      </c>
      <c r="B18" s="81" t="s">
        <v>96</v>
      </c>
      <c r="C18" s="81"/>
      <c r="D18" s="79"/>
      <c r="E18" s="81"/>
      <c r="F18" s="81"/>
      <c r="G18" s="81"/>
      <c r="H18" s="97"/>
      <c r="I18" s="79"/>
      <c r="J18" s="79"/>
      <c r="K18" s="79"/>
      <c r="L18" s="79"/>
      <c r="M18" s="37"/>
      <c r="O18" s="37"/>
      <c r="Q18" s="50"/>
    </row>
    <row r="19" spans="1:17" ht="14">
      <c r="A19" s="80"/>
      <c r="B19" s="1619" t="s">
        <v>11</v>
      </c>
      <c r="C19" s="1619"/>
      <c r="D19" s="80" t="str">
        <f>Penyelia!D19</f>
        <v xml:space="preserve"> Baik</v>
      </c>
      <c r="E19" s="79"/>
      <c r="F19" s="80"/>
      <c r="G19" s="80"/>
      <c r="H19" s="79"/>
      <c r="I19" s="79"/>
      <c r="J19" s="79"/>
      <c r="K19" s="79"/>
      <c r="L19" s="79"/>
      <c r="M19" s="37"/>
      <c r="N19" s="71"/>
      <c r="O19" s="37"/>
    </row>
    <row r="20" spans="1:17" ht="14">
      <c r="A20" s="80"/>
      <c r="B20" s="1619" t="s">
        <v>1</v>
      </c>
      <c r="C20" s="1619"/>
      <c r="D20" s="80" t="str">
        <f>Penyelia!D20</f>
        <v xml:space="preserve"> Baik</v>
      </c>
      <c r="E20" s="79"/>
      <c r="F20" s="80"/>
      <c r="G20" s="80"/>
      <c r="H20" s="79"/>
      <c r="I20" s="79"/>
      <c r="J20" s="79"/>
      <c r="K20" s="79"/>
      <c r="L20" s="79"/>
      <c r="M20" s="37"/>
      <c r="N20" s="71"/>
      <c r="O20" s="37"/>
    </row>
    <row r="21" spans="1:17" ht="15.75" customHeight="1">
      <c r="A21" s="81"/>
      <c r="B21" s="81"/>
      <c r="C21" s="80"/>
      <c r="D21" s="80"/>
      <c r="E21" s="80"/>
      <c r="F21" s="80"/>
      <c r="G21" s="80"/>
      <c r="H21" s="79"/>
      <c r="I21" s="79"/>
      <c r="J21" s="79"/>
      <c r="K21" s="79"/>
      <c r="L21" s="79"/>
      <c r="M21" s="37"/>
      <c r="N21" s="37"/>
      <c r="O21" s="37"/>
    </row>
    <row r="22" spans="1:17" ht="14">
      <c r="A22" s="81" t="s">
        <v>2</v>
      </c>
      <c r="B22" s="81" t="s">
        <v>97</v>
      </c>
      <c r="C22" s="80"/>
      <c r="D22" s="80"/>
      <c r="E22" s="80"/>
      <c r="F22" s="80"/>
      <c r="G22" s="80"/>
      <c r="H22" s="79"/>
      <c r="I22" s="79"/>
      <c r="J22" s="79"/>
      <c r="K22" s="79"/>
      <c r="L22" s="79"/>
      <c r="M22" s="37"/>
      <c r="N22" s="37"/>
      <c r="O22" s="37"/>
    </row>
    <row r="23" spans="1:17" s="295" customFormat="1" ht="12.75" customHeight="1">
      <c r="B23" s="1638" t="s">
        <v>12</v>
      </c>
      <c r="C23" s="1620" t="s">
        <v>3</v>
      </c>
      <c r="D23" s="1621"/>
      <c r="E23" s="1621"/>
      <c r="F23" s="1621"/>
      <c r="G23" s="1621"/>
      <c r="H23" s="1621"/>
      <c r="I23" s="1634" t="s">
        <v>68</v>
      </c>
      <c r="J23" s="1635"/>
      <c r="K23" s="1634" t="s">
        <v>13</v>
      </c>
      <c r="L23" s="1635"/>
    </row>
    <row r="24" spans="1:17" s="295" customFormat="1" ht="20.25" customHeight="1">
      <c r="B24" s="1639"/>
      <c r="C24" s="1622"/>
      <c r="D24" s="1623"/>
      <c r="E24" s="1623"/>
      <c r="F24" s="1623"/>
      <c r="G24" s="1623"/>
      <c r="H24" s="1623"/>
      <c r="I24" s="1636"/>
      <c r="J24" s="1637"/>
      <c r="K24" s="1636"/>
      <c r="L24" s="1637"/>
    </row>
    <row r="25" spans="1:17" ht="15" customHeight="1">
      <c r="B25" s="118">
        <v>1</v>
      </c>
      <c r="C25" s="1640" t="str">
        <f>Penyelia!C25</f>
        <v>Resistansi Isolasi</v>
      </c>
      <c r="D25" s="1641"/>
      <c r="E25" s="1641"/>
      <c r="F25" s="1641"/>
      <c r="G25" s="1641"/>
      <c r="H25" s="1641"/>
      <c r="I25" s="1218">
        <f>Penyelia!I25</f>
        <v>12.000000999999999</v>
      </c>
      <c r="J25" s="842" t="str">
        <f>Penyelia!J25</f>
        <v>MΩ</v>
      </c>
      <c r="K25" s="1176">
        <f>ID!L25</f>
        <v>2</v>
      </c>
      <c r="L25" s="843" t="s">
        <v>83</v>
      </c>
    </row>
    <row r="26" spans="1:17" ht="14">
      <c r="B26" s="118">
        <v>2</v>
      </c>
      <c r="C26" s="1666" t="str">
        <f>Penyelia!C26</f>
        <v>Resistansi Pembumian Protektif (kabel tidak dapat dilepas)</v>
      </c>
      <c r="D26" s="1667"/>
      <c r="E26" s="1667"/>
      <c r="F26" s="1667"/>
      <c r="G26" s="1667"/>
      <c r="H26" s="1667"/>
      <c r="I26" s="1219">
        <f>Penyelia!I26</f>
        <v>0.21987345659365568</v>
      </c>
      <c r="J26" s="844" t="str">
        <f>Penyelia!J26</f>
        <v>Ω</v>
      </c>
      <c r="K26" s="938">
        <f>ID!L26</f>
        <v>0.3</v>
      </c>
      <c r="L26" s="843" t="s">
        <v>84</v>
      </c>
    </row>
    <row r="27" spans="1:17" ht="14">
      <c r="B27" s="118">
        <v>3</v>
      </c>
      <c r="C27" s="1666" t="str">
        <f>Penyelia!C27</f>
        <v>Arus bocor peralatan untuk peralatan elektromedik kelas I</v>
      </c>
      <c r="D27" s="1667"/>
      <c r="E27" s="1667"/>
      <c r="F27" s="1667"/>
      <c r="G27" s="1667"/>
      <c r="H27" s="1667"/>
      <c r="I27" s="1218">
        <f>Penyelia!I27</f>
        <v>641.52374503132239</v>
      </c>
      <c r="J27" s="845" t="str">
        <f>Penyelia!J27</f>
        <v>µA</v>
      </c>
      <c r="K27" s="939">
        <f>ID!L27</f>
        <v>500</v>
      </c>
      <c r="L27" s="843" t="s">
        <v>72</v>
      </c>
    </row>
    <row r="28" spans="1:17" ht="14">
      <c r="B28" s="118">
        <v>4</v>
      </c>
      <c r="C28" s="1640" t="str">
        <f>Penyelia!C28</f>
        <v>Arus bocor peralatan yang diaplikasikan</v>
      </c>
      <c r="D28" s="1641"/>
      <c r="E28" s="1641"/>
      <c r="F28" s="1641"/>
      <c r="G28" s="1641"/>
      <c r="H28" s="1641"/>
      <c r="I28" s="1218">
        <f>Penyelia!I28</f>
        <v>39.685307073089774</v>
      </c>
      <c r="J28" s="845" t="str">
        <f>Penyelia!J28</f>
        <v>µA</v>
      </c>
      <c r="K28" s="939">
        <f>ID!L28</f>
        <v>50</v>
      </c>
      <c r="L28" s="843" t="s">
        <v>72</v>
      </c>
    </row>
    <row r="29" spans="1:17" ht="15.75" customHeight="1">
      <c r="C29" s="79"/>
      <c r="D29" s="79"/>
      <c r="E29" s="79"/>
      <c r="F29" s="79"/>
      <c r="G29" s="79"/>
      <c r="H29" s="102"/>
      <c r="I29" s="103"/>
      <c r="J29" s="79"/>
      <c r="K29" s="79"/>
      <c r="L29" s="79"/>
      <c r="M29" s="37"/>
      <c r="N29" s="40"/>
      <c r="O29" s="40"/>
    </row>
    <row r="30" spans="1:17" ht="15.75" customHeight="1">
      <c r="A30" s="82" t="s">
        <v>79</v>
      </c>
      <c r="B30" s="82" t="str">
        <f>Penyelia!B29</f>
        <v xml:space="preserve">Pengujian Kinerja </v>
      </c>
      <c r="C30" s="79"/>
      <c r="D30" s="79"/>
      <c r="E30" s="79"/>
      <c r="F30" s="79"/>
      <c r="G30" s="79"/>
      <c r="H30" s="102"/>
      <c r="I30" s="103"/>
      <c r="J30" s="79"/>
      <c r="K30" s="79"/>
      <c r="L30" s="79"/>
      <c r="M30" s="37"/>
      <c r="N30" s="40"/>
      <c r="O30" s="40"/>
    </row>
    <row r="31" spans="1:17" ht="5.25" customHeight="1">
      <c r="A31" s="82"/>
      <c r="B31" s="82"/>
      <c r="C31" s="79"/>
      <c r="D31" s="79"/>
      <c r="E31" s="79"/>
      <c r="F31" s="79"/>
      <c r="G31" s="79"/>
      <c r="H31" s="102"/>
      <c r="I31" s="103"/>
      <c r="J31" s="79"/>
      <c r="K31" s="79"/>
      <c r="L31" s="79"/>
      <c r="M31" s="37"/>
      <c r="N31" s="40"/>
      <c r="O31" s="40"/>
    </row>
    <row r="32" spans="1:17" ht="17.25" customHeight="1">
      <c r="B32" s="82" t="str">
        <f>Penyelia!B30</f>
        <v>a. Kalibrasi Heart Rate</v>
      </c>
      <c r="C32" s="83"/>
      <c r="D32" s="82"/>
      <c r="E32" s="83"/>
      <c r="F32" s="83"/>
      <c r="G32" s="83"/>
      <c r="H32" s="83"/>
      <c r="I32" s="83"/>
      <c r="J32" s="83"/>
      <c r="K32" s="83"/>
      <c r="L32" s="83"/>
      <c r="M32" s="126"/>
      <c r="N32" s="39"/>
      <c r="O32" s="37"/>
    </row>
    <row r="33" spans="1:27" s="295" customFormat="1" ht="9.75" customHeight="1">
      <c r="B33" s="1533" t="s">
        <v>12</v>
      </c>
      <c r="C33" s="1533" t="s">
        <v>3</v>
      </c>
      <c r="D33" s="1536" t="s">
        <v>134</v>
      </c>
      <c r="E33" s="1615" t="s">
        <v>166</v>
      </c>
      <c r="F33" s="1615" t="s">
        <v>25</v>
      </c>
      <c r="G33" s="1615" t="s">
        <v>65</v>
      </c>
      <c r="H33" s="1615" t="s">
        <v>20</v>
      </c>
      <c r="I33" s="1615"/>
      <c r="K33" s="846"/>
    </row>
    <row r="34" spans="1:27" s="295" customFormat="1" ht="9.75" customHeight="1">
      <c r="B34" s="1534"/>
      <c r="C34" s="1534"/>
      <c r="D34" s="1537"/>
      <c r="E34" s="1615"/>
      <c r="F34" s="1615"/>
      <c r="G34" s="1615"/>
      <c r="H34" s="1615"/>
      <c r="I34" s="1615"/>
    </row>
    <row r="35" spans="1:27" s="295" customFormat="1" ht="9.75" customHeight="1">
      <c r="B35" s="1535"/>
      <c r="C35" s="1535"/>
      <c r="D35" s="1538"/>
      <c r="E35" s="1615"/>
      <c r="F35" s="1615"/>
      <c r="G35" s="1536"/>
      <c r="H35" s="1615"/>
      <c r="I35" s="1615"/>
    </row>
    <row r="36" spans="1:27" ht="14.25" customHeight="1">
      <c r="B36" s="847">
        <v>1</v>
      </c>
      <c r="C36" s="1478" t="str">
        <f>ID!C35</f>
        <v>Heart Rate (BPM)</v>
      </c>
      <c r="D36" s="269">
        <f>Penyelia!D34</f>
        <v>30</v>
      </c>
      <c r="E36" s="1220">
        <f>IFERROR(Penyelia!E34,"-")</f>
        <v>28.666667824959351</v>
      </c>
      <c r="F36" s="1221">
        <f>IFERROR(Penyelia!F34,"-")</f>
        <v>1.333332175040649</v>
      </c>
      <c r="G36" s="1631" t="str">
        <f>IF(E37="-","-",Penyelia!G34)</f>
        <v>± 5 bpm</v>
      </c>
      <c r="H36" s="178" t="str">
        <f>IF(I36="-","","±")</f>
        <v>±</v>
      </c>
      <c r="I36" s="1222" t="str">
        <f>FIXED(Penyelia!I34,1)</f>
        <v>1.1</v>
      </c>
      <c r="V36" s="73"/>
      <c r="W36" s="73"/>
      <c r="X36" s="74"/>
      <c r="Y36" s="73"/>
      <c r="Z36" s="73"/>
      <c r="AA36" s="74"/>
    </row>
    <row r="37" spans="1:27" ht="14.25" customHeight="1">
      <c r="B37" s="849">
        <v>2</v>
      </c>
      <c r="C37" s="1479"/>
      <c r="D37" s="269">
        <f>Penyelia!D35</f>
        <v>60</v>
      </c>
      <c r="E37" s="1220">
        <f>IFERROR(Penyelia!E35,"-")</f>
        <v>59.833334383302848</v>
      </c>
      <c r="F37" s="1221">
        <f>IFERROR(Penyelia!F35,"-")</f>
        <v>0.16666561669715207</v>
      </c>
      <c r="G37" s="1632"/>
      <c r="H37" s="178" t="str">
        <f t="shared" ref="H37:H39" si="0">IF(I37="-","","±")</f>
        <v>±</v>
      </c>
      <c r="I37" s="1222" t="str">
        <f>FIXED(Penyelia!I35,1)</f>
        <v>0.7</v>
      </c>
      <c r="V37" s="73"/>
      <c r="W37" s="73"/>
      <c r="X37" s="74"/>
      <c r="Y37" s="73"/>
      <c r="Z37" s="73"/>
      <c r="AA37" s="74"/>
    </row>
    <row r="38" spans="1:27" ht="14.25" customHeight="1">
      <c r="B38" s="849">
        <v>3</v>
      </c>
      <c r="C38" s="1479"/>
      <c r="D38" s="269">
        <f>Penyelia!D36</f>
        <v>120</v>
      </c>
      <c r="E38" s="1220">
        <f>IFERROR(Penyelia!E36,"-")</f>
        <v>119.83333417476625</v>
      </c>
      <c r="F38" s="1221">
        <f>IFERROR(Penyelia!F36,"-")</f>
        <v>0.16666582523374984</v>
      </c>
      <c r="G38" s="1632"/>
      <c r="H38" s="178" t="str">
        <f t="shared" si="0"/>
        <v>±</v>
      </c>
      <c r="I38" s="1222" t="str">
        <f>FIXED(Penyelia!I36,1)</f>
        <v>0.9</v>
      </c>
      <c r="V38" s="73"/>
      <c r="W38" s="73"/>
      <c r="X38" s="74"/>
      <c r="Y38" s="73"/>
      <c r="Z38" s="73"/>
      <c r="AA38" s="74"/>
    </row>
    <row r="39" spans="1:27" ht="14.25" customHeight="1">
      <c r="B39" s="849">
        <v>4</v>
      </c>
      <c r="C39" s="1480"/>
      <c r="D39" s="269">
        <f>Penyelia!D37</f>
        <v>180</v>
      </c>
      <c r="E39" s="1220">
        <f>IFERROR(Penyelia!E37,"-")</f>
        <v>181.66666729319104</v>
      </c>
      <c r="F39" s="1221">
        <f>IFERROR(Penyelia!F37,"-")</f>
        <v>-1.6666672931910398</v>
      </c>
      <c r="G39" s="1633"/>
      <c r="H39" s="178" t="str">
        <f t="shared" si="0"/>
        <v>±</v>
      </c>
      <c r="I39" s="1222" t="str">
        <f>FIXED(Penyelia!I37,1)</f>
        <v>2.2</v>
      </c>
      <c r="V39" s="73"/>
      <c r="W39" s="73"/>
      <c r="X39" s="74"/>
      <c r="Y39" s="73"/>
      <c r="Z39" s="73"/>
      <c r="AA39" s="74"/>
    </row>
    <row r="40" spans="1:27" ht="6" customHeight="1">
      <c r="A40" s="195"/>
      <c r="B40" s="123"/>
      <c r="C40" s="194"/>
      <c r="D40" s="850"/>
      <c r="E40" s="850"/>
      <c r="F40" s="850"/>
      <c r="G40" s="850"/>
      <c r="H40" s="850"/>
      <c r="I40" s="174"/>
      <c r="N40" s="75"/>
      <c r="R40" s="175"/>
      <c r="S40" s="175"/>
      <c r="T40" s="175"/>
      <c r="V40" s="73"/>
      <c r="W40" s="73"/>
      <c r="X40" s="74"/>
      <c r="Y40" s="73"/>
      <c r="Z40" s="73"/>
      <c r="AA40" s="74"/>
    </row>
    <row r="41" spans="1:27" ht="17.25" customHeight="1">
      <c r="A41" s="82"/>
      <c r="B41" s="82" t="str">
        <f>Penyelia!B39</f>
        <v>b. Kalibrasi Pulse Oximetri</v>
      </c>
      <c r="C41" s="194"/>
      <c r="D41" s="850"/>
      <c r="E41" s="850"/>
      <c r="F41" s="850"/>
      <c r="G41" s="850"/>
      <c r="H41" s="850"/>
      <c r="I41" s="174"/>
      <c r="N41" s="239"/>
      <c r="R41" s="175"/>
      <c r="S41" s="175"/>
      <c r="T41" s="175"/>
      <c r="V41" s="73"/>
      <c r="W41" s="73"/>
      <c r="X41" s="74"/>
      <c r="Y41" s="73"/>
      <c r="Z41" s="73"/>
      <c r="AA41" s="74"/>
    </row>
    <row r="42" spans="1:27" s="295" customFormat="1" ht="14.25" customHeight="1">
      <c r="B42" s="1533" t="s">
        <v>12</v>
      </c>
      <c r="C42" s="1533" t="s">
        <v>3</v>
      </c>
      <c r="D42" s="1536" t="s">
        <v>134</v>
      </c>
      <c r="E42" s="1615" t="s">
        <v>166</v>
      </c>
      <c r="F42" s="1615" t="s">
        <v>25</v>
      </c>
      <c r="G42" s="1615" t="s">
        <v>65</v>
      </c>
      <c r="H42" s="1615" t="s">
        <v>20</v>
      </c>
      <c r="I42" s="1615"/>
      <c r="V42" s="296"/>
      <c r="W42" s="296"/>
      <c r="X42" s="297"/>
      <c r="Y42" s="296"/>
      <c r="Z42" s="296"/>
      <c r="AA42" s="297"/>
    </row>
    <row r="43" spans="1:27" s="295" customFormat="1" ht="14.25" customHeight="1">
      <c r="B43" s="1534"/>
      <c r="C43" s="1534"/>
      <c r="D43" s="1537"/>
      <c r="E43" s="1615"/>
      <c r="F43" s="1615"/>
      <c r="G43" s="1615"/>
      <c r="H43" s="1615"/>
      <c r="I43" s="1615"/>
      <c r="V43" s="296"/>
      <c r="W43" s="296"/>
      <c r="X43" s="297"/>
      <c r="Y43" s="296"/>
      <c r="Z43" s="296"/>
      <c r="AA43" s="297"/>
    </row>
    <row r="44" spans="1:27" s="295" customFormat="1" ht="3.75" customHeight="1">
      <c r="B44" s="1535"/>
      <c r="C44" s="1535"/>
      <c r="D44" s="1538"/>
      <c r="E44" s="1615"/>
      <c r="F44" s="1615"/>
      <c r="G44" s="1536"/>
      <c r="H44" s="1615"/>
      <c r="I44" s="1615"/>
      <c r="V44" s="296"/>
      <c r="W44" s="296"/>
      <c r="X44" s="297"/>
      <c r="Y44" s="296"/>
      <c r="Z44" s="296"/>
      <c r="AA44" s="297"/>
    </row>
    <row r="45" spans="1:27" ht="14.25" customHeight="1">
      <c r="B45" s="847">
        <v>1</v>
      </c>
      <c r="C45" s="1478" t="str">
        <f>Penyelia!C43</f>
        <v>SPO2 (%)</v>
      </c>
      <c r="D45" s="851">
        <f>Penyelia!D43</f>
        <v>90</v>
      </c>
      <c r="E45" s="1220">
        <f>IFERROR(Penyelia!E43,"-")</f>
        <v>90.000000999999997</v>
      </c>
      <c r="F45" s="1221">
        <f>IFERROR(Penyelia!F43,"-")</f>
        <v>-9.9999999747524271E-7</v>
      </c>
      <c r="G45" s="1668" t="str">
        <f>IF(E46="-","-",Penyelia!G43)</f>
        <v>± 1% O2</v>
      </c>
      <c r="H45" s="852" t="str">
        <f>Penyelia!H43</f>
        <v>±</v>
      </c>
      <c r="I45" s="1224" t="str">
        <f>Penyelia!I43</f>
        <v>0.6</v>
      </c>
      <c r="J45" s="174"/>
      <c r="U45" s="76"/>
      <c r="V45" s="73"/>
      <c r="W45" s="73"/>
      <c r="X45" s="74"/>
      <c r="Y45" s="73"/>
      <c r="Z45" s="73"/>
      <c r="AA45" s="74"/>
    </row>
    <row r="46" spans="1:27" ht="15" customHeight="1">
      <c r="B46" s="849">
        <v>2</v>
      </c>
      <c r="C46" s="1479"/>
      <c r="D46" s="851">
        <f>Penyelia!D44</f>
        <v>95</v>
      </c>
      <c r="E46" s="1223">
        <f>Penyelia!E44</f>
        <v>95.000000999999997</v>
      </c>
      <c r="F46" s="1221">
        <f>IFERROR(Penyelia!F44,"-")</f>
        <v>-9.9999999747524271E-7</v>
      </c>
      <c r="G46" s="1668"/>
      <c r="H46" s="852" t="str">
        <f>Penyelia!H44</f>
        <v>±</v>
      </c>
      <c r="I46" s="1224" t="str">
        <f>Penyelia!I44</f>
        <v>0.6</v>
      </c>
      <c r="J46" s="174"/>
      <c r="U46" s="76"/>
      <c r="V46" s="73"/>
      <c r="W46" s="73"/>
      <c r="X46" s="74"/>
      <c r="Y46" s="73"/>
      <c r="Z46" s="73"/>
      <c r="AA46" s="74"/>
    </row>
    <row r="47" spans="1:27" ht="15" customHeight="1">
      <c r="B47" s="849">
        <v>3</v>
      </c>
      <c r="C47" s="1479"/>
      <c r="D47" s="851">
        <f>Penyelia!D45</f>
        <v>98</v>
      </c>
      <c r="E47" s="1223">
        <f>Penyelia!E45</f>
        <v>98.000000999999997</v>
      </c>
      <c r="F47" s="1221">
        <f>IFERROR(Penyelia!F45,"-")</f>
        <v>-9.9999999747524271E-7</v>
      </c>
      <c r="G47" s="1668"/>
      <c r="H47" s="852" t="str">
        <f>Penyelia!H45</f>
        <v>±</v>
      </c>
      <c r="I47" s="1224" t="str">
        <f>Penyelia!I45</f>
        <v>0.6</v>
      </c>
      <c r="U47" s="76"/>
      <c r="V47" s="73"/>
      <c r="W47" s="73"/>
      <c r="X47" s="74"/>
      <c r="Y47" s="73"/>
      <c r="Z47" s="73"/>
      <c r="AA47" s="74"/>
    </row>
    <row r="48" spans="1:27" ht="12.75" customHeight="1">
      <c r="B48" s="847">
        <v>4</v>
      </c>
      <c r="C48" s="1479"/>
      <c r="D48" s="851">
        <f>Penyelia!D46</f>
        <v>99</v>
      </c>
      <c r="E48" s="1223">
        <f>Penyelia!E46</f>
        <v>99</v>
      </c>
      <c r="F48" s="1221">
        <f>IFERROR(Penyelia!F46,"-")</f>
        <v>0</v>
      </c>
      <c r="G48" s="1668"/>
      <c r="H48" s="852" t="str">
        <f>Penyelia!H46</f>
        <v>±</v>
      </c>
      <c r="I48" s="1224" t="str">
        <f>Penyelia!I46</f>
        <v>0.6</v>
      </c>
      <c r="U48" s="76"/>
      <c r="V48" s="73"/>
      <c r="W48" s="73"/>
      <c r="X48" s="74"/>
      <c r="Y48" s="73"/>
      <c r="Z48" s="73"/>
      <c r="AA48" s="74"/>
    </row>
    <row r="49" spans="1:28" ht="12.75" customHeight="1">
      <c r="B49" s="849">
        <v>5</v>
      </c>
      <c r="C49" s="1480"/>
      <c r="D49" s="851">
        <f>Penyelia!D47</f>
        <v>100</v>
      </c>
      <c r="E49" s="1223">
        <f>Penyelia!E47</f>
        <v>100.000001</v>
      </c>
      <c r="F49" s="1221">
        <f>IFERROR(Penyelia!F47,"-")</f>
        <v>-9.9999999747524271E-7</v>
      </c>
      <c r="G49" s="1668"/>
      <c r="H49" s="852" t="str">
        <f>Penyelia!H47</f>
        <v>±</v>
      </c>
      <c r="I49" s="1224" t="str">
        <f>Penyelia!I47</f>
        <v>0.6</v>
      </c>
      <c r="U49" s="76"/>
      <c r="V49" s="73"/>
      <c r="W49" s="73"/>
      <c r="X49" s="74"/>
      <c r="Y49" s="73"/>
      <c r="Z49" s="73"/>
      <c r="AA49" s="74"/>
    </row>
    <row r="50" spans="1:28" s="3" customFormat="1" ht="6" customHeight="1">
      <c r="A50" s="79"/>
      <c r="B50" s="79"/>
      <c r="C50" s="79"/>
      <c r="D50" s="850"/>
      <c r="E50" s="850"/>
      <c r="F50" s="850"/>
      <c r="G50" s="850"/>
      <c r="H50" s="850"/>
      <c r="I50" s="80"/>
      <c r="J50" s="174"/>
      <c r="M50" s="4"/>
      <c r="O50" s="4"/>
      <c r="P50" s="4"/>
      <c r="Q50" s="74"/>
      <c r="R50" s="73"/>
      <c r="S50" s="73"/>
      <c r="T50" s="74"/>
      <c r="V50" s="73"/>
      <c r="W50" s="73"/>
      <c r="X50" s="74"/>
      <c r="Y50" s="73"/>
      <c r="Z50" s="73"/>
      <c r="AA50" s="74"/>
    </row>
    <row r="51" spans="1:28" s="3" customFormat="1" ht="17.25" customHeight="1">
      <c r="A51" s="82"/>
      <c r="B51" s="82" t="str">
        <f>Penyelia!B49</f>
        <v>c. Kalibrasi NIBP (Non Invasive Blood Pressure)</v>
      </c>
      <c r="C51" s="83"/>
      <c r="D51" s="850"/>
      <c r="E51" s="850"/>
      <c r="F51" s="850"/>
      <c r="G51" s="850"/>
      <c r="H51" s="850"/>
      <c r="I51" s="80"/>
      <c r="J51" s="80"/>
      <c r="M51" s="4"/>
      <c r="N51" s="75"/>
      <c r="O51" s="4"/>
      <c r="P51" s="4"/>
      <c r="T51" s="73"/>
      <c r="U51" s="73"/>
      <c r="V51" s="74"/>
      <c r="W51" s="73"/>
      <c r="X51" s="73"/>
      <c r="Y51" s="74"/>
    </row>
    <row r="52" spans="1:28" s="295" customFormat="1" ht="12.75" customHeight="1">
      <c r="B52" s="1533" t="s">
        <v>12</v>
      </c>
      <c r="C52" s="1536" t="s">
        <v>145</v>
      </c>
      <c r="D52" s="1536" t="s">
        <v>134</v>
      </c>
      <c r="E52" s="1615" t="s">
        <v>166</v>
      </c>
      <c r="F52" s="1615" t="s">
        <v>25</v>
      </c>
      <c r="G52" s="1615" t="s">
        <v>65</v>
      </c>
      <c r="H52" s="1615" t="s">
        <v>20</v>
      </c>
      <c r="I52" s="1615"/>
      <c r="J52" s="853"/>
      <c r="K52" s="298"/>
      <c r="U52" s="296"/>
      <c r="V52" s="296"/>
      <c r="W52" s="297"/>
      <c r="X52" s="296"/>
      <c r="Y52" s="296"/>
      <c r="Z52" s="297"/>
    </row>
    <row r="53" spans="1:28" s="295" customFormat="1" ht="8.25" customHeight="1">
      <c r="B53" s="1534"/>
      <c r="C53" s="1537"/>
      <c r="D53" s="1537"/>
      <c r="E53" s="1615"/>
      <c r="F53" s="1615"/>
      <c r="G53" s="1615"/>
      <c r="H53" s="1615"/>
      <c r="I53" s="1615"/>
      <c r="J53" s="853"/>
      <c r="K53" s="298"/>
      <c r="U53" s="296"/>
      <c r="V53" s="296"/>
      <c r="W53" s="297"/>
      <c r="X53" s="296"/>
      <c r="Y53" s="296"/>
      <c r="Z53" s="297"/>
    </row>
    <row r="54" spans="1:28" s="295" customFormat="1" ht="9.75" customHeight="1">
      <c r="B54" s="1534"/>
      <c r="C54" s="1537"/>
      <c r="D54" s="1537"/>
      <c r="E54" s="1615"/>
      <c r="F54" s="1536"/>
      <c r="G54" s="1536"/>
      <c r="H54" s="1536"/>
      <c r="I54" s="1536"/>
      <c r="J54" s="853"/>
      <c r="K54" s="298"/>
      <c r="U54" s="296"/>
      <c r="V54" s="296"/>
      <c r="W54" s="297"/>
      <c r="X54" s="296"/>
      <c r="Y54" s="296"/>
      <c r="Z54" s="297"/>
    </row>
    <row r="55" spans="1:28" ht="14.25" customHeight="1">
      <c r="B55" s="1616">
        <v>1</v>
      </c>
      <c r="C55" s="196" t="s">
        <v>146</v>
      </c>
      <c r="D55" s="197">
        <f>Penyelia!D53</f>
        <v>120</v>
      </c>
      <c r="E55" s="1225">
        <f>IFERROR(Penyelia!E53,"-")</f>
        <v>119.85257967705802</v>
      </c>
      <c r="F55" s="1226">
        <f>IFERROR(Penyelia!F53,"-")</f>
        <v>0.14742032294198282</v>
      </c>
      <c r="G55" s="1669" t="str">
        <f>IF(E55="-","-","± 5 mmHg")</f>
        <v>± 5 mmHg</v>
      </c>
      <c r="H55" s="852" t="str">
        <f>Penyelia!H53</f>
        <v>±</v>
      </c>
      <c r="I55" s="1224" t="str">
        <f>Penyelia!I53</f>
        <v>1.6</v>
      </c>
      <c r="J55" s="79"/>
      <c r="K55" s="75"/>
      <c r="L55" s="76"/>
      <c r="U55" s="73"/>
      <c r="V55" s="73"/>
      <c r="W55" s="74"/>
      <c r="X55" s="73"/>
      <c r="Y55" s="73"/>
      <c r="Z55" s="74"/>
    </row>
    <row r="56" spans="1:28" ht="14.25" customHeight="1">
      <c r="B56" s="1616"/>
      <c r="C56" s="196" t="s">
        <v>147</v>
      </c>
      <c r="D56" s="197">
        <f>Penyelia!D54</f>
        <v>80</v>
      </c>
      <c r="E56" s="1225">
        <f>IFERROR(Penyelia!E54,"-")</f>
        <v>79.56209019455423</v>
      </c>
      <c r="F56" s="1226">
        <f>IFERROR(Penyelia!F54,"-")</f>
        <v>0.43790980544576996</v>
      </c>
      <c r="G56" s="1670"/>
      <c r="H56" s="852" t="str">
        <f>Penyelia!H54</f>
        <v>±</v>
      </c>
      <c r="I56" s="1224" t="str">
        <f>Penyelia!I54</f>
        <v>1.7</v>
      </c>
      <c r="J56" s="79"/>
      <c r="K56" s="75"/>
      <c r="L56" s="76"/>
      <c r="U56" s="73"/>
      <c r="V56" s="73"/>
      <c r="W56" s="74"/>
      <c r="X56" s="73"/>
      <c r="Y56" s="73"/>
      <c r="Z56" s="74"/>
    </row>
    <row r="57" spans="1:28" ht="14.25" customHeight="1">
      <c r="B57" s="1616">
        <v>2</v>
      </c>
      <c r="C57" s="196" t="s">
        <v>146</v>
      </c>
      <c r="D57" s="197">
        <f>Penyelia!D55</f>
        <v>150</v>
      </c>
      <c r="E57" s="1225">
        <f>IFERROR(Penyelia!E55,"-")</f>
        <v>149.48773309807319</v>
      </c>
      <c r="F57" s="1226">
        <f>IFERROR(Penyelia!F55,"-")</f>
        <v>0.51226690192680735</v>
      </c>
      <c r="G57" s="1670"/>
      <c r="H57" s="852" t="str">
        <f>Penyelia!H55</f>
        <v>±</v>
      </c>
      <c r="I57" s="1224" t="str">
        <f>Penyelia!I55</f>
        <v>1.8</v>
      </c>
      <c r="J57" s="79"/>
      <c r="K57" s="75"/>
      <c r="L57" s="76"/>
      <c r="U57" s="73"/>
      <c r="V57" s="73"/>
      <c r="W57" s="74"/>
      <c r="X57" s="73"/>
      <c r="Y57" s="73"/>
      <c r="Z57" s="74"/>
    </row>
    <row r="58" spans="1:28" ht="15" customHeight="1">
      <c r="B58" s="1616"/>
      <c r="C58" s="196" t="s">
        <v>147</v>
      </c>
      <c r="D58" s="197">
        <f>Penyelia!D56</f>
        <v>100</v>
      </c>
      <c r="E58" s="1225">
        <f>IFERROR(Penyelia!E56,"-")</f>
        <v>99.540845309845366</v>
      </c>
      <c r="F58" s="1226">
        <f>IFERROR(Penyelia!F56,"-")</f>
        <v>0.45915469015463373</v>
      </c>
      <c r="G58" s="1670"/>
      <c r="H58" s="852" t="str">
        <f>Penyelia!H56</f>
        <v>±</v>
      </c>
      <c r="I58" s="1224" t="str">
        <f>Penyelia!I56</f>
        <v>1.7</v>
      </c>
      <c r="J58" s="79"/>
      <c r="K58" s="75"/>
      <c r="L58" s="76"/>
      <c r="U58" s="73"/>
      <c r="V58" s="73"/>
      <c r="W58" s="74"/>
      <c r="X58" s="73"/>
      <c r="Y58" s="73"/>
      <c r="Z58" s="74"/>
    </row>
    <row r="59" spans="1:28" ht="14">
      <c r="B59" s="1616">
        <v>3</v>
      </c>
      <c r="C59" s="196" t="s">
        <v>146</v>
      </c>
      <c r="D59" s="197">
        <f>Penyelia!D57</f>
        <v>200</v>
      </c>
      <c r="E59" s="1225">
        <f>IFERROR(Penyelia!E57,"-")</f>
        <v>199.43462088630102</v>
      </c>
      <c r="F59" s="1226">
        <f>IFERROR(Penyelia!F57,"-")</f>
        <v>0.56537911369898097</v>
      </c>
      <c r="G59" s="1670"/>
      <c r="H59" s="852" t="str">
        <f>Penyelia!H57</f>
        <v>±</v>
      </c>
      <c r="I59" s="1224" t="str">
        <f>Penyelia!I57</f>
        <v>1.9</v>
      </c>
      <c r="J59" s="79"/>
      <c r="K59" s="75"/>
      <c r="L59" s="76"/>
      <c r="U59" s="73"/>
      <c r="V59" s="73"/>
      <c r="W59" s="74"/>
      <c r="X59" s="73"/>
      <c r="Y59" s="73"/>
      <c r="Z59" s="74"/>
    </row>
    <row r="60" spans="1:28" ht="14">
      <c r="B60" s="1616"/>
      <c r="C60" s="196" t="s">
        <v>147</v>
      </c>
      <c r="D60" s="197">
        <f>Penyelia!D58</f>
        <v>150</v>
      </c>
      <c r="E60" s="1225">
        <f>IFERROR(Penyelia!E58,"-")</f>
        <v>149.48773309807319</v>
      </c>
      <c r="F60" s="1226">
        <f>IFERROR(Penyelia!F58,"-")</f>
        <v>0.51226690192680735</v>
      </c>
      <c r="G60" s="1670"/>
      <c r="H60" s="852" t="str">
        <f>Penyelia!H58</f>
        <v>±</v>
      </c>
      <c r="I60" s="1224" t="str">
        <f>Penyelia!I58</f>
        <v>1.8</v>
      </c>
      <c r="J60" s="79"/>
      <c r="K60" s="75"/>
      <c r="L60" s="76"/>
      <c r="U60" s="73"/>
      <c r="V60" s="73"/>
      <c r="W60" s="74"/>
      <c r="X60" s="73"/>
      <c r="Y60" s="73"/>
      <c r="Z60" s="74"/>
    </row>
    <row r="61" spans="1:28" ht="14">
      <c r="B61" s="1616">
        <v>4</v>
      </c>
      <c r="C61" s="196" t="s">
        <v>146</v>
      </c>
      <c r="D61" s="197">
        <f>Penyelia!D59</f>
        <v>80</v>
      </c>
      <c r="E61" s="1225">
        <f>IFERROR(Penyelia!E59,"-")</f>
        <v>80.561027950318788</v>
      </c>
      <c r="F61" s="1226">
        <f>IFERROR(Penyelia!F59,"-")</f>
        <v>-0.56102795031878827</v>
      </c>
      <c r="G61" s="1670"/>
      <c r="H61" s="852" t="str">
        <f>Penyelia!H59</f>
        <v>±</v>
      </c>
      <c r="I61" s="1224" t="str">
        <f>Penyelia!I59</f>
        <v>2.9</v>
      </c>
      <c r="J61" s="79"/>
      <c r="K61" s="75"/>
      <c r="L61" s="76"/>
      <c r="U61" s="73"/>
      <c r="V61" s="73"/>
      <c r="W61" s="74"/>
      <c r="X61" s="73"/>
      <c r="Y61" s="73"/>
      <c r="Z61" s="74"/>
    </row>
    <row r="62" spans="1:28" ht="14">
      <c r="B62" s="1616"/>
      <c r="C62" s="196" t="s">
        <v>147</v>
      </c>
      <c r="D62" s="197">
        <f>Penyelia!D60</f>
        <v>50</v>
      </c>
      <c r="E62" s="1225">
        <f>IFERROR(Penyelia!E60,"-")</f>
        <v>52.590770788911193</v>
      </c>
      <c r="F62" s="1226">
        <f>IFERROR(Penyelia!F60,"-")</f>
        <v>-2.5907707889111933</v>
      </c>
      <c r="G62" s="1671"/>
      <c r="H62" s="852" t="str">
        <f>Penyelia!H60</f>
        <v>±</v>
      </c>
      <c r="I62" s="1224" t="str">
        <f>Penyelia!I60</f>
        <v>1.6</v>
      </c>
      <c r="J62" s="79"/>
      <c r="K62" s="75"/>
      <c r="L62" s="76"/>
      <c r="U62" s="73"/>
      <c r="V62" s="73"/>
      <c r="W62" s="74"/>
      <c r="X62" s="73"/>
      <c r="Y62" s="73"/>
      <c r="Z62" s="74"/>
    </row>
    <row r="63" spans="1:28" ht="6" customHeight="1">
      <c r="B63" s="241"/>
      <c r="C63" s="198"/>
      <c r="D63" s="854"/>
      <c r="E63" s="855"/>
      <c r="F63" s="855"/>
      <c r="G63" s="856"/>
      <c r="H63" s="85"/>
      <c r="I63" s="242"/>
      <c r="J63" s="79"/>
      <c r="K63" s="75"/>
      <c r="L63" s="76"/>
      <c r="U63" s="73"/>
      <c r="V63" s="73"/>
      <c r="W63" s="74"/>
      <c r="X63" s="73"/>
      <c r="Y63" s="73"/>
      <c r="Z63" s="74"/>
    </row>
    <row r="64" spans="1:28" ht="17.25" customHeight="1">
      <c r="A64" s="82"/>
      <c r="B64" s="82" t="str">
        <f>Penyelia!B68</f>
        <v>d. Kalibrasi Respirasi</v>
      </c>
      <c r="C64" s="83"/>
      <c r="D64" s="86"/>
      <c r="E64" s="189"/>
      <c r="F64" s="190"/>
      <c r="G64" s="191"/>
      <c r="H64" s="122"/>
      <c r="I64" s="174"/>
      <c r="J64" s="79"/>
      <c r="K64" s="192"/>
      <c r="L64" s="192"/>
      <c r="M64" s="75"/>
      <c r="N64" s="76"/>
      <c r="P64" s="75"/>
      <c r="S64" s="77"/>
      <c r="T64" s="78"/>
      <c r="W64" s="73"/>
      <c r="X64" s="73"/>
      <c r="Y64" s="74"/>
      <c r="Z64" s="73"/>
      <c r="AA64" s="73"/>
      <c r="AB64" s="74"/>
    </row>
    <row r="65" spans="1:28" s="295" customFormat="1" ht="9.75" customHeight="1">
      <c r="B65" s="1533" t="s">
        <v>12</v>
      </c>
      <c r="C65" s="1533" t="s">
        <v>3</v>
      </c>
      <c r="D65" s="1536" t="s">
        <v>134</v>
      </c>
      <c r="E65" s="1615" t="s">
        <v>166</v>
      </c>
      <c r="F65" s="1615" t="s">
        <v>25</v>
      </c>
      <c r="G65" s="1615" t="s">
        <v>65</v>
      </c>
      <c r="H65" s="1615" t="s">
        <v>20</v>
      </c>
      <c r="I65" s="1615"/>
      <c r="J65" s="853"/>
      <c r="K65" s="298"/>
      <c r="U65" s="296"/>
      <c r="V65" s="296"/>
      <c r="W65" s="297"/>
      <c r="X65" s="296"/>
      <c r="Y65" s="296"/>
      <c r="Z65" s="297"/>
    </row>
    <row r="66" spans="1:28" s="295" customFormat="1" ht="9.75" customHeight="1">
      <c r="B66" s="1534"/>
      <c r="C66" s="1534"/>
      <c r="D66" s="1537"/>
      <c r="E66" s="1615"/>
      <c r="F66" s="1615"/>
      <c r="G66" s="1615"/>
      <c r="H66" s="1615"/>
      <c r="I66" s="1615"/>
      <c r="J66" s="853"/>
      <c r="K66" s="298"/>
      <c r="U66" s="296"/>
      <c r="V66" s="296"/>
      <c r="W66" s="297"/>
      <c r="X66" s="296"/>
      <c r="Y66" s="296"/>
      <c r="Z66" s="297"/>
    </row>
    <row r="67" spans="1:28" s="295" customFormat="1" ht="9.75" customHeight="1">
      <c r="B67" s="1535"/>
      <c r="C67" s="1535"/>
      <c r="D67" s="1538"/>
      <c r="E67" s="1615"/>
      <c r="F67" s="1536"/>
      <c r="G67" s="1536"/>
      <c r="H67" s="1536"/>
      <c r="I67" s="1536"/>
      <c r="J67" s="853"/>
      <c r="K67" s="298"/>
      <c r="U67" s="296"/>
      <c r="V67" s="296"/>
      <c r="W67" s="297"/>
      <c r="X67" s="296"/>
      <c r="Y67" s="296"/>
      <c r="Z67" s="297"/>
    </row>
    <row r="68" spans="1:28" ht="14">
      <c r="B68" s="847">
        <v>1</v>
      </c>
      <c r="C68" s="1478" t="s">
        <v>365</v>
      </c>
      <c r="D68" s="851">
        <f>Penyelia!D72</f>
        <v>20</v>
      </c>
      <c r="E68" s="1220">
        <f>IFERROR(Penyelia!E72,"-")</f>
        <v>19.333334524065041</v>
      </c>
      <c r="F68" s="1227">
        <f>IFERROR(Penyelia!F72,"-")</f>
        <v>0.66666547593495906</v>
      </c>
      <c r="G68" s="1631" t="str">
        <f>IF(E68="-","-","±  5 BrPM")</f>
        <v>±  5 BrPM</v>
      </c>
      <c r="H68" s="852" t="str">
        <f>IF(I68="-","","±")</f>
        <v>±</v>
      </c>
      <c r="I68" s="1224" t="str">
        <f>IF(E68="-","-",Penyelia!I72)</f>
        <v>0.7</v>
      </c>
      <c r="J68" s="79"/>
      <c r="K68" s="75"/>
      <c r="L68" s="76"/>
      <c r="U68" s="73"/>
      <c r="V68" s="73"/>
      <c r="W68" s="74"/>
      <c r="X68" s="73"/>
      <c r="Y68" s="73"/>
      <c r="Z68" s="74"/>
    </row>
    <row r="69" spans="1:28" ht="14">
      <c r="B69" s="849">
        <v>2</v>
      </c>
      <c r="C69" s="1479"/>
      <c r="D69" s="851">
        <f>Penyelia!D73</f>
        <v>30</v>
      </c>
      <c r="E69" s="1220">
        <f>IFERROR(Penyelia!E73,"-")</f>
        <v>30.000001153658538</v>
      </c>
      <c r="F69" s="1227">
        <f>IFERROR(Penyelia!F73,"-")</f>
        <v>-1.1536585375893083E-6</v>
      </c>
      <c r="G69" s="1632"/>
      <c r="H69" s="852" t="str">
        <f t="shared" ref="H69:H71" si="1">IF(I69="-","","±")</f>
        <v>±</v>
      </c>
      <c r="I69" s="1224" t="str">
        <f>IF(E69="-","-",Penyelia!I73)</f>
        <v>0.6</v>
      </c>
      <c r="J69" s="79"/>
      <c r="L69" s="76"/>
      <c r="U69" s="73"/>
      <c r="V69" s="73"/>
      <c r="W69" s="74"/>
      <c r="X69" s="73"/>
      <c r="Y69" s="73"/>
      <c r="Z69" s="74"/>
    </row>
    <row r="70" spans="1:28" ht="14">
      <c r="B70" s="849">
        <v>3</v>
      </c>
      <c r="C70" s="1479"/>
      <c r="D70" s="851">
        <f>Penyelia!D74</f>
        <v>40</v>
      </c>
      <c r="E70" s="1220">
        <f>IFERROR(Penyelia!E74,"-")</f>
        <v>41.000001115426826</v>
      </c>
      <c r="F70" s="1227">
        <f>IFERROR(Penyelia!F74,"-")</f>
        <v>-1.0000011154268265</v>
      </c>
      <c r="G70" s="1632"/>
      <c r="H70" s="852" t="str">
        <f t="shared" si="1"/>
        <v>±</v>
      </c>
      <c r="I70" s="1224" t="str">
        <f>IF(E70="-","-",Penyelia!I74)</f>
        <v>1.2</v>
      </c>
      <c r="J70" s="79"/>
      <c r="K70" s="75"/>
      <c r="L70" s="76"/>
      <c r="U70" s="73"/>
      <c r="V70" s="73"/>
      <c r="W70" s="74"/>
      <c r="X70" s="73"/>
      <c r="Y70" s="73"/>
      <c r="Z70" s="74"/>
    </row>
    <row r="71" spans="1:28" ht="14">
      <c r="B71" s="849">
        <v>4</v>
      </c>
      <c r="C71" s="1480"/>
      <c r="D71" s="851">
        <f>Penyelia!D75</f>
        <v>60</v>
      </c>
      <c r="E71" s="1220">
        <f>IFERROR(Penyelia!E75,"-")</f>
        <v>60.000001049390242</v>
      </c>
      <c r="F71" s="1227">
        <f>IFERROR(Penyelia!F75,"-")</f>
        <v>-1.0493902422581414E-6</v>
      </c>
      <c r="G71" s="1633"/>
      <c r="H71" s="852" t="str">
        <f t="shared" si="1"/>
        <v>±</v>
      </c>
      <c r="I71" s="1224" t="str">
        <f>IF(E71="-","-",Penyelia!I75)</f>
        <v>0.6</v>
      </c>
      <c r="J71" s="79"/>
      <c r="K71" s="75"/>
      <c r="L71" s="76"/>
      <c r="U71" s="73"/>
      <c r="V71" s="73"/>
      <c r="W71" s="74"/>
      <c r="X71" s="73"/>
      <c r="Y71" s="73"/>
      <c r="Z71" s="74"/>
    </row>
    <row r="72" spans="1:28" ht="14">
      <c r="B72" s="204"/>
      <c r="C72" s="84"/>
      <c r="D72" s="573"/>
      <c r="E72" s="86"/>
      <c r="F72" s="287"/>
      <c r="G72" s="574"/>
      <c r="H72" s="85"/>
      <c r="I72" s="242"/>
      <c r="J72" s="79"/>
      <c r="K72" s="75"/>
      <c r="L72" s="76"/>
      <c r="U72" s="73"/>
      <c r="V72" s="73"/>
      <c r="W72" s="74"/>
      <c r="X72" s="73"/>
      <c r="Y72" s="73"/>
      <c r="Z72" s="74"/>
    </row>
    <row r="73" spans="1:28" ht="14">
      <c r="B73" s="204"/>
      <c r="C73" s="84"/>
      <c r="D73" s="573"/>
      <c r="E73" s="86"/>
      <c r="F73" s="287"/>
      <c r="G73" s="574"/>
      <c r="H73" s="85"/>
      <c r="I73" s="242"/>
      <c r="J73" s="79"/>
      <c r="K73" s="75"/>
      <c r="L73" s="76"/>
      <c r="U73" s="73"/>
      <c r="V73" s="73"/>
      <c r="W73" s="74"/>
      <c r="X73" s="73"/>
      <c r="Y73" s="73"/>
      <c r="Z73" s="74"/>
    </row>
    <row r="74" spans="1:28" ht="14">
      <c r="B74" s="204"/>
      <c r="C74" s="84"/>
      <c r="D74" s="573"/>
      <c r="E74" s="86"/>
      <c r="F74" s="287"/>
      <c r="G74" s="574"/>
      <c r="H74" s="85"/>
      <c r="I74" s="242"/>
      <c r="J74" s="79"/>
      <c r="K74" s="75"/>
      <c r="L74" s="76"/>
      <c r="U74" s="73"/>
      <c r="V74" s="73"/>
      <c r="W74" s="74"/>
      <c r="X74" s="73"/>
      <c r="Y74" s="73"/>
      <c r="Z74" s="74"/>
    </row>
    <row r="75" spans="1:28" ht="14">
      <c r="B75" s="204"/>
      <c r="C75" s="84"/>
      <c r="D75" s="573"/>
      <c r="E75" s="86"/>
      <c r="F75" s="287"/>
      <c r="G75" s="574"/>
      <c r="H75" s="85"/>
      <c r="I75" s="242"/>
      <c r="J75" s="79"/>
      <c r="K75" s="75"/>
      <c r="L75" s="76"/>
      <c r="U75" s="73"/>
      <c r="V75" s="73"/>
      <c r="W75" s="74"/>
      <c r="X75" s="73"/>
      <c r="Y75" s="73"/>
      <c r="Z75" s="74"/>
    </row>
    <row r="76" spans="1:28" ht="14">
      <c r="B76" s="204"/>
      <c r="C76" s="84"/>
      <c r="D76" s="573"/>
      <c r="E76" s="86"/>
      <c r="F76" s="287"/>
      <c r="G76" s="574"/>
      <c r="H76" s="85"/>
      <c r="I76" s="242"/>
      <c r="J76" s="79"/>
      <c r="K76" s="75"/>
      <c r="L76" s="76"/>
      <c r="U76" s="73"/>
      <c r="V76" s="73"/>
      <c r="W76" s="74"/>
      <c r="X76" s="73"/>
      <c r="Y76" s="73"/>
      <c r="Z76" s="74"/>
    </row>
    <row r="77" spans="1:28" ht="6.75" customHeight="1">
      <c r="B77" s="204"/>
      <c r="C77" s="84"/>
      <c r="D77" s="573"/>
      <c r="E77" s="86"/>
      <c r="F77" s="287"/>
      <c r="G77" s="574"/>
      <c r="H77" s="85"/>
      <c r="I77" s="242"/>
      <c r="J77" s="79"/>
      <c r="K77" s="75"/>
      <c r="L77" s="76"/>
      <c r="U77" s="73"/>
      <c r="V77" s="73"/>
      <c r="W77" s="74"/>
      <c r="X77" s="73"/>
      <c r="Y77" s="73"/>
      <c r="Z77" s="74"/>
    </row>
    <row r="78" spans="1:28" ht="14">
      <c r="B78" s="204"/>
      <c r="C78" s="84"/>
      <c r="D78" s="573"/>
      <c r="E78" s="86"/>
      <c r="F78" s="287"/>
      <c r="G78" s="574"/>
      <c r="H78" s="85"/>
      <c r="I78" s="242"/>
      <c r="J78" s="79"/>
      <c r="K78" s="75"/>
      <c r="L78" s="243" t="s">
        <v>209</v>
      </c>
      <c r="U78" s="73"/>
      <c r="V78" s="73"/>
      <c r="W78" s="74"/>
      <c r="X78" s="73"/>
      <c r="Y78" s="73"/>
      <c r="Z78" s="74"/>
    </row>
    <row r="79" spans="1:28" ht="15.75" customHeight="1">
      <c r="A79" s="84"/>
      <c r="B79" s="84"/>
      <c r="C79" s="194"/>
      <c r="D79" s="86"/>
      <c r="E79" s="189"/>
      <c r="F79" s="190"/>
      <c r="G79" s="191"/>
      <c r="H79" s="122"/>
      <c r="I79" s="174"/>
      <c r="J79" s="79"/>
      <c r="K79" s="192"/>
      <c r="L79" s="192"/>
      <c r="M79" s="75"/>
      <c r="N79" s="76"/>
      <c r="P79" s="75"/>
      <c r="Q79" s="76"/>
      <c r="R79" s="77"/>
      <c r="S79" s="77"/>
      <c r="T79" s="78"/>
      <c r="W79" s="73"/>
      <c r="X79" s="73"/>
      <c r="Y79" s="74"/>
      <c r="Z79" s="73"/>
      <c r="AA79" s="73"/>
      <c r="AB79" s="74"/>
    </row>
    <row r="80" spans="1:28" ht="15.75" customHeight="1">
      <c r="A80" s="857"/>
      <c r="B80" s="857"/>
      <c r="C80" s="858"/>
      <c r="D80" s="859"/>
      <c r="E80" s="860"/>
      <c r="F80" s="283"/>
      <c r="G80" s="861"/>
      <c r="H80" s="862"/>
      <c r="I80" s="863"/>
      <c r="J80" s="864"/>
      <c r="K80" s="865"/>
      <c r="L80" s="865"/>
      <c r="M80" s="75"/>
      <c r="N80" s="76"/>
      <c r="P80" s="75"/>
      <c r="Q80" s="76"/>
      <c r="R80" s="77"/>
      <c r="S80" s="77"/>
      <c r="T80" s="78"/>
      <c r="W80" s="73"/>
      <c r="X80" s="73"/>
      <c r="Y80" s="74"/>
      <c r="Z80" s="73"/>
      <c r="AA80" s="73"/>
      <c r="AB80" s="74"/>
    </row>
    <row r="81" spans="1:17" ht="13.5" customHeight="1">
      <c r="A81" s="88" t="s">
        <v>143</v>
      </c>
      <c r="B81" s="88" t="s">
        <v>16</v>
      </c>
      <c r="C81" s="90"/>
      <c r="D81" s="91"/>
      <c r="E81" s="91"/>
      <c r="F81" s="91"/>
      <c r="G81" s="91"/>
      <c r="H81" s="91"/>
      <c r="I81" s="92"/>
      <c r="J81" s="92"/>
      <c r="K81" s="92"/>
      <c r="L81" s="92"/>
      <c r="M81" s="38"/>
      <c r="N81" s="42"/>
      <c r="O81" s="41"/>
      <c r="P81" s="240"/>
    </row>
    <row r="82" spans="1:17" ht="13.5" customHeight="1">
      <c r="A82" s="88"/>
      <c r="B82" s="89" t="str">
        <f>Penyelia!B78</f>
        <v>Ketidakpastian Pengukuran Kinerja Heart Rate dilaporkan pada tingkat kepercayaan 95 % dengan faktor cakupan k = 2</v>
      </c>
      <c r="C82" s="90"/>
      <c r="D82" s="91"/>
      <c r="E82" s="91"/>
      <c r="F82" s="91"/>
      <c r="G82" s="91"/>
      <c r="H82" s="91"/>
      <c r="I82" s="92"/>
      <c r="J82" s="92"/>
      <c r="K82" s="92"/>
      <c r="L82" s="92"/>
      <c r="M82" s="46"/>
      <c r="N82" s="46"/>
      <c r="O82" s="47"/>
      <c r="P82" s="13"/>
      <c r="Q82" s="13"/>
    </row>
    <row r="83" spans="1:17" ht="13.5" customHeight="1">
      <c r="A83" s="88"/>
      <c r="B83" s="89" t="str">
        <f>Penyelia!B79</f>
        <v>Ketidakpastian Pengukuran Kinerja Pulse Oxymetri dilaporkan pada tingkat kepercayaan 95 % dengan faktor cakupan k = 2</v>
      </c>
      <c r="C83" s="90"/>
      <c r="D83" s="91"/>
      <c r="E83" s="91"/>
      <c r="F83" s="91"/>
      <c r="G83" s="91"/>
      <c r="H83" s="91"/>
      <c r="I83" s="92"/>
      <c r="J83" s="92"/>
      <c r="K83" s="92"/>
      <c r="L83" s="92"/>
      <c r="M83" s="46"/>
      <c r="N83" s="46"/>
      <c r="O83" s="47"/>
      <c r="P83" s="13"/>
      <c r="Q83" s="13"/>
    </row>
    <row r="84" spans="1:17" ht="15.75" customHeight="1">
      <c r="A84" s="88"/>
      <c r="B84" s="89" t="str">
        <f>Penyelia!B80</f>
        <v>Ketidakpastian Pengukuran Kinerja NIBP dilaporkan pada tingkat kepercayaan 95 % dengan faktor cakupan k = 2</v>
      </c>
      <c r="C84" s="90"/>
      <c r="D84" s="91"/>
      <c r="E84" s="91"/>
      <c r="F84" s="91"/>
      <c r="G84" s="91"/>
      <c r="H84" s="91"/>
      <c r="I84" s="92"/>
      <c r="J84" s="92"/>
      <c r="K84" s="92"/>
      <c r="L84" s="92"/>
      <c r="M84" s="46"/>
      <c r="N84" s="1624"/>
      <c r="O84" s="1624"/>
      <c r="P84" s="13"/>
      <c r="Q84" s="13"/>
    </row>
    <row r="85" spans="1:17" ht="13.5" customHeight="1">
      <c r="A85" s="88"/>
      <c r="B85" s="89" t="str">
        <f>Penyelia!B81</f>
        <v>Ketidakpastian Pengukuran Kinerja Respirasi dilaporkan pada tingkat kepercayaan 95 % dengan faktor cakupan k = 2</v>
      </c>
      <c r="C85" s="90"/>
      <c r="D85" s="91"/>
      <c r="E85" s="91"/>
      <c r="F85" s="91"/>
      <c r="G85" s="91"/>
      <c r="H85" s="91"/>
      <c r="I85" s="92"/>
      <c r="J85" s="92"/>
      <c r="K85" s="92"/>
      <c r="L85" s="92"/>
      <c r="M85" s="46"/>
      <c r="N85" s="1624"/>
      <c r="O85" s="1624"/>
      <c r="P85" s="13"/>
      <c r="Q85" s="13"/>
    </row>
    <row r="86" spans="1:17" ht="13.5" customHeight="1">
      <c r="A86" s="88"/>
      <c r="B86" s="89" t="str">
        <f>Penyelia!B82</f>
        <v>Hasil pengukuran keselamatan listrik tertelusur ke Satuan Internasional ( SI ) melalui PT. Kaliman</v>
      </c>
      <c r="C86" s="90"/>
      <c r="D86" s="91"/>
      <c r="E86" s="91"/>
      <c r="F86" s="91"/>
      <c r="G86" s="91"/>
      <c r="H86" s="91"/>
      <c r="I86" s="92"/>
      <c r="J86" s="92"/>
      <c r="K86" s="92"/>
      <c r="L86" s="92"/>
      <c r="M86" s="46"/>
      <c r="N86" s="1624"/>
      <c r="O86" s="1624"/>
      <c r="P86" s="13"/>
      <c r="Q86" s="13"/>
    </row>
    <row r="87" spans="1:17" ht="15" customHeight="1">
      <c r="A87" s="93"/>
      <c r="B87" s="89" t="str">
        <f>Penyelia!B83</f>
        <v>Hasil kalibrasi Heart Rate tertelusur ke Satuan Internasional ( SI ) melalui Caltek PTE LTD</v>
      </c>
      <c r="C87" s="94"/>
      <c r="D87" s="94"/>
      <c r="E87" s="94"/>
      <c r="F87" s="94"/>
      <c r="G87" s="94"/>
      <c r="H87" s="94"/>
      <c r="I87" s="94"/>
      <c r="J87" s="92"/>
      <c r="K87" s="92"/>
      <c r="L87" s="92"/>
      <c r="M87" s="48"/>
      <c r="N87" s="46"/>
      <c r="O87" s="46"/>
      <c r="P87" s="13"/>
      <c r="Q87" s="13"/>
    </row>
    <row r="88" spans="1:17" ht="14.5">
      <c r="A88" s="93"/>
      <c r="B88" s="89" t="str">
        <f>Penyelia!B84</f>
        <v>Hasil kalibrasi NIBP tertelusur ke Satuan Internasional ( SI ) melalui PT. Kaliman</v>
      </c>
      <c r="C88" s="94"/>
      <c r="D88" s="94"/>
      <c r="E88" s="94"/>
      <c r="F88" s="94"/>
      <c r="G88" s="94"/>
      <c r="H88" s="94"/>
      <c r="I88" s="94"/>
      <c r="J88" s="92"/>
      <c r="K88" s="92"/>
      <c r="L88" s="92"/>
      <c r="M88" s="48"/>
      <c r="N88" s="46"/>
      <c r="O88" s="46"/>
      <c r="P88" s="13"/>
      <c r="Q88" s="13"/>
    </row>
    <row r="89" spans="1:17" ht="14.5">
      <c r="A89" s="93"/>
      <c r="B89" s="89" t="str">
        <f>Penyelia!B85</f>
        <v>Hasil kalibrasi Pulse Oximetri tertelusur ke Satuan Internasional melalui Caltek PTE LTD</v>
      </c>
      <c r="C89" s="94"/>
      <c r="D89" s="94"/>
      <c r="E89" s="94"/>
      <c r="F89" s="94"/>
      <c r="G89" s="94"/>
      <c r="H89" s="94"/>
      <c r="I89" s="94"/>
      <c r="J89" s="92"/>
      <c r="K89" s="92"/>
      <c r="L89" s="92"/>
      <c r="M89" s="48"/>
      <c r="N89" s="46"/>
      <c r="O89" s="46"/>
      <c r="P89" s="13"/>
      <c r="Q89" s="13"/>
    </row>
    <row r="90" spans="1:17" ht="16.5" customHeight="1">
      <c r="A90" s="13"/>
      <c r="B90" s="94" t="str">
        <f>Penyelia!B86</f>
        <v>Hasil kalibrasi Respirasi tertelusur ke Satuan Internasional ( SI ) melalui Caltek PTE LTD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7" ht="14.5">
      <c r="A91" s="93"/>
      <c r="B91" s="80" t="str">
        <f>IF(LH!C36='kata-kata'!J19,'kata-kata'!C42,"")</f>
        <v/>
      </c>
      <c r="C91" s="94"/>
      <c r="D91" s="94"/>
      <c r="E91" s="94"/>
      <c r="F91" s="94"/>
      <c r="G91" s="94"/>
      <c r="H91" s="94"/>
      <c r="I91" s="94"/>
      <c r="J91" s="92"/>
      <c r="K91" s="92"/>
      <c r="L91" s="92"/>
      <c r="M91" s="48"/>
      <c r="N91" s="46"/>
      <c r="O91" s="46"/>
      <c r="P91" s="13"/>
      <c r="Q91" s="13"/>
    </row>
    <row r="92" spans="1:17" ht="14.5">
      <c r="A92" s="93"/>
      <c r="B92" s="80" t="str">
        <f>IF(G55="-",'kata-kata'!C43,"")</f>
        <v/>
      </c>
      <c r="C92" s="94"/>
      <c r="D92" s="94"/>
      <c r="E92" s="94"/>
      <c r="F92" s="94"/>
      <c r="G92" s="94"/>
      <c r="H92" s="94"/>
      <c r="I92" s="94"/>
      <c r="J92" s="92"/>
      <c r="K92" s="92"/>
      <c r="L92" s="92"/>
      <c r="M92" s="48"/>
      <c r="N92" s="46"/>
      <c r="O92" s="46"/>
      <c r="P92" s="13"/>
      <c r="Q92" s="13"/>
    </row>
    <row r="93" spans="1:17" ht="14.5">
      <c r="A93" s="93"/>
      <c r="B93" s="89" t="str">
        <f>Penyelia!Y20</f>
        <v>Alat tidak boleh digunakan pada instalasi tanpa dilengkapi grounding</v>
      </c>
      <c r="C93" s="94"/>
      <c r="D93" s="94"/>
      <c r="E93" s="94"/>
      <c r="F93" s="94"/>
      <c r="G93" s="94"/>
      <c r="H93" s="94"/>
      <c r="I93" s="94"/>
      <c r="J93" s="92"/>
      <c r="K93" s="92"/>
      <c r="L93" s="92"/>
      <c r="M93" s="48"/>
      <c r="N93" s="46"/>
      <c r="O93" s="46"/>
      <c r="P93" s="13"/>
      <c r="Q93" s="13"/>
    </row>
    <row r="94" spans="1:17" ht="14.5">
      <c r="A94" s="93"/>
      <c r="B94" s="89"/>
      <c r="C94" s="94"/>
      <c r="D94" s="94"/>
      <c r="E94" s="94"/>
      <c r="F94" s="94"/>
      <c r="G94" s="94"/>
      <c r="H94" s="94"/>
      <c r="I94" s="94"/>
      <c r="J94" s="92"/>
      <c r="K94" s="92"/>
      <c r="L94" s="92"/>
      <c r="M94" s="48"/>
      <c r="N94" s="46"/>
      <c r="O94" s="46"/>
      <c r="P94" s="13"/>
      <c r="Q94" s="13"/>
    </row>
    <row r="95" spans="1:17" ht="14">
      <c r="A95" s="93" t="s">
        <v>144</v>
      </c>
      <c r="B95" s="93" t="s">
        <v>14</v>
      </c>
      <c r="C95" s="94"/>
      <c r="D95" s="864"/>
      <c r="E95" s="864"/>
      <c r="F95" s="864"/>
      <c r="G95" s="864"/>
      <c r="H95" s="864"/>
      <c r="I95" s="864"/>
      <c r="J95" s="864"/>
      <c r="K95" s="864"/>
      <c r="L95" s="864"/>
      <c r="M95" s="37"/>
    </row>
    <row r="96" spans="1:17" ht="14">
      <c r="A96" s="94"/>
      <c r="B96" s="1228" t="str">
        <f>Penyelia!B91</f>
        <v>Multiparameter Simulator, Merek : RIGEL , Model : PatSim200, SN : 15L-0684</v>
      </c>
      <c r="C96" s="109"/>
      <c r="D96" s="109"/>
      <c r="E96" s="109"/>
      <c r="F96" s="94"/>
      <c r="G96" s="94"/>
      <c r="H96" s="94"/>
      <c r="I96" s="94"/>
      <c r="J96" s="94"/>
      <c r="K96" s="94"/>
      <c r="L96" s="94"/>
      <c r="M96" s="37"/>
    </row>
    <row r="97" spans="1:16" ht="15" customHeight="1">
      <c r="A97" s="94"/>
      <c r="B97" s="1674" t="str">
        <f>IF(Penyelia!B91=Penyelia!B92,"",Penyelia!B92)</f>
        <v>Vital Sign Simulator, Merek : Fluke Biomedical, Model : Prosim 8, SN : 3217028</v>
      </c>
      <c r="C97" s="1674"/>
      <c r="D97" s="1674"/>
      <c r="E97" s="1674"/>
      <c r="F97" s="1674"/>
      <c r="G97" s="1674"/>
      <c r="H97" s="1674"/>
      <c r="I97" s="1674"/>
      <c r="J97" s="1674"/>
      <c r="K97" s="1674"/>
      <c r="L97" s="1674"/>
      <c r="M97" s="37"/>
    </row>
    <row r="98" spans="1:16" ht="15.75" customHeight="1">
      <c r="A98" s="94"/>
      <c r="B98" s="1674" t="str">
        <f>Penyelia!B93</f>
        <v/>
      </c>
      <c r="C98" s="1674"/>
      <c r="D98" s="1674"/>
      <c r="E98" s="1674"/>
      <c r="F98" s="1674"/>
      <c r="G98" s="1674"/>
      <c r="H98" s="1674"/>
      <c r="I98" s="1674"/>
      <c r="J98" s="1674"/>
      <c r="K98" s="1674"/>
      <c r="L98" s="1674"/>
      <c r="M98" s="37"/>
    </row>
    <row r="99" spans="1:16" ht="14">
      <c r="A99" s="94"/>
      <c r="B99" s="1228" t="str">
        <f>Penyelia!B94</f>
        <v>Electrical Safety Analyzer, Merek : Fluke, Model : ESA 615, SN : 2853077</v>
      </c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37"/>
    </row>
    <row r="100" spans="1:16" ht="15.75" customHeight="1">
      <c r="A100" s="94"/>
      <c r="B100" s="109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37"/>
    </row>
    <row r="101" spans="1:16" ht="12.75" customHeight="1">
      <c r="A101" s="93" t="s">
        <v>15</v>
      </c>
      <c r="B101" s="866" t="s">
        <v>26</v>
      </c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37"/>
      <c r="O101" s="1675"/>
      <c r="P101" s="1675"/>
    </row>
    <row r="102" spans="1:16" ht="29.25" customHeight="1">
      <c r="A102" s="93"/>
      <c r="B102" s="1630" t="str">
        <f>ID!B101</f>
        <v>Alat yang dikalibrasi dalam batas toleransi dan dinyatakan LAIK PAKAI, dimana hasil atau skor akhir sama dengan atau melampaui 70 % berdasarkan Keputusan Direktur Jenderal Pelayanan Kesehatan No : HK.02.02/V/0412/2020</v>
      </c>
      <c r="C102" s="1630"/>
      <c r="D102" s="1630"/>
      <c r="E102" s="1630"/>
      <c r="F102" s="1630"/>
      <c r="G102" s="1630"/>
      <c r="H102" s="1630"/>
      <c r="I102" s="1630"/>
      <c r="J102" s="1630"/>
      <c r="K102" s="1630"/>
      <c r="L102" s="1630"/>
      <c r="M102" s="37"/>
      <c r="N102" s="37"/>
      <c r="O102" s="1672"/>
      <c r="P102" s="1673"/>
    </row>
    <row r="103" spans="1:16" ht="15" customHeight="1">
      <c r="A103" s="93"/>
      <c r="B103" s="866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37"/>
      <c r="N103" s="37"/>
      <c r="O103" s="1673"/>
      <c r="P103" s="1673"/>
    </row>
    <row r="104" spans="1:16" ht="14">
      <c r="A104" s="93" t="s">
        <v>27</v>
      </c>
      <c r="B104" s="93" t="str">
        <f>ID!B103</f>
        <v>Petugas Kalibrasi</v>
      </c>
      <c r="C104" s="93"/>
      <c r="D104" s="94"/>
      <c r="E104" s="94"/>
      <c r="F104" s="94"/>
      <c r="G104" s="94"/>
      <c r="H104" s="94"/>
      <c r="I104" s="94"/>
      <c r="J104" s="867"/>
      <c r="K104" s="867"/>
      <c r="L104" s="94"/>
      <c r="M104" s="37"/>
      <c r="N104" s="37"/>
      <c r="O104" s="1673"/>
      <c r="P104" s="1673"/>
    </row>
    <row r="105" spans="1:16" ht="14">
      <c r="A105" s="94"/>
      <c r="B105" s="89" t="str">
        <f>ID!B104</f>
        <v>Muhammad Iqbal Saiful Rahman</v>
      </c>
      <c r="C105" s="94"/>
      <c r="D105" s="94"/>
      <c r="E105" s="94"/>
      <c r="F105" s="94"/>
      <c r="G105" s="94"/>
      <c r="H105" s="94"/>
      <c r="I105" s="94"/>
      <c r="J105" s="867"/>
      <c r="K105" s="867"/>
      <c r="L105" s="94"/>
      <c r="M105" s="37"/>
      <c r="N105" s="37"/>
      <c r="O105" s="1673"/>
      <c r="P105" s="1673"/>
    </row>
    <row r="106" spans="1:16" ht="14">
      <c r="A106" s="864"/>
      <c r="B106" s="94"/>
      <c r="C106" s="94"/>
      <c r="D106" s="94"/>
      <c r="E106" s="94"/>
      <c r="F106" s="94"/>
      <c r="G106" s="94"/>
      <c r="H106" s="94"/>
      <c r="I106" s="94"/>
      <c r="J106" s="867"/>
      <c r="K106" s="867"/>
      <c r="L106" s="94"/>
    </row>
    <row r="107" spans="1:16" ht="14">
      <c r="A107" s="864"/>
      <c r="B107" s="94"/>
      <c r="C107" s="94"/>
      <c r="D107" s="94"/>
      <c r="E107" s="94"/>
      <c r="F107" s="94"/>
      <c r="G107" s="94"/>
      <c r="H107" s="94"/>
      <c r="I107" s="94"/>
      <c r="J107" s="867"/>
      <c r="K107" s="867"/>
      <c r="L107" s="94"/>
    </row>
    <row r="108" spans="1:16" ht="14">
      <c r="A108" s="864"/>
      <c r="B108" s="867"/>
      <c r="C108" s="867"/>
      <c r="D108" s="867"/>
      <c r="E108" s="867"/>
      <c r="F108" s="867"/>
      <c r="G108" s="867"/>
      <c r="H108" s="867"/>
      <c r="I108" s="94"/>
      <c r="J108" s="867"/>
      <c r="K108" s="867"/>
      <c r="L108" s="94"/>
    </row>
    <row r="109" spans="1:16" ht="14">
      <c r="A109" s="864"/>
      <c r="B109" s="867"/>
      <c r="C109" s="867"/>
      <c r="D109" s="867"/>
      <c r="E109" s="867"/>
      <c r="F109" s="867"/>
      <c r="G109" s="867"/>
      <c r="H109" s="867"/>
      <c r="I109" s="244" t="s">
        <v>212</v>
      </c>
      <c r="J109" s="867"/>
      <c r="K109" s="867"/>
      <c r="L109" s="94"/>
    </row>
    <row r="110" spans="1:16" ht="14">
      <c r="A110" s="864"/>
      <c r="B110" s="867"/>
      <c r="C110" s="867"/>
      <c r="D110" s="867"/>
      <c r="E110" s="867"/>
      <c r="F110" s="867"/>
      <c r="G110" s="867"/>
      <c r="H110" s="867"/>
      <c r="I110" s="244" t="s">
        <v>213</v>
      </c>
      <c r="J110" s="867"/>
      <c r="K110" s="867"/>
      <c r="L110" s="94"/>
    </row>
    <row r="111" spans="1:16" ht="14">
      <c r="A111" s="13"/>
      <c r="B111" s="867"/>
      <c r="C111" s="867"/>
      <c r="D111" s="867"/>
      <c r="E111" s="867"/>
      <c r="F111" s="867"/>
      <c r="G111" s="867"/>
      <c r="H111" s="867"/>
      <c r="I111" s="244" t="s">
        <v>214</v>
      </c>
      <c r="J111" s="867"/>
      <c r="K111" s="867"/>
      <c r="L111" s="867"/>
    </row>
    <row r="112" spans="1:16" ht="14">
      <c r="A112" s="13"/>
      <c r="B112" s="867"/>
      <c r="C112" s="867"/>
      <c r="D112" s="867"/>
      <c r="E112" s="867"/>
      <c r="F112" s="867"/>
      <c r="G112" s="867"/>
      <c r="H112" s="867"/>
      <c r="I112" s="244"/>
      <c r="J112" s="867"/>
      <c r="K112" s="867"/>
      <c r="L112" s="867"/>
    </row>
    <row r="113" spans="1:12" ht="14">
      <c r="A113" s="13"/>
      <c r="B113" s="867"/>
      <c r="C113" s="867"/>
      <c r="D113" s="867"/>
      <c r="E113" s="867"/>
      <c r="F113" s="867"/>
      <c r="G113" s="867"/>
      <c r="H113" s="867"/>
      <c r="I113" s="244"/>
      <c r="J113" s="867"/>
      <c r="K113" s="867"/>
      <c r="L113" s="867"/>
    </row>
    <row r="114" spans="1:12" ht="14">
      <c r="A114" s="13"/>
      <c r="B114" s="867"/>
      <c r="C114" s="867"/>
      <c r="D114" s="867"/>
      <c r="E114" s="867"/>
      <c r="F114" s="867"/>
      <c r="G114" s="867"/>
      <c r="H114" s="867"/>
      <c r="I114" s="244"/>
      <c r="J114" s="867"/>
      <c r="K114" s="867"/>
      <c r="L114" s="867"/>
    </row>
    <row r="115" spans="1:12" ht="14">
      <c r="A115" s="13"/>
      <c r="B115" s="867"/>
      <c r="C115" s="867"/>
      <c r="D115" s="867"/>
      <c r="E115" s="867"/>
      <c r="F115" s="867"/>
      <c r="G115" s="867"/>
      <c r="H115" s="867"/>
      <c r="I115" s="245"/>
      <c r="J115" s="867"/>
      <c r="K115" s="867"/>
      <c r="L115" s="867"/>
    </row>
    <row r="116" spans="1:12" ht="14">
      <c r="A116" s="13"/>
      <c r="B116" s="867"/>
      <c r="C116" s="867"/>
      <c r="D116" s="867"/>
      <c r="E116" s="867"/>
      <c r="F116" s="867"/>
      <c r="G116" s="867"/>
      <c r="H116" s="867"/>
      <c r="I116" s="246" t="s">
        <v>275</v>
      </c>
      <c r="J116" s="867"/>
      <c r="K116" s="867"/>
      <c r="L116" s="867"/>
    </row>
    <row r="117" spans="1:12" ht="14">
      <c r="A117" s="13"/>
      <c r="B117" s="867"/>
      <c r="C117" s="867"/>
      <c r="D117" s="867"/>
      <c r="E117" s="867"/>
      <c r="F117" s="867"/>
      <c r="G117" s="867"/>
      <c r="H117" s="867"/>
      <c r="I117" s="247" t="s">
        <v>215</v>
      </c>
      <c r="J117" s="867"/>
      <c r="K117" s="867"/>
      <c r="L117" s="867"/>
    </row>
    <row r="118" spans="1:12" ht="14">
      <c r="A118" s="13"/>
      <c r="B118" s="867"/>
      <c r="C118" s="867"/>
      <c r="D118" s="867"/>
      <c r="E118" s="867"/>
      <c r="F118" s="867"/>
      <c r="G118" s="867"/>
      <c r="H118" s="867"/>
      <c r="I118" s="867"/>
      <c r="J118" s="867"/>
      <c r="K118" s="867"/>
      <c r="L118" s="867"/>
    </row>
    <row r="119" spans="1:12" ht="14">
      <c r="A119" s="13"/>
      <c r="B119" s="867"/>
      <c r="C119" s="867"/>
      <c r="D119" s="867"/>
      <c r="E119" s="867"/>
      <c r="F119" s="867"/>
      <c r="G119" s="867"/>
      <c r="H119" s="867"/>
      <c r="I119" s="867"/>
      <c r="J119" s="867"/>
      <c r="K119" s="867"/>
      <c r="L119" s="867"/>
    </row>
    <row r="120" spans="1:12" ht="14">
      <c r="A120" s="13"/>
      <c r="B120" s="867"/>
      <c r="C120" s="867"/>
      <c r="D120" s="867"/>
      <c r="E120" s="867"/>
      <c r="F120" s="867"/>
      <c r="G120" s="867"/>
      <c r="H120" s="867"/>
      <c r="I120" s="867"/>
      <c r="J120" s="867"/>
      <c r="K120" s="867"/>
      <c r="L120" s="867"/>
    </row>
    <row r="121" spans="1:1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1:1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1:1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1:1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1:1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1:1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1:12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2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1:12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1:1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1:12" ht="1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1:12" ht="1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1:12" ht="1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1:1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1:1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1:1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1:12" ht="19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1:1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1:12" ht="11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1:12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1:1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 ht="18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1:12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1:12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243" t="s">
        <v>210</v>
      </c>
    </row>
  </sheetData>
  <sheetProtection formatCells="0" formatColumns="0" formatRows="0" insertColumns="0" insertRows="0" deleteColumns="0" deleteRows="0"/>
  <mergeCells count="68">
    <mergeCell ref="A7:C7"/>
    <mergeCell ref="O102:P105"/>
    <mergeCell ref="C68:C71"/>
    <mergeCell ref="G68:G71"/>
    <mergeCell ref="B102:L102"/>
    <mergeCell ref="B98:L98"/>
    <mergeCell ref="B97:L97"/>
    <mergeCell ref="B55:B56"/>
    <mergeCell ref="B57:B58"/>
    <mergeCell ref="B59:B60"/>
    <mergeCell ref="N84:O86"/>
    <mergeCell ref="O101:P101"/>
    <mergeCell ref="B61:B62"/>
    <mergeCell ref="B65:B67"/>
    <mergeCell ref="C65:C67"/>
    <mergeCell ref="D65:D67"/>
    <mergeCell ref="F52:F54"/>
    <mergeCell ref="F65:F67"/>
    <mergeCell ref="G65:G67"/>
    <mergeCell ref="H65:I67"/>
    <mergeCell ref="E65:E67"/>
    <mergeCell ref="G55:G62"/>
    <mergeCell ref="G52:G54"/>
    <mergeCell ref="C36:C39"/>
    <mergeCell ref="G36:G39"/>
    <mergeCell ref="H52:I54"/>
    <mergeCell ref="G45:G49"/>
    <mergeCell ref="B42:B44"/>
    <mergeCell ref="C42:C44"/>
    <mergeCell ref="D42:D44"/>
    <mergeCell ref="E42:E44"/>
    <mergeCell ref="F42:F44"/>
    <mergeCell ref="G42:G44"/>
    <mergeCell ref="H42:I44"/>
    <mergeCell ref="B52:B54"/>
    <mergeCell ref="C52:C54"/>
    <mergeCell ref="D52:D54"/>
    <mergeCell ref="C45:C49"/>
    <mergeCell ref="E52:E54"/>
    <mergeCell ref="C28:H28"/>
    <mergeCell ref="B33:B35"/>
    <mergeCell ref="C33:C35"/>
    <mergeCell ref="D33:D35"/>
    <mergeCell ref="E33:E35"/>
    <mergeCell ref="F33:F35"/>
    <mergeCell ref="G33:G35"/>
    <mergeCell ref="H33:I35"/>
    <mergeCell ref="C25:H25"/>
    <mergeCell ref="C26:H26"/>
    <mergeCell ref="C27:H27"/>
    <mergeCell ref="B19:C19"/>
    <mergeCell ref="B20:C20"/>
    <mergeCell ref="A1:L1"/>
    <mergeCell ref="A2:L2"/>
    <mergeCell ref="B23:B24"/>
    <mergeCell ref="C23:H24"/>
    <mergeCell ref="I23:J24"/>
    <mergeCell ref="K23:L24"/>
    <mergeCell ref="A4:C4"/>
    <mergeCell ref="A5:C5"/>
    <mergeCell ref="A6:C6"/>
    <mergeCell ref="A8:C8"/>
    <mergeCell ref="A9:C9"/>
    <mergeCell ref="A10:C10"/>
    <mergeCell ref="A11:C11"/>
    <mergeCell ref="B14:C14"/>
    <mergeCell ref="B15:C15"/>
    <mergeCell ref="B16:C16"/>
  </mergeCells>
  <printOptions horizontalCentered="1"/>
  <pageMargins left="0.31496062992126" right="0.23622047244094499" top="0.35433070866141703" bottom="0.1" header="0.196850393700787" footer="0.15748031496063"/>
  <pageSetup paperSize="9" scale="75" orientation="portrait" horizontalDpi="4294967294" verticalDpi="4294967294" r:id="rId1"/>
  <headerFooter>
    <oddFooter>&amp;C&amp;8
Dilarang keras mengutip/memperbanyak dan atau mempublikasikan sebagian isi sertifikat ini tanpa seijin LPFK Banjarbaru
Sertifikat ini sah apabila dibubuhi cap LPFK Banjarbaru dan ditandatangani oleh pejabat yang berwenang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O61"/>
  <sheetViews>
    <sheetView view="pageBreakPreview" topLeftCell="A56" zoomScale="90" zoomScaleNormal="100" zoomScaleSheetLayoutView="90" workbookViewId="0">
      <selection activeCell="E50" sqref="E50"/>
    </sheetView>
  </sheetViews>
  <sheetFormatPr defaultColWidth="9.08984375" defaultRowHeight="12.5"/>
  <cols>
    <col min="1" max="1" width="18.08984375" style="970" customWidth="1"/>
    <col min="2" max="2" width="26.08984375" style="970" customWidth="1"/>
    <col min="3" max="3" width="3.08984375" style="970" customWidth="1"/>
    <col min="4" max="4" width="11.54296875" style="970" customWidth="1"/>
    <col min="5" max="5" width="9.453125" style="970" customWidth="1"/>
    <col min="6" max="6" width="22.54296875" style="970" customWidth="1"/>
    <col min="7" max="7" width="9.08984375" style="970"/>
    <col min="8" max="8" width="18.90625" style="970" customWidth="1"/>
    <col min="9" max="9" width="12.08984375" style="970" customWidth="1"/>
    <col min="10" max="16384" width="9.08984375" style="970"/>
  </cols>
  <sheetData>
    <row r="1" spans="1:15" ht="18.5">
      <c r="H1" s="1206" t="str">
        <f>IF(Penyelia!J112&lt;70,"TIDAK LAIK","LAIK")</f>
        <v>LAIK</v>
      </c>
      <c r="I1" s="971"/>
      <c r="J1" s="971"/>
    </row>
    <row r="2" spans="1:15" ht="30">
      <c r="A2" s="1678" t="str">
        <f>B46</f>
        <v>SERTIFIKAT KALIBRASI</v>
      </c>
      <c r="B2" s="1678"/>
      <c r="C2" s="1678"/>
      <c r="D2" s="1678"/>
      <c r="E2" s="1678"/>
      <c r="F2" s="1678"/>
      <c r="H2" s="972"/>
      <c r="I2" s="1679"/>
      <c r="J2" s="1680"/>
    </row>
    <row r="3" spans="1:15" ht="14">
      <c r="A3" s="1681" t="str">
        <f>"Nomor : 7 /"&amp;" "&amp;ID!I2</f>
        <v>Nomor : 7 / 1 / I - 22 / E - 060.26 DL</v>
      </c>
      <c r="B3" s="1681"/>
      <c r="C3" s="1681"/>
      <c r="D3" s="1681"/>
      <c r="E3" s="1681"/>
      <c r="F3" s="1681"/>
    </row>
    <row r="4" spans="1:15" ht="13">
      <c r="C4" s="970" t="s">
        <v>545</v>
      </c>
      <c r="D4" s="1682" t="str">
        <f>LH!L3</f>
        <v>KL. 012-18</v>
      </c>
      <c r="E4" s="1682"/>
      <c r="F4" s="1682"/>
      <c r="H4" s="973"/>
      <c r="I4" s="973"/>
      <c r="J4" s="973"/>
    </row>
    <row r="5" spans="1:15" ht="14.5">
      <c r="H5" s="1683"/>
      <c r="I5" s="1683"/>
      <c r="J5" s="1683"/>
    </row>
    <row r="6" spans="1:15" ht="24.65" customHeight="1">
      <c r="A6" s="974" t="s">
        <v>546</v>
      </c>
      <c r="B6" s="975" t="s">
        <v>613</v>
      </c>
      <c r="C6" s="976"/>
      <c r="D6" s="1676" t="s">
        <v>547</v>
      </c>
      <c r="E6" s="1677"/>
      <c r="F6" s="977" t="str">
        <f>MID(A3,SEARCH("E - ",A3),LEN(A3))</f>
        <v>E - 060.26 DL</v>
      </c>
    </row>
    <row r="7" spans="1:15" ht="14">
      <c r="A7" s="978"/>
      <c r="B7" s="978"/>
      <c r="C7" s="978"/>
    </row>
    <row r="8" spans="1:15" ht="14">
      <c r="A8" s="1685" t="s">
        <v>18</v>
      </c>
      <c r="B8" s="1685"/>
      <c r="C8" s="979" t="s">
        <v>60</v>
      </c>
      <c r="D8" s="1685" t="str">
        <f>ID!F4</f>
        <v xml:space="preserve"> Medi Globe</v>
      </c>
      <c r="E8" s="1685"/>
      <c r="F8" s="1685"/>
      <c r="I8" s="1686"/>
      <c r="J8" s="1686"/>
    </row>
    <row r="9" spans="1:15" ht="14">
      <c r="A9" s="1685" t="s">
        <v>548</v>
      </c>
      <c r="B9" s="1685"/>
      <c r="C9" s="979" t="s">
        <v>60</v>
      </c>
      <c r="D9" s="1685" t="str">
        <f>ID!F5</f>
        <v xml:space="preserve"> Garuda 12</v>
      </c>
      <c r="E9" s="1685"/>
      <c r="F9" s="1685"/>
      <c r="I9" s="1686"/>
      <c r="J9" s="1686"/>
    </row>
    <row r="10" spans="1:15" ht="14.5">
      <c r="A10" s="1685" t="s">
        <v>549</v>
      </c>
      <c r="B10" s="1685"/>
      <c r="C10" s="979" t="s">
        <v>60</v>
      </c>
      <c r="D10" s="1685" t="str">
        <f>ID!F6</f>
        <v xml:space="preserve"> G122008063</v>
      </c>
      <c r="E10" s="1685"/>
      <c r="F10" s="1685"/>
      <c r="I10" s="1687"/>
      <c r="J10" s="1688"/>
      <c r="O10" s="980"/>
    </row>
    <row r="11" spans="1:15" s="971" customFormat="1" ht="14.5" hidden="1">
      <c r="A11" s="1689"/>
      <c r="B11" s="1689"/>
      <c r="C11" s="981"/>
      <c r="D11" s="982"/>
      <c r="E11" s="982"/>
      <c r="F11" s="983"/>
      <c r="I11" s="984"/>
      <c r="J11" s="985"/>
      <c r="O11" s="985"/>
    </row>
    <row r="12" spans="1:15" s="971" customFormat="1" ht="14.5" hidden="1">
      <c r="A12" s="1689"/>
      <c r="B12" s="1689"/>
      <c r="C12" s="981"/>
      <c r="D12" s="986"/>
      <c r="E12" s="986"/>
      <c r="F12" s="983"/>
      <c r="I12" s="987"/>
      <c r="J12" s="985"/>
      <c r="O12" s="985"/>
    </row>
    <row r="13" spans="1:15" ht="14.5">
      <c r="A13" s="988"/>
      <c r="B13" s="988"/>
      <c r="C13" s="978"/>
      <c r="I13" s="1684"/>
      <c r="J13" s="1684"/>
      <c r="O13" s="980"/>
    </row>
    <row r="14" spans="1:15" ht="28.5" customHeight="1">
      <c r="A14" s="974" t="s">
        <v>550</v>
      </c>
      <c r="B14" s="989"/>
      <c r="C14" s="978"/>
      <c r="D14" s="1676" t="s">
        <v>551</v>
      </c>
      <c r="E14" s="1677"/>
      <c r="F14" s="990"/>
      <c r="I14" s="1688"/>
      <c r="J14" s="1688"/>
      <c r="O14" s="980"/>
    </row>
    <row r="15" spans="1:15" ht="14.5">
      <c r="A15" s="991"/>
      <c r="B15" s="978"/>
      <c r="C15" s="978"/>
      <c r="D15" s="978"/>
      <c r="E15" s="978"/>
      <c r="I15" s="1691"/>
      <c r="J15" s="1691"/>
    </row>
    <row r="16" spans="1:15" s="971" customFormat="1" ht="42.75" customHeight="1">
      <c r="A16" s="1692" t="s">
        <v>552</v>
      </c>
      <c r="B16" s="1692"/>
      <c r="C16" s="992" t="s">
        <v>60</v>
      </c>
      <c r="D16" s="1693"/>
      <c r="E16" s="1693"/>
      <c r="F16" s="1693"/>
      <c r="H16" s="993"/>
      <c r="I16" s="1694"/>
      <c r="J16" s="1695"/>
    </row>
    <row r="17" spans="1:10" ht="14.5">
      <c r="A17" s="1685" t="str">
        <f>"Nama Ruang "</f>
        <v xml:space="preserve">Nama Ruang </v>
      </c>
      <c r="B17" s="1685"/>
      <c r="C17" s="979" t="s">
        <v>60</v>
      </c>
      <c r="D17" s="1696" t="str">
        <f>ID!F10</f>
        <v xml:space="preserve"> OK</v>
      </c>
      <c r="E17" s="1696"/>
      <c r="F17" s="1696"/>
      <c r="H17" s="1697"/>
      <c r="I17" s="1697"/>
      <c r="J17" s="1697"/>
    </row>
    <row r="18" spans="1:10" ht="14.5">
      <c r="A18" s="1685" t="s">
        <v>377</v>
      </c>
      <c r="B18" s="1685"/>
      <c r="C18" s="979" t="s">
        <v>60</v>
      </c>
      <c r="D18" s="1690" t="str">
        <f>ID!F7</f>
        <v xml:space="preserve"> 19 Januari 2020</v>
      </c>
      <c r="E18" s="1690"/>
      <c r="F18" s="1690"/>
      <c r="H18" s="994"/>
      <c r="I18" s="994"/>
      <c r="J18" s="994"/>
    </row>
    <row r="19" spans="1:10" ht="14.25" customHeight="1">
      <c r="A19" s="1685" t="str">
        <f>"Tanggal "&amp;B50</f>
        <v xml:space="preserve">Tanggal </v>
      </c>
      <c r="B19" s="1685"/>
      <c r="C19" s="979" t="s">
        <v>60</v>
      </c>
      <c r="D19" s="1690" t="str">
        <f>ID!F8</f>
        <v xml:space="preserve"> 20 Januari 2020</v>
      </c>
      <c r="E19" s="1690"/>
      <c r="F19" s="1690"/>
    </row>
    <row r="20" spans="1:10" ht="14">
      <c r="A20" s="1685" t="str">
        <f>"Penanggungjawab "&amp;B50</f>
        <v xml:space="preserve">Penanggungjawab </v>
      </c>
      <c r="B20" s="1685"/>
      <c r="C20" s="979" t="s">
        <v>60</v>
      </c>
      <c r="D20" s="1685" t="str">
        <f>ID!B104</f>
        <v>Muhammad Iqbal Saiful Rahman</v>
      </c>
      <c r="E20" s="1685"/>
      <c r="F20" s="1685"/>
    </row>
    <row r="21" spans="1:10" ht="14.5">
      <c r="A21" s="1685" t="str">
        <f>"Lokasi "&amp;B50</f>
        <v xml:space="preserve">Lokasi </v>
      </c>
      <c r="B21" s="1685"/>
      <c r="C21" s="979" t="s">
        <v>60</v>
      </c>
      <c r="D21" s="1696" t="str">
        <f>ID!F9</f>
        <v xml:space="preserve"> OK</v>
      </c>
      <c r="E21" s="1696"/>
      <c r="F21" s="1696"/>
      <c r="H21" s="995"/>
    </row>
    <row r="22" spans="1:10" ht="31.5" customHeight="1">
      <c r="A22" s="1696" t="str">
        <f>"Hasil "&amp;B50</f>
        <v xml:space="preserve">Hasil </v>
      </c>
      <c r="B22" s="1696"/>
      <c r="C22" s="996" t="s">
        <v>60</v>
      </c>
      <c r="D22" s="1698" t="s">
        <v>574</v>
      </c>
      <c r="E22" s="1698"/>
      <c r="F22" s="1698"/>
    </row>
    <row r="23" spans="1:10" ht="14">
      <c r="A23" s="1685" t="s">
        <v>69</v>
      </c>
      <c r="B23" s="1685"/>
      <c r="C23" s="979" t="s">
        <v>60</v>
      </c>
      <c r="D23" s="1685" t="str">
        <f>ID!F11</f>
        <v xml:space="preserve"> MK.012-18</v>
      </c>
      <c r="E23" s="1685"/>
      <c r="F23" s="1685"/>
    </row>
    <row r="26" spans="1:10" ht="26.25" customHeight="1">
      <c r="D26" s="997" t="s">
        <v>553</v>
      </c>
      <c r="E26" s="1700">
        <f ca="1">TODAY()</f>
        <v>45186</v>
      </c>
      <c r="F26" s="1700"/>
    </row>
    <row r="27" spans="1:10" ht="14">
      <c r="D27" s="1685" t="s">
        <v>554</v>
      </c>
      <c r="E27" s="1685"/>
      <c r="F27" s="1685"/>
    </row>
    <row r="28" spans="1:10" ht="14">
      <c r="D28" s="1685" t="s">
        <v>555</v>
      </c>
      <c r="E28" s="1685"/>
      <c r="F28" s="1685"/>
    </row>
    <row r="29" spans="1:10" ht="14">
      <c r="D29" s="998"/>
      <c r="E29" s="998"/>
    </row>
    <row r="30" spans="1:10" ht="14">
      <c r="D30" s="998"/>
      <c r="E30" s="998"/>
    </row>
    <row r="31" spans="1:10" ht="14">
      <c r="D31" s="998"/>
      <c r="E31" s="998"/>
    </row>
    <row r="32" spans="1:10" ht="14">
      <c r="D32" s="1685" t="s">
        <v>556</v>
      </c>
      <c r="E32" s="1685"/>
      <c r="F32" s="1685"/>
    </row>
    <row r="33" spans="1:6" ht="14">
      <c r="D33" s="1699" t="s">
        <v>557</v>
      </c>
      <c r="E33" s="1699"/>
      <c r="F33" s="1699"/>
    </row>
    <row r="36" spans="1:6" ht="13">
      <c r="A36" s="999"/>
      <c r="B36" s="999"/>
      <c r="C36" s="999"/>
      <c r="D36" s="999"/>
      <c r="E36" s="999"/>
      <c r="F36" s="999"/>
    </row>
    <row r="42" spans="1:6" ht="13" thickBot="1"/>
    <row r="43" spans="1:6" ht="31.5" customHeight="1">
      <c r="A43" s="1000" t="s">
        <v>575</v>
      </c>
      <c r="B43" s="1001" t="str">
        <f>MID(ID!I2,SEARCH("E - ",ID!I2),LEN(ID!I2))</f>
        <v>E - 060.26 DL</v>
      </c>
    </row>
    <row r="44" spans="1:6">
      <c r="A44" s="1002"/>
      <c r="B44" s="1003"/>
    </row>
    <row r="45" spans="1:6" ht="24" customHeight="1">
      <c r="A45" s="1004" t="s">
        <v>576</v>
      </c>
      <c r="B45" s="1005" t="str">
        <f>ID!A1</f>
        <v>INPUT DATA KALIBRASI PATIENT MONITOR</v>
      </c>
    </row>
    <row r="46" spans="1:6" ht="39" customHeight="1">
      <c r="A46" s="1004" t="s">
        <v>577</v>
      </c>
      <c r="B46" s="1006" t="str">
        <f>IF(B45="INPUT DATA KALIBRASI patient monitor",B47,B48)</f>
        <v>SERTIFIKAT KALIBRASI</v>
      </c>
    </row>
    <row r="47" spans="1:6" ht="22.5" customHeight="1">
      <c r="A47" s="1004" t="s">
        <v>578</v>
      </c>
      <c r="B47" s="1003" t="s">
        <v>544</v>
      </c>
    </row>
    <row r="48" spans="1:6">
      <c r="A48" s="1002"/>
      <c r="B48" s="1003" t="s">
        <v>579</v>
      </c>
    </row>
    <row r="49" spans="1:2">
      <c r="A49" s="1002"/>
      <c r="B49" s="1003"/>
    </row>
    <row r="50" spans="1:2" ht="48" customHeight="1">
      <c r="A50" s="1004"/>
      <c r="B50" s="1003"/>
    </row>
    <row r="51" spans="1:2">
      <c r="A51" s="1002"/>
      <c r="B51" s="1003"/>
    </row>
    <row r="52" spans="1:2" s="1008" customFormat="1" ht="34.5" customHeight="1">
      <c r="A52" s="1004"/>
      <c r="B52" s="1007"/>
    </row>
    <row r="53" spans="1:2">
      <c r="A53" s="1002"/>
      <c r="B53" s="1003"/>
    </row>
    <row r="54" spans="1:2" ht="50.25" customHeight="1">
      <c r="A54" s="1009"/>
      <c r="B54" s="1010"/>
    </row>
    <row r="55" spans="1:2" ht="27" customHeight="1">
      <c r="A55" s="1004"/>
      <c r="B55" s="1011"/>
    </row>
    <row r="56" spans="1:2">
      <c r="A56" s="1002"/>
      <c r="B56" s="1003"/>
    </row>
    <row r="57" spans="1:2" ht="30" customHeight="1">
      <c r="A57" s="1009"/>
      <c r="B57" s="1012"/>
    </row>
    <row r="58" spans="1:2" ht="14">
      <c r="A58" s="1002"/>
      <c r="B58" s="1013"/>
    </row>
    <row r="59" spans="1:2" ht="14">
      <c r="A59" s="1002"/>
      <c r="B59" s="1013"/>
    </row>
    <row r="60" spans="1:2" ht="42" customHeight="1">
      <c r="A60" s="1014"/>
      <c r="B60" s="1013"/>
    </row>
    <row r="61" spans="1:2" ht="39.75" customHeight="1" thickBot="1">
      <c r="A61" s="1015"/>
      <c r="B61" s="1016"/>
    </row>
  </sheetData>
  <sheetProtection formatRows="0"/>
  <mergeCells count="44">
    <mergeCell ref="D33:F33"/>
    <mergeCell ref="A23:B23"/>
    <mergeCell ref="D23:F23"/>
    <mergeCell ref="E26:F26"/>
    <mergeCell ref="D27:F27"/>
    <mergeCell ref="D28:F28"/>
    <mergeCell ref="D32:F32"/>
    <mergeCell ref="A20:B20"/>
    <mergeCell ref="D20:F20"/>
    <mergeCell ref="A21:B21"/>
    <mergeCell ref="D21:F21"/>
    <mergeCell ref="A22:B22"/>
    <mergeCell ref="D22:F22"/>
    <mergeCell ref="A19:B19"/>
    <mergeCell ref="D19:F19"/>
    <mergeCell ref="D14:E14"/>
    <mergeCell ref="I14:J14"/>
    <mergeCell ref="I15:J15"/>
    <mergeCell ref="A16:B16"/>
    <mergeCell ref="D16:F16"/>
    <mergeCell ref="I16:J16"/>
    <mergeCell ref="A17:B17"/>
    <mergeCell ref="D17:F17"/>
    <mergeCell ref="H17:J17"/>
    <mergeCell ref="A18:B18"/>
    <mergeCell ref="D18:F18"/>
    <mergeCell ref="I13:J13"/>
    <mergeCell ref="A8:B8"/>
    <mergeCell ref="D8:F8"/>
    <mergeCell ref="I8:J8"/>
    <mergeCell ref="A9:B9"/>
    <mergeCell ref="D9:F9"/>
    <mergeCell ref="I9:J9"/>
    <mergeCell ref="A10:B10"/>
    <mergeCell ref="D10:F10"/>
    <mergeCell ref="I10:J10"/>
    <mergeCell ref="A11:B11"/>
    <mergeCell ref="A12:B12"/>
    <mergeCell ref="D6:E6"/>
    <mergeCell ref="A2:F2"/>
    <mergeCell ref="I2:J2"/>
    <mergeCell ref="A3:F3"/>
    <mergeCell ref="D4:F4"/>
    <mergeCell ref="H5:J5"/>
  </mergeCells>
  <dataValidations disablePrompts="1" count="3">
    <dataValidation type="list" allowBlank="1" showInputMessage="1" showErrorMessage="1" sqref="A2:F2" xr:uid="{00000000-0002-0000-0C00-000000000000}">
      <formula1>"SERTIFIKAT KALIBRASI,SERTIFIKAT PENGUJIAN"</formula1>
    </dataValidation>
    <dataValidation type="list" allowBlank="1" showInputMessage="1" showErrorMessage="1" sqref="J11" xr:uid="{00000000-0002-0000-0C00-000001000000}">
      <formula1>$M$2:$M$22</formula1>
    </dataValidation>
    <dataValidation type="list" allowBlank="1" showInputMessage="1" showErrorMessage="1" sqref="J12" xr:uid="{00000000-0002-0000-0C00-000002000000}">
      <formula1>$O$9:$O$14</formula1>
    </dataValidation>
  </dataValidations>
  <pageMargins left="0.6" right="0.3" top="1.57" bottom="0" header="0.5" footer="0.6"/>
  <pageSetup paperSize="9" orientation="portrait" r:id="rId1"/>
  <headerFooter>
    <oddFooter>&amp;L&amp;"Times New Roman,Bold"Sertifikat ini terdiri dari 2 halaman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2:K33"/>
  <sheetViews>
    <sheetView workbookViewId="0">
      <selection activeCell="C18" sqref="C18:D18"/>
    </sheetView>
  </sheetViews>
  <sheetFormatPr defaultRowHeight="12.5"/>
  <cols>
    <col min="1" max="1" width="4.90625" customWidth="1"/>
    <col min="2" max="2" width="19.453125" customWidth="1"/>
    <col min="3" max="3" width="1.453125" customWidth="1"/>
    <col min="4" max="4" width="12" customWidth="1"/>
    <col min="5" max="5" width="18.54296875" customWidth="1"/>
    <col min="6" max="6" width="16.6328125" customWidth="1"/>
    <col min="7" max="7" width="18.6328125" customWidth="1"/>
    <col min="9" max="9" width="41" bestFit="1" customWidth="1"/>
    <col min="10" max="10" width="52.08984375" bestFit="1" customWidth="1"/>
    <col min="11" max="11" width="8.90625" customWidth="1"/>
  </cols>
  <sheetData>
    <row r="2" spans="1:11">
      <c r="G2" s="1189" t="str">
        <f>SERTIFIKAT!D4</f>
        <v>KL. 012-18</v>
      </c>
    </row>
    <row r="3" spans="1:11" ht="22.5">
      <c r="A3" s="1707" t="s">
        <v>600</v>
      </c>
      <c r="B3" s="1707"/>
      <c r="C3" s="1707"/>
      <c r="D3" s="1707"/>
      <c r="E3" s="1707"/>
      <c r="F3" s="1707"/>
      <c r="G3" s="1707"/>
      <c r="I3" s="970"/>
      <c r="J3" s="1207"/>
      <c r="K3" s="1190"/>
    </row>
    <row r="4" spans="1:11" ht="15">
      <c r="A4" s="1708" t="str">
        <f>"Nomor : 7 / M -"&amp;" "&amp;[1]ID!I2</f>
        <v>Nomor : 7 / M - 1 / I - 22 / E - 060.26 DL</v>
      </c>
      <c r="B4" s="1708"/>
      <c r="C4" s="1708"/>
      <c r="D4" s="1708"/>
      <c r="E4" s="1708"/>
      <c r="F4" s="1708"/>
      <c r="G4" s="1708"/>
      <c r="I4" s="970"/>
      <c r="J4" s="970"/>
      <c r="K4" s="44"/>
    </row>
    <row r="5" spans="1:11">
      <c r="I5" s="970"/>
      <c r="J5" s="970"/>
      <c r="K5" s="44"/>
    </row>
    <row r="6" spans="1:11">
      <c r="I6" s="970"/>
      <c r="J6" s="1207"/>
      <c r="K6" s="44"/>
    </row>
    <row r="7" spans="1:11" ht="40.75" customHeight="1">
      <c r="A7" s="1701" t="s">
        <v>601</v>
      </c>
      <c r="B7" s="1701"/>
      <c r="C7" s="1701"/>
      <c r="D7" s="1701"/>
      <c r="E7" s="1701"/>
      <c r="F7" s="1701"/>
      <c r="G7" s="1701"/>
      <c r="I7" s="970"/>
      <c r="J7" s="970"/>
      <c r="K7" s="44"/>
    </row>
    <row r="8" spans="1:11" ht="15.5">
      <c r="A8" s="1191"/>
      <c r="B8" s="1191"/>
      <c r="C8" s="1191"/>
      <c r="D8" s="1191"/>
      <c r="E8" s="1191"/>
      <c r="F8" s="1191"/>
      <c r="G8" s="1191"/>
      <c r="I8" s="970"/>
      <c r="J8" s="970"/>
      <c r="K8" s="44"/>
    </row>
    <row r="9" spans="1:11">
      <c r="I9" s="970"/>
      <c r="J9" s="970"/>
      <c r="K9" s="44"/>
    </row>
    <row r="10" spans="1:11" ht="15.5">
      <c r="A10" s="1192" t="s">
        <v>602</v>
      </c>
      <c r="C10" s="1192" t="s">
        <v>60</v>
      </c>
      <c r="D10" s="1193">
        <f>SERTIFIKAT!B14</f>
        <v>0</v>
      </c>
      <c r="I10" s="970"/>
      <c r="J10" s="970"/>
      <c r="K10" s="1194"/>
    </row>
    <row r="11" spans="1:11" ht="15.5">
      <c r="A11" s="1195" t="s">
        <v>603</v>
      </c>
      <c r="C11" s="1195" t="s">
        <v>60</v>
      </c>
      <c r="D11" s="1709">
        <f>SERTIFIKAT!D16</f>
        <v>0</v>
      </c>
      <c r="E11" s="1709"/>
      <c r="F11" s="1709"/>
      <c r="G11" s="1709"/>
      <c r="I11" s="970"/>
      <c r="J11" s="970"/>
      <c r="K11" s="1194"/>
    </row>
    <row r="12" spans="1:11" ht="15.5">
      <c r="A12" s="1192" t="s">
        <v>604</v>
      </c>
      <c r="C12" s="1192" t="s">
        <v>60</v>
      </c>
      <c r="D12" s="1192" t="str">
        <f>SERTIFIKAT!F6</f>
        <v>E - 060.26 DL</v>
      </c>
      <c r="I12" s="970"/>
      <c r="J12" s="1208"/>
      <c r="K12" s="1196"/>
    </row>
    <row r="13" spans="1:11" ht="14.5">
      <c r="I13" s="970"/>
      <c r="J13" s="970"/>
      <c r="K13" s="1197"/>
    </row>
    <row r="14" spans="1:11" ht="14">
      <c r="I14" s="1209"/>
      <c r="J14" s="1210"/>
    </row>
    <row r="15" spans="1:11" ht="15.5">
      <c r="A15" s="1198" t="s">
        <v>605</v>
      </c>
      <c r="I15" s="970"/>
      <c r="J15" s="1211"/>
    </row>
    <row r="16" spans="1:11">
      <c r="I16" s="970"/>
      <c r="J16" s="970"/>
    </row>
    <row r="17" spans="1:10" ht="15.5">
      <c r="A17" s="1199" t="s">
        <v>371</v>
      </c>
      <c r="B17" s="1199" t="s">
        <v>606</v>
      </c>
      <c r="C17" s="1710" t="s">
        <v>607</v>
      </c>
      <c r="D17" s="1711"/>
      <c r="E17" s="1199" t="s">
        <v>450</v>
      </c>
      <c r="F17" s="1199" t="s">
        <v>608</v>
      </c>
      <c r="G17" s="1199" t="s">
        <v>278</v>
      </c>
      <c r="I17" s="1209"/>
      <c r="J17" s="1212"/>
    </row>
    <row r="18" spans="1:10" ht="15.5">
      <c r="A18" s="1200" t="s">
        <v>609</v>
      </c>
      <c r="B18" s="1201" t="str">
        <f>SERTIFIKAT!B6</f>
        <v>Patient Monitor</v>
      </c>
      <c r="C18" s="1705" t="str">
        <f>SERTIFIKAT!D8</f>
        <v xml:space="preserve"> Medi Globe</v>
      </c>
      <c r="D18" s="1706"/>
      <c r="E18" s="1199" t="str">
        <f>SERTIFIKAT!D9</f>
        <v xml:space="preserve"> Garuda 12</v>
      </c>
      <c r="F18" s="1202" t="str">
        <f>SERTIFIKAT!D10</f>
        <v xml:space="preserve"> G122008063</v>
      </c>
      <c r="G18" s="1199" t="str">
        <f>SERTIFIKAT!D19</f>
        <v xml:space="preserve"> 20 Januari 2020</v>
      </c>
      <c r="I18" s="970"/>
      <c r="J18" s="1209"/>
    </row>
    <row r="19" spans="1:10" ht="15.5">
      <c r="A19" s="1203"/>
      <c r="C19" s="439"/>
      <c r="D19" s="439"/>
      <c r="I19" s="970"/>
      <c r="J19" s="1209"/>
    </row>
    <row r="20" spans="1:10" ht="14">
      <c r="I20" s="1209"/>
      <c r="J20" s="1209"/>
    </row>
    <row r="21" spans="1:10" ht="15.5">
      <c r="A21" s="1701" t="s">
        <v>610</v>
      </c>
      <c r="B21" s="1701"/>
      <c r="C21" s="1701"/>
      <c r="D21" s="1701"/>
      <c r="E21" s="1701"/>
      <c r="F21" s="1701"/>
      <c r="G21" s="1701"/>
      <c r="I21" s="1209"/>
      <c r="J21" s="1209"/>
    </row>
    <row r="23" spans="1:10" ht="15.5">
      <c r="A23" s="1702" t="s">
        <v>611</v>
      </c>
      <c r="B23" s="1702"/>
      <c r="C23" s="1702"/>
      <c r="D23" s="1702"/>
      <c r="E23" s="1702"/>
      <c r="F23" s="1702"/>
      <c r="G23" s="1702"/>
    </row>
    <row r="24" spans="1:10" ht="15.5">
      <c r="A24" s="1204"/>
      <c r="B24" s="1204"/>
      <c r="C24" s="1204"/>
      <c r="D24" s="1204"/>
      <c r="E24" s="1204"/>
      <c r="F24" s="1204"/>
      <c r="G24" s="1204"/>
    </row>
    <row r="26" spans="1:10" ht="15.5">
      <c r="F26" s="1193" t="s">
        <v>553</v>
      </c>
      <c r="G26" s="1205">
        <f ca="1">TODAY()</f>
        <v>45186</v>
      </c>
    </row>
    <row r="27" spans="1:10" ht="15.5">
      <c r="F27" s="1703" t="s">
        <v>612</v>
      </c>
      <c r="G27" s="1703"/>
    </row>
    <row r="32" spans="1:10" ht="15">
      <c r="F32" s="1704" t="s">
        <v>556</v>
      </c>
      <c r="G32" s="1704"/>
    </row>
    <row r="33" spans="6:7" ht="15.5">
      <c r="F33" s="1703" t="s">
        <v>557</v>
      </c>
      <c r="G33" s="1703"/>
    </row>
  </sheetData>
  <mergeCells count="11">
    <mergeCell ref="C18:D18"/>
    <mergeCell ref="A3:G3"/>
    <mergeCell ref="A4:G4"/>
    <mergeCell ref="A7:G7"/>
    <mergeCell ref="D11:G11"/>
    <mergeCell ref="C17:D17"/>
    <mergeCell ref="A21:G21"/>
    <mergeCell ref="A23:G23"/>
    <mergeCell ref="F27:G27"/>
    <mergeCell ref="F32:G32"/>
    <mergeCell ref="F33:G3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0000000}">
          <x14:formula1>
            <xm:f>'D:\WORK\YANTEK\[software DL gelar baru 2022.xlsx]Alat'!#REF!</xm:f>
          </x14:formula1>
          <xm:sqref>K5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ESA</vt:lpstr>
      <vt:lpstr>Riwayat Revisi</vt:lpstr>
      <vt:lpstr>DB Thermohygro</vt:lpstr>
      <vt:lpstr>DB NIBP</vt:lpstr>
      <vt:lpstr>DB ECG SIM</vt:lpstr>
      <vt:lpstr>DB SPO2</vt:lpstr>
      <vt:lpstr>LK</vt:lpstr>
      <vt:lpstr>ID</vt:lpstr>
      <vt:lpstr>kata-kata</vt:lpstr>
      <vt:lpstr>Budget</vt:lpstr>
      <vt:lpstr>Penyelia</vt:lpstr>
      <vt:lpstr>LH</vt:lpstr>
      <vt:lpstr>SERTIFIKAT</vt:lpstr>
      <vt:lpstr>Surat Keterangan</vt:lpstr>
      <vt:lpstr>Budget!Print_Area</vt:lpstr>
      <vt:lpstr>'DB ECG SIM'!Print_Area</vt:lpstr>
      <vt:lpstr>ESA!Print_Area</vt:lpstr>
      <vt:lpstr>ID!Print_Area</vt:lpstr>
      <vt:lpstr>LH!Print_Area</vt:lpstr>
      <vt:lpstr>LK!Print_Area</vt:lpstr>
      <vt:lpstr>Penyelia!Print_Area</vt:lpstr>
      <vt:lpstr>SERTIFIKAT!Print_Area</vt:lpstr>
    </vt:vector>
  </TitlesOfParts>
  <Company>BPFK Surabaya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Calibration Laboratory</dc:creator>
  <cp:lastModifiedBy>SPL</cp:lastModifiedBy>
  <cp:lastPrinted>2022-11-14T01:32:55Z</cp:lastPrinted>
  <dcterms:created xsi:type="dcterms:W3CDTF">2003-07-23T01:21:42Z</dcterms:created>
  <dcterms:modified xsi:type="dcterms:W3CDTF">2023-09-17T01:13:37Z</dcterms:modified>
</cp:coreProperties>
</file>