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drawings/drawing2.xml" ContentType="application/vnd.openxmlformats-officedocument.drawing+xml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drawings/drawing3.xml" ContentType="application/vnd.openxmlformats-officedocument.drawing+xml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drawings/drawing4.xml" ContentType="application/vnd.openxmlformats-officedocument.drawing+xml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F823953D-3B6F-42AB-80F1-5065E17EA86D}" xr6:coauthVersionLast="47" xr6:coauthVersionMax="47" xr10:uidLastSave="{00000000-0000-0000-0000-000000000000}"/>
  <bookViews>
    <workbookView xWindow="0" yWindow="0" windowWidth="10245" windowHeight="11070" tabRatio="457" firstSheet="3" activeTab="3" xr2:uid="{00000000-000D-0000-FFFF-FFFF00000000}"/>
  </bookViews>
  <sheets>
    <sheet name="LK" sheetId="7" r:id="rId1"/>
    <sheet name="Riwayat Revisi" sheetId="23" r:id="rId2"/>
    <sheet name="ID" sheetId="6" r:id="rId3"/>
    <sheet name="PENYELIA" sheetId="16" r:id="rId4"/>
    <sheet name="LH" sheetId="12" r:id="rId5"/>
    <sheet name="DB ESA" sheetId="28" r:id="rId6"/>
    <sheet name="Data Sertifikat" sheetId="20" r:id="rId7"/>
    <sheet name="UB" sheetId="8" r:id="rId8"/>
    <sheet name="SERTIFIKAT" sheetId="25" r:id="rId9"/>
    <sheet name="SURAT KETERANGAN" sheetId="26" state="hidden" r:id="rId10"/>
    <sheet name="DB SERTIFIKAT" sheetId="27" state="hidden" r:id="rId11"/>
    <sheet name="DB Thermohygro" sheetId="21" r:id="rId12"/>
    <sheet name="Verifikasi" sheetId="18" r:id="rId13"/>
    <sheet name="List cetik - cetik" sheetId="11" r:id="rId14"/>
    <sheet name="Kesimpulan" sheetId="17" r:id="rId15"/>
  </sheets>
  <externalReferences>
    <externalReference r:id="rId16"/>
    <externalReference r:id="rId17"/>
  </externalReferences>
  <definedNames>
    <definedName name="_xlnm.Print_Area" localSheetId="11">'DB Thermohygro'!$A$229:$O$243,'DB Thermohygro'!$A$1:$O$133</definedName>
    <definedName name="_xlnm.Print_Area" localSheetId="2">ID!$A$1:$K$58</definedName>
    <definedName name="_xlnm.Print_Area" localSheetId="4">LH!$A$1:$K$61</definedName>
    <definedName name="_xlnm.Print_Area" localSheetId="0">LK!$A$1:$L$61</definedName>
    <definedName name="_xlnm.Print_Area" localSheetId="3">PENYELIA!$A$1:$L$60</definedName>
    <definedName name="_xlnm.Print_Area" localSheetId="8">SERTIFIKAT!$A$1:$F$33</definedName>
    <definedName name="_xlnm.Print_Area" localSheetId="9">'SURAT KETERANGAN'!$A$1:$G$33</definedName>
    <definedName name="_xlnm.Print_Area" localSheetId="7">UB!$A$1:$K$11</definedName>
  </definedNames>
  <calcPr calcId="191028"/>
</workbook>
</file>

<file path=xl/calcChain.xml><?xml version="1.0" encoding="utf-8"?>
<calcChain xmlns="http://schemas.openxmlformats.org/spreadsheetml/2006/main">
  <c r="E16" i="16" l="1"/>
  <c r="N45" i="6"/>
  <c r="M44" i="6"/>
  <c r="H25" i="16" l="1"/>
  <c r="K310" i="28"/>
  <c r="J310" i="28"/>
  <c r="I310" i="28"/>
  <c r="K309" i="28"/>
  <c r="J309" i="28"/>
  <c r="I309" i="28"/>
  <c r="K308" i="28"/>
  <c r="J308" i="28"/>
  <c r="I308" i="28"/>
  <c r="K307" i="28"/>
  <c r="J307" i="28"/>
  <c r="I307" i="28"/>
  <c r="K306" i="28"/>
  <c r="J306" i="28"/>
  <c r="I306" i="28"/>
  <c r="K305" i="28"/>
  <c r="J305" i="28"/>
  <c r="I305" i="28"/>
  <c r="K304" i="28"/>
  <c r="J304" i="28"/>
  <c r="I304" i="28"/>
  <c r="K303" i="28"/>
  <c r="J303" i="28"/>
  <c r="I303" i="28"/>
  <c r="K302" i="28"/>
  <c r="J302" i="28"/>
  <c r="I302" i="28"/>
  <c r="K301" i="28"/>
  <c r="J301" i="28"/>
  <c r="I301" i="28"/>
  <c r="K300" i="28"/>
  <c r="J300" i="28"/>
  <c r="I300" i="28"/>
  <c r="K299" i="28"/>
  <c r="J299" i="28"/>
  <c r="I299" i="28"/>
  <c r="A298" i="28"/>
  <c r="A311" i="28" s="1"/>
  <c r="A289" i="28"/>
  <c r="A283" i="28"/>
  <c r="A275" i="28"/>
  <c r="M272" i="28"/>
  <c r="M271" i="28"/>
  <c r="M270" i="28"/>
  <c r="O269" i="28"/>
  <c r="N269" i="28"/>
  <c r="M269" i="28"/>
  <c r="M268" i="28"/>
  <c r="A267" i="28"/>
  <c r="I266" i="28"/>
  <c r="Q262" i="28"/>
  <c r="O262" i="28"/>
  <c r="N262" i="28"/>
  <c r="M262" i="28"/>
  <c r="L262" i="28"/>
  <c r="H262" i="28"/>
  <c r="F262" i="28"/>
  <c r="E262" i="28"/>
  <c r="D262" i="28"/>
  <c r="C262" i="28"/>
  <c r="Q261" i="28"/>
  <c r="O261" i="28"/>
  <c r="N261" i="28"/>
  <c r="M261" i="28"/>
  <c r="L261" i="28"/>
  <c r="H261" i="28"/>
  <c r="F261" i="28"/>
  <c r="E261" i="28"/>
  <c r="D261" i="28"/>
  <c r="C261" i="28"/>
  <c r="Q260" i="28"/>
  <c r="O260" i="28"/>
  <c r="N260" i="28"/>
  <c r="M260" i="28"/>
  <c r="L260" i="28"/>
  <c r="H260" i="28"/>
  <c r="F260" i="28"/>
  <c r="E260" i="28"/>
  <c r="D260" i="28"/>
  <c r="C260" i="28"/>
  <c r="O259" i="28"/>
  <c r="N259" i="28"/>
  <c r="M259" i="28"/>
  <c r="L259" i="28"/>
  <c r="H259" i="28"/>
  <c r="F259" i="28"/>
  <c r="E259" i="28"/>
  <c r="D259" i="28"/>
  <c r="C259" i="28"/>
  <c r="O258" i="28"/>
  <c r="N258" i="28"/>
  <c r="M258" i="28"/>
  <c r="L258" i="28"/>
  <c r="H258" i="28"/>
  <c r="F258" i="28"/>
  <c r="E258" i="28"/>
  <c r="D258" i="28"/>
  <c r="C258" i="28"/>
  <c r="O257" i="28"/>
  <c r="N257" i="28"/>
  <c r="M257" i="28"/>
  <c r="L257" i="28"/>
  <c r="F257" i="28"/>
  <c r="E257" i="28"/>
  <c r="D257" i="28"/>
  <c r="C257" i="28"/>
  <c r="O256" i="28"/>
  <c r="N256" i="28"/>
  <c r="M256" i="28"/>
  <c r="L256" i="28"/>
  <c r="F256" i="28"/>
  <c r="E256" i="28"/>
  <c r="D256" i="28"/>
  <c r="C256" i="28"/>
  <c r="O255" i="28"/>
  <c r="N255" i="28"/>
  <c r="M255" i="28"/>
  <c r="L255" i="28"/>
  <c r="F255" i="28"/>
  <c r="E255" i="28"/>
  <c r="D255" i="28"/>
  <c r="C255" i="28"/>
  <c r="O254" i="28"/>
  <c r="N254" i="28"/>
  <c r="M254" i="28"/>
  <c r="L254" i="28"/>
  <c r="F254" i="28"/>
  <c r="E254" i="28"/>
  <c r="D254" i="28"/>
  <c r="C254" i="28"/>
  <c r="O253" i="28"/>
  <c r="N253" i="28"/>
  <c r="M253" i="28"/>
  <c r="L253" i="28"/>
  <c r="F253" i="28"/>
  <c r="E253" i="28"/>
  <c r="D253" i="28"/>
  <c r="C253" i="28"/>
  <c r="O252" i="28"/>
  <c r="N252" i="28"/>
  <c r="M252" i="28"/>
  <c r="L252" i="28"/>
  <c r="F252" i="28"/>
  <c r="E252" i="28"/>
  <c r="D252" i="28"/>
  <c r="C252" i="28"/>
  <c r="O251" i="28"/>
  <c r="N251" i="28"/>
  <c r="M251" i="28"/>
  <c r="L251" i="28"/>
  <c r="F251" i="28"/>
  <c r="E251" i="28"/>
  <c r="D251" i="28"/>
  <c r="C251" i="28"/>
  <c r="Q249" i="28"/>
  <c r="O249" i="28"/>
  <c r="N249" i="28"/>
  <c r="M249" i="28"/>
  <c r="L249" i="28"/>
  <c r="H249" i="28"/>
  <c r="F249" i="28"/>
  <c r="E249" i="28"/>
  <c r="D249" i="28"/>
  <c r="C249" i="28"/>
  <c r="Q248" i="28"/>
  <c r="O248" i="28"/>
  <c r="N248" i="28"/>
  <c r="M248" i="28"/>
  <c r="L248" i="28"/>
  <c r="H248" i="28"/>
  <c r="F248" i="28"/>
  <c r="E248" i="28"/>
  <c r="D248" i="28"/>
  <c r="C248" i="28"/>
  <c r="Q247" i="28"/>
  <c r="O247" i="28"/>
  <c r="N247" i="28"/>
  <c r="M247" i="28"/>
  <c r="L247" i="28"/>
  <c r="H247" i="28"/>
  <c r="F247" i="28"/>
  <c r="E247" i="28"/>
  <c r="D247" i="28"/>
  <c r="C247" i="28"/>
  <c r="O246" i="28"/>
  <c r="N246" i="28"/>
  <c r="M246" i="28"/>
  <c r="L246" i="28"/>
  <c r="H246" i="28"/>
  <c r="F246" i="28"/>
  <c r="E246" i="28"/>
  <c r="D246" i="28"/>
  <c r="C246" i="28"/>
  <c r="O245" i="28"/>
  <c r="N245" i="28"/>
  <c r="M245" i="28"/>
  <c r="L245" i="28"/>
  <c r="F245" i="28"/>
  <c r="E245" i="28"/>
  <c r="D245" i="28"/>
  <c r="C245" i="28"/>
  <c r="O244" i="28"/>
  <c r="N244" i="28"/>
  <c r="M244" i="28"/>
  <c r="L244" i="28"/>
  <c r="F244" i="28"/>
  <c r="E244" i="28"/>
  <c r="D244" i="28"/>
  <c r="C244" i="28"/>
  <c r="O243" i="28"/>
  <c r="N243" i="28"/>
  <c r="M243" i="28"/>
  <c r="L243" i="28"/>
  <c r="F243" i="28"/>
  <c r="E243" i="28"/>
  <c r="D243" i="28"/>
  <c r="C243" i="28"/>
  <c r="O242" i="28"/>
  <c r="N242" i="28"/>
  <c r="M242" i="28"/>
  <c r="L242" i="28"/>
  <c r="F242" i="28"/>
  <c r="E242" i="28"/>
  <c r="D242" i="28"/>
  <c r="C242" i="28"/>
  <c r="O241" i="28"/>
  <c r="N241" i="28"/>
  <c r="M241" i="28"/>
  <c r="L241" i="28"/>
  <c r="F241" i="28"/>
  <c r="E241" i="28"/>
  <c r="D241" i="28"/>
  <c r="C241" i="28"/>
  <c r="O240" i="28"/>
  <c r="N240" i="28"/>
  <c r="M240" i="28"/>
  <c r="L240" i="28"/>
  <c r="F240" i="28"/>
  <c r="E240" i="28"/>
  <c r="D240" i="28"/>
  <c r="C240" i="28"/>
  <c r="O239" i="28"/>
  <c r="N239" i="28"/>
  <c r="M239" i="28"/>
  <c r="L239" i="28"/>
  <c r="F239" i="28"/>
  <c r="E239" i="28"/>
  <c r="D239" i="28"/>
  <c r="C239" i="28"/>
  <c r="P238" i="28"/>
  <c r="O238" i="28"/>
  <c r="N238" i="28"/>
  <c r="M238" i="28"/>
  <c r="L238" i="28"/>
  <c r="F238" i="28"/>
  <c r="E238" i="28"/>
  <c r="D238" i="28"/>
  <c r="C238" i="28"/>
  <c r="Q236" i="28"/>
  <c r="O236" i="28"/>
  <c r="N236" i="28"/>
  <c r="M236" i="28"/>
  <c r="L236" i="28"/>
  <c r="H236" i="28"/>
  <c r="F236" i="28"/>
  <c r="E236" i="28"/>
  <c r="D236" i="28"/>
  <c r="C236" i="28"/>
  <c r="Q235" i="28"/>
  <c r="O235" i="28"/>
  <c r="N235" i="28"/>
  <c r="M235" i="28"/>
  <c r="L235" i="28"/>
  <c r="H235" i="28"/>
  <c r="F235" i="28"/>
  <c r="E235" i="28"/>
  <c r="D235" i="28"/>
  <c r="C235" i="28"/>
  <c r="Q234" i="28"/>
  <c r="O234" i="28"/>
  <c r="N234" i="28"/>
  <c r="M234" i="28"/>
  <c r="L234" i="28"/>
  <c r="H234" i="28"/>
  <c r="F234" i="28"/>
  <c r="E234" i="28"/>
  <c r="D234" i="28"/>
  <c r="C234" i="28"/>
  <c r="O233" i="28"/>
  <c r="N233" i="28"/>
  <c r="M233" i="28"/>
  <c r="L233" i="28"/>
  <c r="H233" i="28"/>
  <c r="F233" i="28"/>
  <c r="E233" i="28"/>
  <c r="D233" i="28"/>
  <c r="C233" i="28"/>
  <c r="O232" i="28"/>
  <c r="N232" i="28"/>
  <c r="M232" i="28"/>
  <c r="L232" i="28"/>
  <c r="F232" i="28"/>
  <c r="E232" i="28"/>
  <c r="D232" i="28"/>
  <c r="C232" i="28"/>
  <c r="O231" i="28"/>
  <c r="N231" i="28"/>
  <c r="M231" i="28"/>
  <c r="L231" i="28"/>
  <c r="H231" i="28"/>
  <c r="F231" i="28"/>
  <c r="E231" i="28"/>
  <c r="D231" i="28"/>
  <c r="C231" i="28"/>
  <c r="O230" i="28"/>
  <c r="N230" i="28"/>
  <c r="M230" i="28"/>
  <c r="L230" i="28"/>
  <c r="F230" i="28"/>
  <c r="E230" i="28"/>
  <c r="D230" i="28"/>
  <c r="C230" i="28"/>
  <c r="O229" i="28"/>
  <c r="N229" i="28"/>
  <c r="M229" i="28"/>
  <c r="L229" i="28"/>
  <c r="F229" i="28"/>
  <c r="E229" i="28"/>
  <c r="D229" i="28"/>
  <c r="C229" i="28"/>
  <c r="O228" i="28"/>
  <c r="N228" i="28"/>
  <c r="M228" i="28"/>
  <c r="L228" i="28"/>
  <c r="F228" i="28"/>
  <c r="E228" i="28"/>
  <c r="D228" i="28"/>
  <c r="C228" i="28"/>
  <c r="O227" i="28"/>
  <c r="N227" i="28"/>
  <c r="M227" i="28"/>
  <c r="L227" i="28"/>
  <c r="F227" i="28"/>
  <c r="E227" i="28"/>
  <c r="D227" i="28"/>
  <c r="C227" i="28"/>
  <c r="O226" i="28"/>
  <c r="N226" i="28"/>
  <c r="M226" i="28"/>
  <c r="L226" i="28"/>
  <c r="F226" i="28"/>
  <c r="E226" i="28"/>
  <c r="D226" i="28"/>
  <c r="C226" i="28"/>
  <c r="O225" i="28"/>
  <c r="N225" i="28"/>
  <c r="M225" i="28"/>
  <c r="L225" i="28"/>
  <c r="F225" i="28"/>
  <c r="E225" i="28"/>
  <c r="D225" i="28"/>
  <c r="C225" i="28"/>
  <c r="Q223" i="28"/>
  <c r="O223" i="28"/>
  <c r="N223" i="28"/>
  <c r="M223" i="28"/>
  <c r="L223" i="28"/>
  <c r="H223" i="28"/>
  <c r="F223" i="28"/>
  <c r="E223" i="28"/>
  <c r="D223" i="28"/>
  <c r="C223" i="28"/>
  <c r="Q222" i="28"/>
  <c r="O222" i="28"/>
  <c r="N222" i="28"/>
  <c r="M222" i="28"/>
  <c r="L222" i="28"/>
  <c r="H222" i="28"/>
  <c r="F222" i="28"/>
  <c r="E222" i="28"/>
  <c r="D222" i="28"/>
  <c r="C222" i="28"/>
  <c r="Q221" i="28"/>
  <c r="O221" i="28"/>
  <c r="N221" i="28"/>
  <c r="M221" i="28"/>
  <c r="L221" i="28"/>
  <c r="H221" i="28"/>
  <c r="F221" i="28"/>
  <c r="E221" i="28"/>
  <c r="D221" i="28"/>
  <c r="C221" i="28"/>
  <c r="O220" i="28"/>
  <c r="N220" i="28"/>
  <c r="M220" i="28"/>
  <c r="L220" i="28"/>
  <c r="H220" i="28"/>
  <c r="F220" i="28"/>
  <c r="E220" i="28"/>
  <c r="D220" i="28"/>
  <c r="C220" i="28"/>
  <c r="O219" i="28"/>
  <c r="N219" i="28"/>
  <c r="M219" i="28"/>
  <c r="L219" i="28"/>
  <c r="F219" i="28"/>
  <c r="E219" i="28"/>
  <c r="D219" i="28"/>
  <c r="C219" i="28"/>
  <c r="Q218" i="28"/>
  <c r="O218" i="28"/>
  <c r="N218" i="28"/>
  <c r="M218" i="28"/>
  <c r="L218" i="28"/>
  <c r="F218" i="28"/>
  <c r="E218" i="28"/>
  <c r="D218" i="28"/>
  <c r="C218" i="28"/>
  <c r="O217" i="28"/>
  <c r="N217" i="28"/>
  <c r="M217" i="28"/>
  <c r="L217" i="28"/>
  <c r="F217" i="28"/>
  <c r="E217" i="28"/>
  <c r="D217" i="28"/>
  <c r="C217" i="28"/>
  <c r="O216" i="28"/>
  <c r="N216" i="28"/>
  <c r="M216" i="28"/>
  <c r="L216" i="28"/>
  <c r="F216" i="28"/>
  <c r="E216" i="28"/>
  <c r="D216" i="28"/>
  <c r="C216" i="28"/>
  <c r="P215" i="28"/>
  <c r="O215" i="28"/>
  <c r="N215" i="28"/>
  <c r="M215" i="28"/>
  <c r="L215" i="28"/>
  <c r="F215" i="28"/>
  <c r="E215" i="28"/>
  <c r="D215" i="28"/>
  <c r="C215" i="28"/>
  <c r="O214" i="28"/>
  <c r="N214" i="28"/>
  <c r="M214" i="28"/>
  <c r="L214" i="28"/>
  <c r="F214" i="28"/>
  <c r="E214" i="28"/>
  <c r="D214" i="28"/>
  <c r="C214" i="28"/>
  <c r="O213" i="28"/>
  <c r="N213" i="28"/>
  <c r="M213" i="28"/>
  <c r="L213" i="28"/>
  <c r="F213" i="28"/>
  <c r="E213" i="28"/>
  <c r="D213" i="28"/>
  <c r="C213" i="28"/>
  <c r="Q212" i="28"/>
  <c r="P212" i="28"/>
  <c r="O212" i="28"/>
  <c r="N212" i="28"/>
  <c r="M212" i="28"/>
  <c r="L212" i="28"/>
  <c r="F212" i="28"/>
  <c r="E212" i="28"/>
  <c r="D212" i="28"/>
  <c r="C212" i="28"/>
  <c r="L210" i="28"/>
  <c r="C210" i="28"/>
  <c r="Q207" i="28"/>
  <c r="O207" i="28"/>
  <c r="N207" i="28"/>
  <c r="M207" i="28"/>
  <c r="L207" i="28"/>
  <c r="H207" i="28"/>
  <c r="F207" i="28"/>
  <c r="E207" i="28"/>
  <c r="D207" i="28"/>
  <c r="C207" i="28"/>
  <c r="Q206" i="28"/>
  <c r="O206" i="28"/>
  <c r="N206" i="28"/>
  <c r="M206" i="28"/>
  <c r="L206" i="28"/>
  <c r="H206" i="28"/>
  <c r="F206" i="28"/>
  <c r="E206" i="28"/>
  <c r="D206" i="28"/>
  <c r="C206" i="28"/>
  <c r="Q205" i="28"/>
  <c r="O205" i="28"/>
  <c r="N205" i="28"/>
  <c r="M205" i="28"/>
  <c r="L205" i="28"/>
  <c r="H205" i="28"/>
  <c r="F205" i="28"/>
  <c r="E205" i="28"/>
  <c r="D205" i="28"/>
  <c r="C205" i="28"/>
  <c r="Q204" i="28"/>
  <c r="O204" i="28"/>
  <c r="N204" i="28"/>
  <c r="M204" i="28"/>
  <c r="L204" i="28"/>
  <c r="H204" i="28"/>
  <c r="F204" i="28"/>
  <c r="E204" i="28"/>
  <c r="D204" i="28"/>
  <c r="C204" i="28"/>
  <c r="O203" i="28"/>
  <c r="N203" i="28"/>
  <c r="M203" i="28"/>
  <c r="L203" i="28"/>
  <c r="F203" i="28"/>
  <c r="E203" i="28"/>
  <c r="D203" i="28"/>
  <c r="C203" i="28"/>
  <c r="Q202" i="28"/>
  <c r="O202" i="28"/>
  <c r="N202" i="28"/>
  <c r="M202" i="28"/>
  <c r="L202" i="28"/>
  <c r="F202" i="28"/>
  <c r="E202" i="28"/>
  <c r="D202" i="28"/>
  <c r="C202" i="28"/>
  <c r="Q201" i="28"/>
  <c r="O201" i="28"/>
  <c r="N201" i="28"/>
  <c r="M201" i="28"/>
  <c r="L201" i="28"/>
  <c r="F201" i="28"/>
  <c r="E201" i="28"/>
  <c r="D201" i="28"/>
  <c r="C201" i="28"/>
  <c r="Q200" i="28"/>
  <c r="O200" i="28"/>
  <c r="N200" i="28"/>
  <c r="M200" i="28"/>
  <c r="L200" i="28"/>
  <c r="H200" i="28"/>
  <c r="F200" i="28"/>
  <c r="E200" i="28"/>
  <c r="D200" i="28"/>
  <c r="C200" i="28"/>
  <c r="O199" i="28"/>
  <c r="N199" i="28"/>
  <c r="M199" i="28"/>
  <c r="L199" i="28"/>
  <c r="H199" i="28"/>
  <c r="F199" i="28"/>
  <c r="E199" i="28"/>
  <c r="D199" i="28"/>
  <c r="C199" i="28"/>
  <c r="O198" i="28"/>
  <c r="N198" i="28"/>
  <c r="M198" i="28"/>
  <c r="L198" i="28"/>
  <c r="F198" i="28"/>
  <c r="E198" i="28"/>
  <c r="D198" i="28"/>
  <c r="C198" i="28"/>
  <c r="Q197" i="28"/>
  <c r="O197" i="28"/>
  <c r="N197" i="28"/>
  <c r="M197" i="28"/>
  <c r="L197" i="28"/>
  <c r="H197" i="28"/>
  <c r="F197" i="28"/>
  <c r="E197" i="28"/>
  <c r="D197" i="28"/>
  <c r="C197" i="28"/>
  <c r="O196" i="28"/>
  <c r="N196" i="28"/>
  <c r="M196" i="28"/>
  <c r="L196" i="28"/>
  <c r="F196" i="28"/>
  <c r="E196" i="28"/>
  <c r="D196" i="28"/>
  <c r="C196" i="28"/>
  <c r="Q194" i="28"/>
  <c r="O194" i="28"/>
  <c r="N194" i="28"/>
  <c r="M194" i="28"/>
  <c r="L194" i="28"/>
  <c r="H194" i="28"/>
  <c r="F194" i="28"/>
  <c r="E194" i="28"/>
  <c r="D194" i="28"/>
  <c r="C194" i="28"/>
  <c r="Q193" i="28"/>
  <c r="O193" i="28"/>
  <c r="N193" i="28"/>
  <c r="M193" i="28"/>
  <c r="L193" i="28"/>
  <c r="H193" i="28"/>
  <c r="F193" i="28"/>
  <c r="E193" i="28"/>
  <c r="D193" i="28"/>
  <c r="C193" i="28"/>
  <c r="Q192" i="28"/>
  <c r="O192" i="28"/>
  <c r="N192" i="28"/>
  <c r="M192" i="28"/>
  <c r="L192" i="28"/>
  <c r="H192" i="28"/>
  <c r="F192" i="28"/>
  <c r="E192" i="28"/>
  <c r="D192" i="28"/>
  <c r="C192" i="28"/>
  <c r="O191" i="28"/>
  <c r="N191" i="28"/>
  <c r="M191" i="28"/>
  <c r="L191" i="28"/>
  <c r="F191" i="28"/>
  <c r="E191" i="28"/>
  <c r="D191" i="28"/>
  <c r="C191" i="28"/>
  <c r="O190" i="28"/>
  <c r="N190" i="28"/>
  <c r="M190" i="28"/>
  <c r="L190" i="28"/>
  <c r="H190" i="28"/>
  <c r="F190" i="28"/>
  <c r="E190" i="28"/>
  <c r="D190" i="28"/>
  <c r="C190" i="28"/>
  <c r="O189" i="28"/>
  <c r="N189" i="28"/>
  <c r="M189" i="28"/>
  <c r="L189" i="28"/>
  <c r="F189" i="28"/>
  <c r="E189" i="28"/>
  <c r="D189" i="28"/>
  <c r="C189" i="28"/>
  <c r="O188" i="28"/>
  <c r="N188" i="28"/>
  <c r="M188" i="28"/>
  <c r="L188" i="28"/>
  <c r="F188" i="28"/>
  <c r="E188" i="28"/>
  <c r="D188" i="28"/>
  <c r="C188" i="28"/>
  <c r="O187" i="28"/>
  <c r="N187" i="28"/>
  <c r="M187" i="28"/>
  <c r="L187" i="28"/>
  <c r="F187" i="28"/>
  <c r="E187" i="28"/>
  <c r="D187" i="28"/>
  <c r="C187" i="28"/>
  <c r="O186" i="28"/>
  <c r="N186" i="28"/>
  <c r="M186" i="28"/>
  <c r="L186" i="28"/>
  <c r="H186" i="28"/>
  <c r="F186" i="28"/>
  <c r="E186" i="28"/>
  <c r="D186" i="28"/>
  <c r="C186" i="28"/>
  <c r="O185" i="28"/>
  <c r="N185" i="28"/>
  <c r="M185" i="28"/>
  <c r="L185" i="28"/>
  <c r="F185" i="28"/>
  <c r="E185" i="28"/>
  <c r="D185" i="28"/>
  <c r="C185" i="28"/>
  <c r="O184" i="28"/>
  <c r="N184" i="28"/>
  <c r="M184" i="28"/>
  <c r="L184" i="28"/>
  <c r="F184" i="28"/>
  <c r="E184" i="28"/>
  <c r="D184" i="28"/>
  <c r="C184" i="28"/>
  <c r="O183" i="28"/>
  <c r="N183" i="28"/>
  <c r="M183" i="28"/>
  <c r="L183" i="28"/>
  <c r="F183" i="28"/>
  <c r="E183" i="28"/>
  <c r="D183" i="28"/>
  <c r="C183" i="28"/>
  <c r="Q181" i="28"/>
  <c r="O181" i="28"/>
  <c r="N181" i="28"/>
  <c r="M181" i="28"/>
  <c r="L181" i="28"/>
  <c r="H181" i="28"/>
  <c r="F181" i="28"/>
  <c r="E181" i="28"/>
  <c r="D181" i="28"/>
  <c r="C181" i="28"/>
  <c r="Q180" i="28"/>
  <c r="O180" i="28"/>
  <c r="N180" i="28"/>
  <c r="M180" i="28"/>
  <c r="L180" i="28"/>
  <c r="H180" i="28"/>
  <c r="F180" i="28"/>
  <c r="E180" i="28"/>
  <c r="D180" i="28"/>
  <c r="C180" i="28"/>
  <c r="Q179" i="28"/>
  <c r="O179" i="28"/>
  <c r="N179" i="28"/>
  <c r="M179" i="28"/>
  <c r="L179" i="28"/>
  <c r="H179" i="28"/>
  <c r="F179" i="28"/>
  <c r="E179" i="28"/>
  <c r="D179" i="28"/>
  <c r="C179" i="28"/>
  <c r="O178" i="28"/>
  <c r="N178" i="28"/>
  <c r="M178" i="28"/>
  <c r="L178" i="28"/>
  <c r="F178" i="28"/>
  <c r="E178" i="28"/>
  <c r="D178" i="28"/>
  <c r="C178" i="28"/>
  <c r="O177" i="28"/>
  <c r="N177" i="28"/>
  <c r="M177" i="28"/>
  <c r="L177" i="28"/>
  <c r="F177" i="28"/>
  <c r="E177" i="28"/>
  <c r="D177" i="28"/>
  <c r="C177" i="28"/>
  <c r="O176" i="28"/>
  <c r="N176" i="28"/>
  <c r="M176" i="28"/>
  <c r="L176" i="28"/>
  <c r="H176" i="28"/>
  <c r="F176" i="28"/>
  <c r="E176" i="28"/>
  <c r="D176" i="28"/>
  <c r="C176" i="28"/>
  <c r="O175" i="28"/>
  <c r="N175" i="28"/>
  <c r="M175" i="28"/>
  <c r="L175" i="28"/>
  <c r="F175" i="28"/>
  <c r="E175" i="28"/>
  <c r="D175" i="28"/>
  <c r="C175" i="28"/>
  <c r="O174" i="28"/>
  <c r="N174" i="28"/>
  <c r="M174" i="28"/>
  <c r="L174" i="28"/>
  <c r="F174" i="28"/>
  <c r="E174" i="28"/>
  <c r="D174" i="28"/>
  <c r="C174" i="28"/>
  <c r="O173" i="28"/>
  <c r="N173" i="28"/>
  <c r="M173" i="28"/>
  <c r="L173" i="28"/>
  <c r="F173" i="28"/>
  <c r="E173" i="28"/>
  <c r="D173" i="28"/>
  <c r="C173" i="28"/>
  <c r="O172" i="28"/>
  <c r="N172" i="28"/>
  <c r="M172" i="28"/>
  <c r="L172" i="28"/>
  <c r="F172" i="28"/>
  <c r="E172" i="28"/>
  <c r="D172" i="28"/>
  <c r="C172" i="28"/>
  <c r="O171" i="28"/>
  <c r="N171" i="28"/>
  <c r="M171" i="28"/>
  <c r="L171" i="28"/>
  <c r="F171" i="28"/>
  <c r="E171" i="28"/>
  <c r="D171" i="28"/>
  <c r="C171" i="28"/>
  <c r="O170" i="28"/>
  <c r="N170" i="28"/>
  <c r="M170" i="28"/>
  <c r="L170" i="28"/>
  <c r="F170" i="28"/>
  <c r="E170" i="28"/>
  <c r="D170" i="28"/>
  <c r="C170" i="28"/>
  <c r="Q168" i="28"/>
  <c r="O168" i="28"/>
  <c r="N168" i="28"/>
  <c r="M168" i="28"/>
  <c r="L168" i="28"/>
  <c r="H168" i="28"/>
  <c r="F168" i="28"/>
  <c r="E168" i="28"/>
  <c r="D168" i="28"/>
  <c r="C168" i="28"/>
  <c r="Q167" i="28"/>
  <c r="O167" i="28"/>
  <c r="N167" i="28"/>
  <c r="M167" i="28"/>
  <c r="L167" i="28"/>
  <c r="H167" i="28"/>
  <c r="F167" i="28"/>
  <c r="E167" i="28"/>
  <c r="D167" i="28"/>
  <c r="C167" i="28"/>
  <c r="Q166" i="28"/>
  <c r="O166" i="28"/>
  <c r="N166" i="28"/>
  <c r="M166" i="28"/>
  <c r="L166" i="28"/>
  <c r="H166" i="28"/>
  <c r="F166" i="28"/>
  <c r="E166" i="28"/>
  <c r="D166" i="28"/>
  <c r="C166" i="28"/>
  <c r="O165" i="28"/>
  <c r="N165" i="28"/>
  <c r="M165" i="28"/>
  <c r="L165" i="28"/>
  <c r="F165" i="28"/>
  <c r="E165" i="28"/>
  <c r="D165" i="28"/>
  <c r="C165" i="28"/>
  <c r="O164" i="28"/>
  <c r="N164" i="28"/>
  <c r="M164" i="28"/>
  <c r="L164" i="28"/>
  <c r="H164" i="28"/>
  <c r="F164" i="28"/>
  <c r="E164" i="28"/>
  <c r="D164" i="28"/>
  <c r="C164" i="28"/>
  <c r="O163" i="28"/>
  <c r="N163" i="28"/>
  <c r="M163" i="28"/>
  <c r="L163" i="28"/>
  <c r="F163" i="28"/>
  <c r="E163" i="28"/>
  <c r="D163" i="28"/>
  <c r="C163" i="28"/>
  <c r="O162" i="28"/>
  <c r="N162" i="28"/>
  <c r="M162" i="28"/>
  <c r="L162" i="28"/>
  <c r="H162" i="28"/>
  <c r="F162" i="28"/>
  <c r="E162" i="28"/>
  <c r="D162" i="28"/>
  <c r="C162" i="28"/>
  <c r="O161" i="28"/>
  <c r="N161" i="28"/>
  <c r="M161" i="28"/>
  <c r="L161" i="28"/>
  <c r="F161" i="28"/>
  <c r="E161" i="28"/>
  <c r="D161" i="28"/>
  <c r="C161" i="28"/>
  <c r="O160" i="28"/>
  <c r="N160" i="28"/>
  <c r="M160" i="28"/>
  <c r="L160" i="28"/>
  <c r="F160" i="28"/>
  <c r="E160" i="28"/>
  <c r="D160" i="28"/>
  <c r="C160" i="28"/>
  <c r="O159" i="28"/>
  <c r="N159" i="28"/>
  <c r="M159" i="28"/>
  <c r="L159" i="28"/>
  <c r="H159" i="28"/>
  <c r="F159" i="28"/>
  <c r="E159" i="28"/>
  <c r="D159" i="28"/>
  <c r="C159" i="28"/>
  <c r="O158" i="28"/>
  <c r="N158" i="28"/>
  <c r="M158" i="28"/>
  <c r="L158" i="28"/>
  <c r="F158" i="28"/>
  <c r="E158" i="28"/>
  <c r="D158" i="28"/>
  <c r="C158" i="28"/>
  <c r="Q157" i="28"/>
  <c r="O157" i="28"/>
  <c r="N157" i="28"/>
  <c r="M157" i="28"/>
  <c r="L157" i="28"/>
  <c r="F157" i="28"/>
  <c r="E157" i="28"/>
  <c r="D157" i="28"/>
  <c r="C157" i="28"/>
  <c r="Q155" i="28"/>
  <c r="P155" i="28"/>
  <c r="O155" i="28"/>
  <c r="N155" i="28"/>
  <c r="M155" i="28"/>
  <c r="L155" i="28"/>
  <c r="H155" i="28"/>
  <c r="F155" i="28"/>
  <c r="E155" i="28"/>
  <c r="D155" i="28"/>
  <c r="C155" i="28"/>
  <c r="Q154" i="28"/>
  <c r="O154" i="28"/>
  <c r="N154" i="28"/>
  <c r="M154" i="28"/>
  <c r="L154" i="28"/>
  <c r="H154" i="28"/>
  <c r="F154" i="28"/>
  <c r="E154" i="28"/>
  <c r="D154" i="28"/>
  <c r="C154" i="28"/>
  <c r="Q153" i="28"/>
  <c r="O153" i="28"/>
  <c r="N153" i="28"/>
  <c r="M153" i="28"/>
  <c r="L153" i="28"/>
  <c r="H153" i="28"/>
  <c r="F153" i="28"/>
  <c r="E153" i="28"/>
  <c r="D153" i="28"/>
  <c r="C153" i="28"/>
  <c r="Q152" i="28"/>
  <c r="O152" i="28"/>
  <c r="N152" i="28"/>
  <c r="M152" i="28"/>
  <c r="L152" i="28"/>
  <c r="F152" i="28"/>
  <c r="E152" i="28"/>
  <c r="D152" i="28"/>
  <c r="C152" i="28"/>
  <c r="O151" i="28"/>
  <c r="N151" i="28"/>
  <c r="M151" i="28"/>
  <c r="L151" i="28"/>
  <c r="F151" i="28"/>
  <c r="E151" i="28"/>
  <c r="D151" i="28"/>
  <c r="C151" i="28"/>
  <c r="O150" i="28"/>
  <c r="N150" i="28"/>
  <c r="M150" i="28"/>
  <c r="L150" i="28"/>
  <c r="H150" i="28"/>
  <c r="F150" i="28"/>
  <c r="E150" i="28"/>
  <c r="D150" i="28"/>
  <c r="C150" i="28"/>
  <c r="O149" i="28"/>
  <c r="N149" i="28"/>
  <c r="M149" i="28"/>
  <c r="L149" i="28"/>
  <c r="F149" i="28"/>
  <c r="E149" i="28"/>
  <c r="D149" i="28"/>
  <c r="C149" i="28"/>
  <c r="Q148" i="28"/>
  <c r="O148" i="28"/>
  <c r="N148" i="28"/>
  <c r="M148" i="28"/>
  <c r="L148" i="28"/>
  <c r="F148" i="28"/>
  <c r="E148" i="28"/>
  <c r="D148" i="28"/>
  <c r="C148" i="28"/>
  <c r="Q147" i="28"/>
  <c r="O147" i="28"/>
  <c r="N147" i="28"/>
  <c r="M147" i="28"/>
  <c r="L147" i="28"/>
  <c r="F147" i="28"/>
  <c r="E147" i="28"/>
  <c r="D147" i="28"/>
  <c r="C147" i="28"/>
  <c r="Q146" i="28"/>
  <c r="O146" i="28"/>
  <c r="N146" i="28"/>
  <c r="M146" i="28"/>
  <c r="L146" i="28"/>
  <c r="F146" i="28"/>
  <c r="E146" i="28"/>
  <c r="D146" i="28"/>
  <c r="C146" i="28"/>
  <c r="Q145" i="28"/>
  <c r="O145" i="28"/>
  <c r="N145" i="28"/>
  <c r="M145" i="28"/>
  <c r="L145" i="28"/>
  <c r="F145" i="28"/>
  <c r="E145" i="28"/>
  <c r="D145" i="28"/>
  <c r="C145" i="28"/>
  <c r="Q144" i="28"/>
  <c r="O144" i="28"/>
  <c r="N144" i="28"/>
  <c r="M144" i="28"/>
  <c r="L144" i="28"/>
  <c r="F144" i="28"/>
  <c r="E144" i="28"/>
  <c r="D144" i="28"/>
  <c r="C144" i="28"/>
  <c r="Q142" i="28"/>
  <c r="O142" i="28"/>
  <c r="N142" i="28"/>
  <c r="M142" i="28"/>
  <c r="L142" i="28"/>
  <c r="H142" i="28"/>
  <c r="F142" i="28"/>
  <c r="E142" i="28"/>
  <c r="D142" i="28"/>
  <c r="C142" i="28"/>
  <c r="Q141" i="28"/>
  <c r="O141" i="28"/>
  <c r="N141" i="28"/>
  <c r="M141" i="28"/>
  <c r="L141" i="28"/>
  <c r="H141" i="28"/>
  <c r="F141" i="28"/>
  <c r="E141" i="28"/>
  <c r="D141" i="28"/>
  <c r="C141" i="28"/>
  <c r="Q140" i="28"/>
  <c r="O140" i="28"/>
  <c r="N140" i="28"/>
  <c r="M140" i="28"/>
  <c r="L140" i="28"/>
  <c r="H140" i="28"/>
  <c r="F140" i="28"/>
  <c r="E140" i="28"/>
  <c r="D140" i="28"/>
  <c r="C140" i="28"/>
  <c r="Q139" i="28"/>
  <c r="O139" i="28"/>
  <c r="N139" i="28"/>
  <c r="M139" i="28"/>
  <c r="L139" i="28"/>
  <c r="F139" i="28"/>
  <c r="E139" i="28"/>
  <c r="D139" i="28"/>
  <c r="C139" i="28"/>
  <c r="O138" i="28"/>
  <c r="N138" i="28"/>
  <c r="M138" i="28"/>
  <c r="L138" i="28"/>
  <c r="F138" i="28"/>
  <c r="E138" i="28"/>
  <c r="D138" i="28"/>
  <c r="C138" i="28"/>
  <c r="Q137" i="28"/>
  <c r="O137" i="28"/>
  <c r="N137" i="28"/>
  <c r="M137" i="28"/>
  <c r="L137" i="28"/>
  <c r="F137" i="28"/>
  <c r="E137" i="28"/>
  <c r="D137" i="28"/>
  <c r="C137" i="28"/>
  <c r="Q136" i="28"/>
  <c r="O136" i="28"/>
  <c r="N136" i="28"/>
  <c r="M136" i="28"/>
  <c r="L136" i="28"/>
  <c r="F136" i="28"/>
  <c r="E136" i="28"/>
  <c r="D136" i="28"/>
  <c r="C136" i="28"/>
  <c r="O135" i="28"/>
  <c r="N135" i="28"/>
  <c r="M135" i="28"/>
  <c r="L135" i="28"/>
  <c r="F135" i="28"/>
  <c r="E135" i="28"/>
  <c r="D135" i="28"/>
  <c r="C135" i="28"/>
  <c r="Q134" i="28"/>
  <c r="O134" i="28"/>
  <c r="N134" i="28"/>
  <c r="M134" i="28"/>
  <c r="L134" i="28"/>
  <c r="F134" i="28"/>
  <c r="E134" i="28"/>
  <c r="D134" i="28"/>
  <c r="C134" i="28"/>
  <c r="Q133" i="28"/>
  <c r="P133" i="28"/>
  <c r="O133" i="28"/>
  <c r="N133" i="28"/>
  <c r="M133" i="28"/>
  <c r="L133" i="28"/>
  <c r="F133" i="28"/>
  <c r="E133" i="28"/>
  <c r="D133" i="28"/>
  <c r="C133" i="28"/>
  <c r="Q132" i="28"/>
  <c r="P132" i="28"/>
  <c r="O132" i="28"/>
  <c r="N132" i="28"/>
  <c r="M132" i="28"/>
  <c r="L132" i="28"/>
  <c r="F132" i="28"/>
  <c r="E132" i="28"/>
  <c r="D132" i="28"/>
  <c r="C132" i="28"/>
  <c r="Q131" i="28"/>
  <c r="P131" i="28"/>
  <c r="O131" i="28"/>
  <c r="N131" i="28"/>
  <c r="M131" i="28"/>
  <c r="L131" i="28"/>
  <c r="F131" i="28"/>
  <c r="E131" i="28"/>
  <c r="D131" i="28"/>
  <c r="C131" i="28"/>
  <c r="L129" i="28"/>
  <c r="C129" i="28"/>
  <c r="J128" i="28"/>
  <c r="T124" i="28"/>
  <c r="P262" i="28" s="1"/>
  <c r="M124" i="28"/>
  <c r="P261" i="28" s="1"/>
  <c r="F124" i="28"/>
  <c r="P260" i="28" s="1"/>
  <c r="T123" i="28"/>
  <c r="P249" i="28" s="1"/>
  <c r="M123" i="28"/>
  <c r="P248" i="28" s="1"/>
  <c r="F123" i="28"/>
  <c r="P247" i="28" s="1"/>
  <c r="T122" i="28"/>
  <c r="P236" i="28" s="1"/>
  <c r="M122" i="28"/>
  <c r="P235" i="28" s="1"/>
  <c r="F122" i="28"/>
  <c r="P234" i="28" s="1"/>
  <c r="T121" i="28"/>
  <c r="P223" i="28" s="1"/>
  <c r="M121" i="28"/>
  <c r="P222" i="28" s="1"/>
  <c r="F121" i="28"/>
  <c r="P221" i="28" s="1"/>
  <c r="S120" i="28"/>
  <c r="R120" i="28"/>
  <c r="Q120" i="28"/>
  <c r="L120" i="28"/>
  <c r="K120" i="28"/>
  <c r="J120" i="28"/>
  <c r="E120" i="28"/>
  <c r="D120" i="28"/>
  <c r="C120" i="28"/>
  <c r="P119" i="28"/>
  <c r="T118" i="28"/>
  <c r="G262" i="28" s="1"/>
  <c r="M118" i="28"/>
  <c r="G261" i="28" s="1"/>
  <c r="F118" i="28"/>
  <c r="G260" i="28" s="1"/>
  <c r="T117" i="28"/>
  <c r="G249" i="28" s="1"/>
  <c r="M117" i="28"/>
  <c r="G248" i="28" s="1"/>
  <c r="F117" i="28"/>
  <c r="G247" i="28" s="1"/>
  <c r="T116" i="28"/>
  <c r="G236" i="28" s="1"/>
  <c r="M116" i="28"/>
  <c r="G235" i="28" s="1"/>
  <c r="F116" i="28"/>
  <c r="G234" i="28" s="1"/>
  <c r="T115" i="28"/>
  <c r="G223" i="28" s="1"/>
  <c r="M115" i="28"/>
  <c r="G222" i="28" s="1"/>
  <c r="F115" i="28"/>
  <c r="G221" i="28" s="1"/>
  <c r="S114" i="28"/>
  <c r="R114" i="28"/>
  <c r="Q114" i="28"/>
  <c r="L114" i="28"/>
  <c r="K114" i="28"/>
  <c r="J114" i="28"/>
  <c r="E114" i="28"/>
  <c r="D114" i="28"/>
  <c r="C114" i="28"/>
  <c r="P113" i="28"/>
  <c r="T112" i="28"/>
  <c r="P207" i="28" s="1"/>
  <c r="M112" i="28"/>
  <c r="P206" i="28" s="1"/>
  <c r="F112" i="28"/>
  <c r="P205" i="28" s="1"/>
  <c r="T111" i="28"/>
  <c r="P194" i="28" s="1"/>
  <c r="M111" i="28"/>
  <c r="P193" i="28" s="1"/>
  <c r="F111" i="28"/>
  <c r="P192" i="28" s="1"/>
  <c r="T110" i="28"/>
  <c r="P181" i="28" s="1"/>
  <c r="M110" i="28"/>
  <c r="P180" i="28" s="1"/>
  <c r="F110" i="28"/>
  <c r="P179" i="28" s="1"/>
  <c r="T109" i="28"/>
  <c r="P168" i="28" s="1"/>
  <c r="M109" i="28"/>
  <c r="P167" i="28" s="1"/>
  <c r="F109" i="28"/>
  <c r="P166" i="28" s="1"/>
  <c r="T108" i="28"/>
  <c r="M108" i="28"/>
  <c r="P154" i="28" s="1"/>
  <c r="F108" i="28"/>
  <c r="P153" i="28" s="1"/>
  <c r="T107" i="28"/>
  <c r="P142" i="28" s="1"/>
  <c r="M107" i="28"/>
  <c r="P141" i="28" s="1"/>
  <c r="F107" i="28"/>
  <c r="P140" i="28" s="1"/>
  <c r="S106" i="28"/>
  <c r="R106" i="28"/>
  <c r="Q106" i="28"/>
  <c r="L106" i="28"/>
  <c r="K106" i="28"/>
  <c r="J106" i="28"/>
  <c r="E106" i="28"/>
  <c r="D106" i="28"/>
  <c r="C106" i="28"/>
  <c r="P105" i="28"/>
  <c r="I105" i="28"/>
  <c r="T104" i="28"/>
  <c r="G207" i="28" s="1"/>
  <c r="M104" i="28"/>
  <c r="G206" i="28" s="1"/>
  <c r="F104" i="28"/>
  <c r="G205" i="28" s="1"/>
  <c r="T103" i="28"/>
  <c r="G194" i="28" s="1"/>
  <c r="M103" i="28"/>
  <c r="G193" i="28" s="1"/>
  <c r="F103" i="28"/>
  <c r="G192" i="28" s="1"/>
  <c r="T102" i="28"/>
  <c r="G181" i="28" s="1"/>
  <c r="M102" i="28"/>
  <c r="G180" i="28" s="1"/>
  <c r="F102" i="28"/>
  <c r="G179" i="28" s="1"/>
  <c r="T101" i="28"/>
  <c r="G168" i="28" s="1"/>
  <c r="M101" i="28"/>
  <c r="G167" i="28" s="1"/>
  <c r="F101" i="28"/>
  <c r="G166" i="28" s="1"/>
  <c r="T100" i="28"/>
  <c r="G155" i="28" s="1"/>
  <c r="M100" i="28"/>
  <c r="G154" i="28" s="1"/>
  <c r="F100" i="28"/>
  <c r="G153" i="28" s="1"/>
  <c r="T99" i="28"/>
  <c r="G142" i="28" s="1"/>
  <c r="M99" i="28"/>
  <c r="G141" i="28" s="1"/>
  <c r="F99" i="28"/>
  <c r="G140" i="28" s="1"/>
  <c r="P97" i="28"/>
  <c r="I97" i="28"/>
  <c r="U93" i="28"/>
  <c r="Q259" i="28" s="1"/>
  <c r="T93" i="28"/>
  <c r="P259" i="28" s="1"/>
  <c r="N93" i="28"/>
  <c r="Q258" i="28" s="1"/>
  <c r="M93" i="28"/>
  <c r="P258" i="28" s="1"/>
  <c r="G93" i="28"/>
  <c r="Q257" i="28" s="1"/>
  <c r="F93" i="28"/>
  <c r="P257" i="28" s="1"/>
  <c r="U92" i="28"/>
  <c r="Q246" i="28" s="1"/>
  <c r="T92" i="28"/>
  <c r="P246" i="28" s="1"/>
  <c r="N92" i="28"/>
  <c r="Q245" i="28" s="1"/>
  <c r="M92" i="28"/>
  <c r="P245" i="28" s="1"/>
  <c r="G92" i="28"/>
  <c r="Q244" i="28" s="1"/>
  <c r="F92" i="28"/>
  <c r="P244" i="28" s="1"/>
  <c r="U91" i="28"/>
  <c r="Q233" i="28" s="1"/>
  <c r="T91" i="28"/>
  <c r="P233" i="28" s="1"/>
  <c r="N91" i="28"/>
  <c r="Q232" i="28" s="1"/>
  <c r="M91" i="28"/>
  <c r="P232" i="28" s="1"/>
  <c r="G91" i="28"/>
  <c r="Q231" i="28" s="1"/>
  <c r="F91" i="28"/>
  <c r="P231" i="28" s="1"/>
  <c r="U90" i="28"/>
  <c r="Q220" i="28" s="1"/>
  <c r="T90" i="28"/>
  <c r="P220" i="28" s="1"/>
  <c r="N90" i="28"/>
  <c r="Q219" i="28" s="1"/>
  <c r="M90" i="28"/>
  <c r="P219" i="28" s="1"/>
  <c r="F90" i="28"/>
  <c r="P218" i="28" s="1"/>
  <c r="S89" i="28"/>
  <c r="R89" i="28"/>
  <c r="Q89" i="28"/>
  <c r="L89" i="28"/>
  <c r="K89" i="28"/>
  <c r="J89" i="28"/>
  <c r="E89" i="28"/>
  <c r="D89" i="28"/>
  <c r="C89" i="28"/>
  <c r="P88" i="28"/>
  <c r="T87" i="28"/>
  <c r="G259" i="28" s="1"/>
  <c r="N87" i="28"/>
  <c r="M87" i="28"/>
  <c r="G258" i="28" s="1"/>
  <c r="G87" i="28"/>
  <c r="H257" i="28" s="1"/>
  <c r="F87" i="28"/>
  <c r="G257" i="28" s="1"/>
  <c r="T86" i="28"/>
  <c r="G246" i="28" s="1"/>
  <c r="N86" i="28"/>
  <c r="H245" i="28" s="1"/>
  <c r="M86" i="28"/>
  <c r="G245" i="28" s="1"/>
  <c r="G86" i="28"/>
  <c r="H244" i="28" s="1"/>
  <c r="F86" i="28"/>
  <c r="G244" i="28" s="1"/>
  <c r="T85" i="28"/>
  <c r="G233" i="28" s="1"/>
  <c r="N85" i="28"/>
  <c r="H232" i="28" s="1"/>
  <c r="M85" i="28"/>
  <c r="G232" i="28" s="1"/>
  <c r="G85" i="28"/>
  <c r="F85" i="28"/>
  <c r="G231" i="28" s="1"/>
  <c r="T84" i="28"/>
  <c r="G220" i="28" s="1"/>
  <c r="N84" i="28"/>
  <c r="H219" i="28" s="1"/>
  <c r="M84" i="28"/>
  <c r="G219" i="28" s="1"/>
  <c r="G84" i="28"/>
  <c r="H218" i="28" s="1"/>
  <c r="F84" i="28"/>
  <c r="G218" i="28" s="1"/>
  <c r="S83" i="28"/>
  <c r="R83" i="28"/>
  <c r="Q83" i="28"/>
  <c r="L83" i="28"/>
  <c r="K83" i="28"/>
  <c r="J83" i="28"/>
  <c r="E83" i="28"/>
  <c r="D83" i="28"/>
  <c r="C83" i="28"/>
  <c r="P82" i="28"/>
  <c r="T81" i="28"/>
  <c r="P204" i="28" s="1"/>
  <c r="N81" i="28"/>
  <c r="Q203" i="28" s="1"/>
  <c r="M81" i="28"/>
  <c r="P203" i="28" s="1"/>
  <c r="F81" i="28"/>
  <c r="P202" i="28" s="1"/>
  <c r="U80" i="28"/>
  <c r="Q191" i="28" s="1"/>
  <c r="T80" i="28"/>
  <c r="P191" i="28" s="1"/>
  <c r="N80" i="28"/>
  <c r="Q190" i="28" s="1"/>
  <c r="M80" i="28"/>
  <c r="P190" i="28" s="1"/>
  <c r="G80" i="28"/>
  <c r="Q189" i="28" s="1"/>
  <c r="F80" i="28"/>
  <c r="P189" i="28" s="1"/>
  <c r="U79" i="28"/>
  <c r="Q178" i="28" s="1"/>
  <c r="T79" i="28"/>
  <c r="P178" i="28" s="1"/>
  <c r="N79" i="28"/>
  <c r="Q177" i="28" s="1"/>
  <c r="M79" i="28"/>
  <c r="P177" i="28" s="1"/>
  <c r="G79" i="28"/>
  <c r="Q176" i="28" s="1"/>
  <c r="F79" i="28"/>
  <c r="P176" i="28" s="1"/>
  <c r="U78" i="28"/>
  <c r="Q165" i="28" s="1"/>
  <c r="T78" i="28"/>
  <c r="P165" i="28" s="1"/>
  <c r="N78" i="28"/>
  <c r="Q164" i="28" s="1"/>
  <c r="M78" i="28"/>
  <c r="P164" i="28" s="1"/>
  <c r="G78" i="28"/>
  <c r="Q163" i="28" s="1"/>
  <c r="F78" i="28"/>
  <c r="P163" i="28" s="1"/>
  <c r="U77" i="28"/>
  <c r="T77" i="28"/>
  <c r="P152" i="28" s="1"/>
  <c r="N77" i="28"/>
  <c r="Q151" i="28" s="1"/>
  <c r="M77" i="28"/>
  <c r="P151" i="28" s="1"/>
  <c r="G77" i="28"/>
  <c r="Q150" i="28" s="1"/>
  <c r="F77" i="28"/>
  <c r="P150" i="28" s="1"/>
  <c r="T76" i="28"/>
  <c r="P139" i="28" s="1"/>
  <c r="N76" i="28"/>
  <c r="Q138" i="28" s="1"/>
  <c r="M76" i="28"/>
  <c r="P138" i="28" s="1"/>
  <c r="F76" i="28"/>
  <c r="P137" i="28" s="1"/>
  <c r="S75" i="28"/>
  <c r="R75" i="28"/>
  <c r="Q75" i="28"/>
  <c r="L75" i="28"/>
  <c r="K75" i="28"/>
  <c r="J75" i="28"/>
  <c r="E75" i="28"/>
  <c r="D75" i="28"/>
  <c r="C75" i="28"/>
  <c r="P74" i="28"/>
  <c r="I74" i="28"/>
  <c r="U73" i="28"/>
  <c r="T73" i="28"/>
  <c r="G204" i="28" s="1"/>
  <c r="N73" i="28"/>
  <c r="H203" i="28" s="1"/>
  <c r="M73" i="28"/>
  <c r="G203" i="28" s="1"/>
  <c r="G73" i="28"/>
  <c r="H202" i="28" s="1"/>
  <c r="F73" i="28"/>
  <c r="G202" i="28" s="1"/>
  <c r="U72" i="28"/>
  <c r="H191" i="28" s="1"/>
  <c r="T72" i="28"/>
  <c r="G191" i="28" s="1"/>
  <c r="N72" i="28"/>
  <c r="M72" i="28"/>
  <c r="G190" i="28" s="1"/>
  <c r="G72" i="28"/>
  <c r="H189" i="28" s="1"/>
  <c r="F72" i="28"/>
  <c r="G189" i="28" s="1"/>
  <c r="U71" i="28"/>
  <c r="H178" i="28" s="1"/>
  <c r="T71" i="28"/>
  <c r="G178" i="28" s="1"/>
  <c r="N71" i="28"/>
  <c r="H177" i="28" s="1"/>
  <c r="M71" i="28"/>
  <c r="G177" i="28" s="1"/>
  <c r="G71" i="28"/>
  <c r="F71" i="28"/>
  <c r="G176" i="28" s="1"/>
  <c r="U70" i="28"/>
  <c r="H165" i="28" s="1"/>
  <c r="T70" i="28"/>
  <c r="G165" i="28" s="1"/>
  <c r="N70" i="28"/>
  <c r="M70" i="28"/>
  <c r="G164" i="28" s="1"/>
  <c r="G70" i="28"/>
  <c r="H163" i="28" s="1"/>
  <c r="F70" i="28"/>
  <c r="G163" i="28" s="1"/>
  <c r="U69" i="28"/>
  <c r="H152" i="28" s="1"/>
  <c r="T69" i="28"/>
  <c r="G152" i="28" s="1"/>
  <c r="N69" i="28"/>
  <c r="H151" i="28" s="1"/>
  <c r="M69" i="28"/>
  <c r="G151" i="28" s="1"/>
  <c r="G69" i="28"/>
  <c r="F69" i="28"/>
  <c r="G150" i="28" s="1"/>
  <c r="U68" i="28"/>
  <c r="H139" i="28" s="1"/>
  <c r="T68" i="28"/>
  <c r="G139" i="28" s="1"/>
  <c r="N68" i="28"/>
  <c r="H138" i="28" s="1"/>
  <c r="M68" i="28"/>
  <c r="G138" i="28" s="1"/>
  <c r="G68" i="28"/>
  <c r="H137" i="28" s="1"/>
  <c r="F68" i="28"/>
  <c r="G137" i="28" s="1"/>
  <c r="P66" i="28"/>
  <c r="I66" i="28"/>
  <c r="U62" i="28"/>
  <c r="Q256" i="28" s="1"/>
  <c r="T62" i="28"/>
  <c r="P256" i="28" s="1"/>
  <c r="N62" i="28"/>
  <c r="Q255" i="28" s="1"/>
  <c r="M62" i="28"/>
  <c r="P255" i="28" s="1"/>
  <c r="G62" i="28"/>
  <c r="Q254" i="28" s="1"/>
  <c r="F62" i="28"/>
  <c r="P254" i="28" s="1"/>
  <c r="U61" i="28"/>
  <c r="Q243" i="28" s="1"/>
  <c r="T61" i="28"/>
  <c r="P243" i="28" s="1"/>
  <c r="N61" i="28"/>
  <c r="Q242" i="28" s="1"/>
  <c r="M61" i="28"/>
  <c r="P242" i="28" s="1"/>
  <c r="G61" i="28"/>
  <c r="Q241" i="28" s="1"/>
  <c r="F61" i="28"/>
  <c r="P241" i="28" s="1"/>
  <c r="U60" i="28"/>
  <c r="Q230" i="28" s="1"/>
  <c r="T60" i="28"/>
  <c r="P230" i="28" s="1"/>
  <c r="N60" i="28"/>
  <c r="Q229" i="28" s="1"/>
  <c r="M60" i="28"/>
  <c r="P229" i="28" s="1"/>
  <c r="G60" i="28"/>
  <c r="Q228" i="28" s="1"/>
  <c r="F60" i="28"/>
  <c r="P228" i="28" s="1"/>
  <c r="U59" i="28"/>
  <c r="Q217" i="28" s="1"/>
  <c r="T59" i="28"/>
  <c r="P217" i="28" s="1"/>
  <c r="N59" i="28"/>
  <c r="Q216" i="28" s="1"/>
  <c r="M59" i="28"/>
  <c r="P216" i="28" s="1"/>
  <c r="G59" i="28"/>
  <c r="Q215" i="28" s="1"/>
  <c r="S58" i="28"/>
  <c r="R58" i="28"/>
  <c r="Q58" i="28"/>
  <c r="L58" i="28"/>
  <c r="K58" i="28"/>
  <c r="J58" i="28"/>
  <c r="E58" i="28"/>
  <c r="D58" i="28"/>
  <c r="C58" i="28"/>
  <c r="P57" i="28"/>
  <c r="I57" i="28"/>
  <c r="B57" i="28"/>
  <c r="U56" i="28"/>
  <c r="H256" i="28" s="1"/>
  <c r="T56" i="28"/>
  <c r="G256" i="28" s="1"/>
  <c r="N56" i="28"/>
  <c r="H255" i="28" s="1"/>
  <c r="M56" i="28"/>
  <c r="G255" i="28" s="1"/>
  <c r="G56" i="28"/>
  <c r="H254" i="28" s="1"/>
  <c r="F56" i="28"/>
  <c r="G254" i="28" s="1"/>
  <c r="U55" i="28"/>
  <c r="H243" i="28" s="1"/>
  <c r="T55" i="28"/>
  <c r="G243" i="28" s="1"/>
  <c r="N55" i="28"/>
  <c r="H242" i="28" s="1"/>
  <c r="M55" i="28"/>
  <c r="G242" i="28" s="1"/>
  <c r="G55" i="28"/>
  <c r="H241" i="28" s="1"/>
  <c r="F55" i="28"/>
  <c r="G241" i="28" s="1"/>
  <c r="U54" i="28"/>
  <c r="H230" i="28" s="1"/>
  <c r="T54" i="28"/>
  <c r="G230" i="28" s="1"/>
  <c r="N54" i="28"/>
  <c r="H229" i="28" s="1"/>
  <c r="M54" i="28"/>
  <c r="G229" i="28" s="1"/>
  <c r="G54" i="28"/>
  <c r="H228" i="28" s="1"/>
  <c r="F54" i="28"/>
  <c r="G228" i="28" s="1"/>
  <c r="U53" i="28"/>
  <c r="H217" i="28" s="1"/>
  <c r="T53" i="28"/>
  <c r="G217" i="28" s="1"/>
  <c r="N53" i="28"/>
  <c r="H216" i="28" s="1"/>
  <c r="M53" i="28"/>
  <c r="G216" i="28" s="1"/>
  <c r="G53" i="28"/>
  <c r="H215" i="28" s="1"/>
  <c r="F53" i="28"/>
  <c r="G215" i="28" s="1"/>
  <c r="S52" i="28"/>
  <c r="R52" i="28"/>
  <c r="Q52" i="28"/>
  <c r="L52" i="28"/>
  <c r="K52" i="28"/>
  <c r="J52" i="28"/>
  <c r="E52" i="28"/>
  <c r="D52" i="28"/>
  <c r="C52" i="28"/>
  <c r="P51" i="28"/>
  <c r="I51" i="28"/>
  <c r="B51" i="28"/>
  <c r="T50" i="28"/>
  <c r="P201" i="28" s="1"/>
  <c r="M50" i="28"/>
  <c r="P200" i="28" s="1"/>
  <c r="G50" i="28"/>
  <c r="Q199" i="28" s="1"/>
  <c r="F50" i="28"/>
  <c r="P199" i="28" s="1"/>
  <c r="U49" i="28"/>
  <c r="Q188" i="28" s="1"/>
  <c r="T49" i="28"/>
  <c r="P188" i="28" s="1"/>
  <c r="N49" i="28"/>
  <c r="Q187" i="28" s="1"/>
  <c r="M49" i="28"/>
  <c r="P187" i="28" s="1"/>
  <c r="G49" i="28"/>
  <c r="Q186" i="28" s="1"/>
  <c r="F49" i="28"/>
  <c r="P186" i="28" s="1"/>
  <c r="U48" i="28"/>
  <c r="Q175" i="28" s="1"/>
  <c r="T48" i="28"/>
  <c r="P175" i="28" s="1"/>
  <c r="N48" i="28"/>
  <c r="Q174" i="28" s="1"/>
  <c r="M48" i="28"/>
  <c r="P174" i="28" s="1"/>
  <c r="G48" i="28"/>
  <c r="Q173" i="28" s="1"/>
  <c r="F48" i="28"/>
  <c r="P173" i="28" s="1"/>
  <c r="U47" i="28"/>
  <c r="Q162" i="28" s="1"/>
  <c r="T47" i="28"/>
  <c r="P162" i="28" s="1"/>
  <c r="N47" i="28"/>
  <c r="Q161" i="28" s="1"/>
  <c r="M47" i="28"/>
  <c r="P161" i="28" s="1"/>
  <c r="G47" i="28"/>
  <c r="Q160" i="28" s="1"/>
  <c r="F47" i="28"/>
  <c r="P160" i="28" s="1"/>
  <c r="U46" i="28"/>
  <c r="Q149" i="28" s="1"/>
  <c r="T46" i="28"/>
  <c r="P149" i="28" s="1"/>
  <c r="N46" i="28"/>
  <c r="M46" i="28"/>
  <c r="P148" i="28" s="1"/>
  <c r="G46" i="28"/>
  <c r="F46" i="28"/>
  <c r="P147" i="28" s="1"/>
  <c r="T45" i="28"/>
  <c r="P136" i="28" s="1"/>
  <c r="N45" i="28"/>
  <c r="Q135" i="28" s="1"/>
  <c r="M45" i="28"/>
  <c r="P135" i="28" s="1"/>
  <c r="F45" i="28"/>
  <c r="P134" i="28" s="1"/>
  <c r="S44" i="28"/>
  <c r="R44" i="28"/>
  <c r="Q44" i="28"/>
  <c r="L44" i="28"/>
  <c r="K44" i="28"/>
  <c r="J44" i="28"/>
  <c r="E44" i="28"/>
  <c r="D44" i="28"/>
  <c r="C44" i="28"/>
  <c r="P43" i="28"/>
  <c r="I43" i="28"/>
  <c r="B43" i="28"/>
  <c r="U42" i="28"/>
  <c r="H201" i="28" s="1"/>
  <c r="T42" i="28"/>
  <c r="G201" i="28" s="1"/>
  <c r="M42" i="28"/>
  <c r="G200" i="28" s="1"/>
  <c r="F42" i="28"/>
  <c r="G199" i="28" s="1"/>
  <c r="U41" i="28"/>
  <c r="H188" i="28" s="1"/>
  <c r="T41" i="28"/>
  <c r="G188" i="28" s="1"/>
  <c r="N41" i="28"/>
  <c r="H187" i="28" s="1"/>
  <c r="M41" i="28"/>
  <c r="G187" i="28" s="1"/>
  <c r="G41" i="28"/>
  <c r="F41" i="28"/>
  <c r="G186" i="28" s="1"/>
  <c r="U40" i="28"/>
  <c r="H175" i="28" s="1"/>
  <c r="T40" i="28"/>
  <c r="G175" i="28" s="1"/>
  <c r="N40" i="28"/>
  <c r="H174" i="28" s="1"/>
  <c r="M40" i="28"/>
  <c r="G174" i="28" s="1"/>
  <c r="G40" i="28"/>
  <c r="H173" i="28" s="1"/>
  <c r="F40" i="28"/>
  <c r="G173" i="28" s="1"/>
  <c r="U39" i="28"/>
  <c r="T39" i="28"/>
  <c r="G162" i="28" s="1"/>
  <c r="N39" i="28"/>
  <c r="H161" i="28" s="1"/>
  <c r="M39" i="28"/>
  <c r="G161" i="28" s="1"/>
  <c r="G39" i="28"/>
  <c r="H160" i="28" s="1"/>
  <c r="F39" i="28"/>
  <c r="G160" i="28" s="1"/>
  <c r="U38" i="28"/>
  <c r="H149" i="28" s="1"/>
  <c r="T38" i="28"/>
  <c r="G149" i="28" s="1"/>
  <c r="N38" i="28"/>
  <c r="H148" i="28" s="1"/>
  <c r="M38" i="28"/>
  <c r="G148" i="28" s="1"/>
  <c r="G38" i="28"/>
  <c r="H147" i="28" s="1"/>
  <c r="F38" i="28"/>
  <c r="G147" i="28" s="1"/>
  <c r="U37" i="28"/>
  <c r="H136" i="28" s="1"/>
  <c r="T37" i="28"/>
  <c r="G136" i="28" s="1"/>
  <c r="N37" i="28"/>
  <c r="H135" i="28" s="1"/>
  <c r="M37" i="28"/>
  <c r="G135" i="28" s="1"/>
  <c r="G37" i="28"/>
  <c r="H134" i="28" s="1"/>
  <c r="F37" i="28"/>
  <c r="G134" i="28" s="1"/>
  <c r="P35" i="28"/>
  <c r="I35" i="28"/>
  <c r="B35" i="28"/>
  <c r="U31" i="28"/>
  <c r="Q253" i="28" s="1"/>
  <c r="T31" i="28"/>
  <c r="P253" i="28" s="1"/>
  <c r="N31" i="28"/>
  <c r="Q252" i="28" s="1"/>
  <c r="M31" i="28"/>
  <c r="P252" i="28" s="1"/>
  <c r="G31" i="28"/>
  <c r="Q251" i="28" s="1"/>
  <c r="F31" i="28"/>
  <c r="P251" i="28" s="1"/>
  <c r="U30" i="28"/>
  <c r="Q240" i="28" s="1"/>
  <c r="T30" i="28"/>
  <c r="P240" i="28" s="1"/>
  <c r="N30" i="28"/>
  <c r="Q239" i="28" s="1"/>
  <c r="M30" i="28"/>
  <c r="P239" i="28" s="1"/>
  <c r="G30" i="28"/>
  <c r="Q238" i="28" s="1"/>
  <c r="F30" i="28"/>
  <c r="U29" i="28"/>
  <c r="Q227" i="28" s="1"/>
  <c r="T29" i="28"/>
  <c r="P227" i="28" s="1"/>
  <c r="N29" i="28"/>
  <c r="Q226" i="28" s="1"/>
  <c r="M29" i="28"/>
  <c r="P226" i="28" s="1"/>
  <c r="G29" i="28"/>
  <c r="Q225" i="28" s="1"/>
  <c r="F29" i="28"/>
  <c r="P225" i="28" s="1"/>
  <c r="U28" i="28"/>
  <c r="Q214" i="28" s="1"/>
  <c r="T28" i="28"/>
  <c r="P214" i="28" s="1"/>
  <c r="N28" i="28"/>
  <c r="Q213" i="28" s="1"/>
  <c r="M28" i="28"/>
  <c r="P213" i="28" s="1"/>
  <c r="S27" i="28"/>
  <c r="R27" i="28"/>
  <c r="Q27" i="28"/>
  <c r="L27" i="28"/>
  <c r="K27" i="28"/>
  <c r="J27" i="28"/>
  <c r="E27" i="28"/>
  <c r="D27" i="28"/>
  <c r="C27" i="28"/>
  <c r="P26" i="28"/>
  <c r="I26" i="28"/>
  <c r="U25" i="28"/>
  <c r="H253" i="28" s="1"/>
  <c r="T25" i="28"/>
  <c r="G253" i="28" s="1"/>
  <c r="N25" i="28"/>
  <c r="H252" i="28" s="1"/>
  <c r="M25" i="28"/>
  <c r="G252" i="28" s="1"/>
  <c r="G25" i="28"/>
  <c r="H251" i="28" s="1"/>
  <c r="F25" i="28"/>
  <c r="G251" i="28" s="1"/>
  <c r="U24" i="28"/>
  <c r="H240" i="28" s="1"/>
  <c r="T24" i="28"/>
  <c r="G240" i="28" s="1"/>
  <c r="N24" i="28"/>
  <c r="H239" i="28" s="1"/>
  <c r="M24" i="28"/>
  <c r="G239" i="28" s="1"/>
  <c r="G24" i="28"/>
  <c r="H238" i="28" s="1"/>
  <c r="F24" i="28"/>
  <c r="G238" i="28" s="1"/>
  <c r="U23" i="28"/>
  <c r="H227" i="28" s="1"/>
  <c r="T23" i="28"/>
  <c r="G227" i="28" s="1"/>
  <c r="N23" i="28"/>
  <c r="H226" i="28" s="1"/>
  <c r="M23" i="28"/>
  <c r="G226" i="28" s="1"/>
  <c r="G23" i="28"/>
  <c r="H225" i="28" s="1"/>
  <c r="F23" i="28"/>
  <c r="G225" i="28" s="1"/>
  <c r="U22" i="28"/>
  <c r="H214" i="28" s="1"/>
  <c r="T22" i="28"/>
  <c r="G214" i="28" s="1"/>
  <c r="N22" i="28"/>
  <c r="H213" i="28" s="1"/>
  <c r="M22" i="28"/>
  <c r="G213" i="28" s="1"/>
  <c r="G22" i="28"/>
  <c r="H212" i="28" s="1"/>
  <c r="F22" i="28"/>
  <c r="G212" i="28" s="1"/>
  <c r="S21" i="28"/>
  <c r="R21" i="28"/>
  <c r="Q21" i="28"/>
  <c r="L21" i="28"/>
  <c r="K21" i="28"/>
  <c r="J21" i="28"/>
  <c r="E21" i="28"/>
  <c r="D21" i="28"/>
  <c r="C21" i="28"/>
  <c r="P20" i="28"/>
  <c r="I20" i="28"/>
  <c r="U19" i="28"/>
  <c r="Q198" i="28" s="1"/>
  <c r="T19" i="28"/>
  <c r="P198" i="28" s="1"/>
  <c r="M19" i="28"/>
  <c r="P197" i="28" s="1"/>
  <c r="G19" i="28"/>
  <c r="Q196" i="28" s="1"/>
  <c r="F19" i="28"/>
  <c r="P196" i="28" s="1"/>
  <c r="U18" i="28"/>
  <c r="Q185" i="28" s="1"/>
  <c r="T18" i="28"/>
  <c r="P185" i="28" s="1"/>
  <c r="N18" i="28"/>
  <c r="Q184" i="28" s="1"/>
  <c r="M18" i="28"/>
  <c r="P184" i="28" s="1"/>
  <c r="G18" i="28"/>
  <c r="Q183" i="28" s="1"/>
  <c r="F18" i="28"/>
  <c r="P183" i="28" s="1"/>
  <c r="U17" i="28"/>
  <c r="Q172" i="28" s="1"/>
  <c r="T17" i="28"/>
  <c r="P172" i="28" s="1"/>
  <c r="N17" i="28"/>
  <c r="Q171" i="28" s="1"/>
  <c r="M17" i="28"/>
  <c r="P171" i="28" s="1"/>
  <c r="G17" i="28"/>
  <c r="Q170" i="28" s="1"/>
  <c r="F17" i="28"/>
  <c r="P170" i="28" s="1"/>
  <c r="U16" i="28"/>
  <c r="Q159" i="28" s="1"/>
  <c r="T16" i="28"/>
  <c r="P159" i="28" s="1"/>
  <c r="N16" i="28"/>
  <c r="Q158" i="28" s="1"/>
  <c r="M16" i="28"/>
  <c r="P158" i="28" s="1"/>
  <c r="G16" i="28"/>
  <c r="F16" i="28"/>
  <c r="P157" i="28" s="1"/>
  <c r="U15" i="28"/>
  <c r="T15" i="28"/>
  <c r="P146" i="28" s="1"/>
  <c r="N15" i="28"/>
  <c r="M15" i="28"/>
  <c r="P145" i="28" s="1"/>
  <c r="G15" i="28"/>
  <c r="F15" i="28"/>
  <c r="P144" i="28" s="1"/>
  <c r="U14" i="28"/>
  <c r="S13" i="28"/>
  <c r="R13" i="28"/>
  <c r="Q13" i="28"/>
  <c r="L13" i="28"/>
  <c r="K13" i="28"/>
  <c r="J13" i="28"/>
  <c r="E13" i="28"/>
  <c r="D13" i="28"/>
  <c r="C13" i="28"/>
  <c r="P12" i="28"/>
  <c r="I12" i="28"/>
  <c r="U11" i="28"/>
  <c r="H198" i="28" s="1"/>
  <c r="T11" i="28"/>
  <c r="G198" i="28" s="1"/>
  <c r="M11" i="28"/>
  <c r="G197" i="28" s="1"/>
  <c r="G11" i="28"/>
  <c r="H196" i="28" s="1"/>
  <c r="F11" i="28"/>
  <c r="G196" i="28" s="1"/>
  <c r="U10" i="28"/>
  <c r="H185" i="28" s="1"/>
  <c r="T10" i="28"/>
  <c r="G185" i="28" s="1"/>
  <c r="N10" i="28"/>
  <c r="H184" i="28" s="1"/>
  <c r="M10" i="28"/>
  <c r="G184" i="28" s="1"/>
  <c r="G10" i="28"/>
  <c r="H183" i="28" s="1"/>
  <c r="F10" i="28"/>
  <c r="G183" i="28" s="1"/>
  <c r="U9" i="28"/>
  <c r="H172" i="28" s="1"/>
  <c r="T9" i="28"/>
  <c r="G172" i="28" s="1"/>
  <c r="N9" i="28"/>
  <c r="H171" i="28" s="1"/>
  <c r="M9" i="28"/>
  <c r="G171" i="28" s="1"/>
  <c r="G9" i="28"/>
  <c r="H170" i="28" s="1"/>
  <c r="F9" i="28"/>
  <c r="G170" i="28" s="1"/>
  <c r="U8" i="28"/>
  <c r="T8" i="28"/>
  <c r="G159" i="28" s="1"/>
  <c r="N8" i="28"/>
  <c r="H158" i="28" s="1"/>
  <c r="M8" i="28"/>
  <c r="G158" i="28" s="1"/>
  <c r="G8" i="28"/>
  <c r="H157" i="28" s="1"/>
  <c r="F8" i="28"/>
  <c r="G157" i="28" s="1"/>
  <c r="U7" i="28"/>
  <c r="H146" i="28" s="1"/>
  <c r="T7" i="28"/>
  <c r="G146" i="28" s="1"/>
  <c r="N7" i="28"/>
  <c r="H145" i="28" s="1"/>
  <c r="M7" i="28"/>
  <c r="G145" i="28" s="1"/>
  <c r="G7" i="28"/>
  <c r="H144" i="28" s="1"/>
  <c r="F7" i="28"/>
  <c r="G144" i="28" s="1"/>
  <c r="U6" i="28"/>
  <c r="H133" i="28" s="1"/>
  <c r="T6" i="28"/>
  <c r="G133" i="28" s="1"/>
  <c r="N6" i="28"/>
  <c r="H132" i="28" s="1"/>
  <c r="M6" i="28"/>
  <c r="G132" i="28" s="1"/>
  <c r="G6" i="28"/>
  <c r="H131" i="28" s="1"/>
  <c r="F6" i="28"/>
  <c r="G131" i="28" s="1"/>
  <c r="P4" i="28"/>
  <c r="I4" i="28"/>
  <c r="B265" i="28" l="1"/>
  <c r="D268" i="28" s="1"/>
  <c r="D276" i="28" s="1"/>
  <c r="D284" i="28" s="1"/>
  <c r="D290" i="28" s="1"/>
  <c r="C268" i="28"/>
  <c r="C276" i="28" s="1"/>
  <c r="C284" i="28" s="1"/>
  <c r="C290" i="28" s="1"/>
  <c r="B268" i="28"/>
  <c r="B276" i="28" s="1"/>
  <c r="B284" i="28" s="1"/>
  <c r="B290" i="28" s="1"/>
  <c r="A265" i="28"/>
  <c r="N298" i="28"/>
  <c r="N311" i="28" s="1"/>
  <c r="B35" i="6" s="1"/>
  <c r="F294" i="28" l="1"/>
  <c r="B294" i="28"/>
  <c r="D293" i="28"/>
  <c r="F292" i="28"/>
  <c r="B292" i="28"/>
  <c r="D291" i="28"/>
  <c r="F288" i="28"/>
  <c r="B288" i="28"/>
  <c r="D287" i="28"/>
  <c r="F286" i="28"/>
  <c r="B286" i="28"/>
  <c r="D285" i="28"/>
  <c r="F282" i="28"/>
  <c r="B282" i="28"/>
  <c r="D281" i="28"/>
  <c r="F280" i="28"/>
  <c r="B280" i="28"/>
  <c r="D279" i="28"/>
  <c r="F278" i="28"/>
  <c r="B278" i="28"/>
  <c r="D277" i="28"/>
  <c r="C274" i="28"/>
  <c r="E273" i="28"/>
  <c r="A273" i="28"/>
  <c r="D272" i="28"/>
  <c r="E271" i="28"/>
  <c r="A271" i="28"/>
  <c r="F270" i="28"/>
  <c r="B270" i="28"/>
  <c r="E269" i="28"/>
  <c r="A269" i="28"/>
  <c r="E294" i="28"/>
  <c r="A294" i="28"/>
  <c r="C293" i="28"/>
  <c r="E292" i="28"/>
  <c r="A292" i="28"/>
  <c r="C291" i="28"/>
  <c r="E288" i="28"/>
  <c r="A288" i="28"/>
  <c r="C287" i="28"/>
  <c r="E286" i="28"/>
  <c r="A286" i="28"/>
  <c r="C285" i="28"/>
  <c r="E282" i="28"/>
  <c r="A282" i="28"/>
  <c r="C281" i="28"/>
  <c r="E280" i="28"/>
  <c r="A280" i="28"/>
  <c r="C279" i="28"/>
  <c r="E278" i="28"/>
  <c r="A278" i="28"/>
  <c r="C277" i="28"/>
  <c r="F274" i="28"/>
  <c r="B274" i="28"/>
  <c r="D273" i="28"/>
  <c r="C272" i="28"/>
  <c r="D271" i="28"/>
  <c r="E270" i="28"/>
  <c r="A270" i="28"/>
  <c r="D269" i="28"/>
  <c r="D294" i="28"/>
  <c r="F293" i="28"/>
  <c r="B293" i="28"/>
  <c r="D292" i="28"/>
  <c r="F291" i="28"/>
  <c r="B291" i="28"/>
  <c r="D288" i="28"/>
  <c r="F287" i="28"/>
  <c r="B287" i="28"/>
  <c r="D286" i="28"/>
  <c r="F285" i="28"/>
  <c r="B285" i="28"/>
  <c r="D282" i="28"/>
  <c r="F281" i="28"/>
  <c r="B281" i="28"/>
  <c r="D280" i="28"/>
  <c r="F279" i="28"/>
  <c r="B279" i="28"/>
  <c r="D278" i="28"/>
  <c r="F277" i="28"/>
  <c r="B277" i="28"/>
  <c r="E274" i="28"/>
  <c r="A274" i="28"/>
  <c r="C273" i="28"/>
  <c r="F272" i="28"/>
  <c r="B272" i="28"/>
  <c r="C271" i="28"/>
  <c r="D270" i="28"/>
  <c r="C269" i="28"/>
  <c r="C292" i="28"/>
  <c r="C288" i="28"/>
  <c r="E285" i="28"/>
  <c r="E281" i="28"/>
  <c r="A279" i="28"/>
  <c r="F271" i="28"/>
  <c r="B269" i="28"/>
  <c r="C294" i="28"/>
  <c r="E291" i="28"/>
  <c r="E287" i="28"/>
  <c r="A285" i="28"/>
  <c r="A281" i="28"/>
  <c r="C278" i="28"/>
  <c r="D274" i="28"/>
  <c r="E272" i="28"/>
  <c r="B271" i="28"/>
  <c r="E293" i="28"/>
  <c r="A291" i="28"/>
  <c r="A287" i="28"/>
  <c r="C280" i="28"/>
  <c r="E277" i="28"/>
  <c r="F273" i="28"/>
  <c r="A272" i="28"/>
  <c r="A293" i="28"/>
  <c r="C282" i="28"/>
  <c r="B273" i="28"/>
  <c r="C270" i="28"/>
  <c r="F269" i="28"/>
  <c r="E279" i="28"/>
  <c r="C286" i="28"/>
  <c r="A277" i="28"/>
  <c r="H266" i="28" l="1"/>
  <c r="N268" i="28" s="1"/>
  <c r="E16" i="12" s="1"/>
  <c r="J266" i="28"/>
  <c r="N270" i="28" s="1"/>
  <c r="O270" i="28" s="1"/>
  <c r="H26" i="16" s="1"/>
  <c r="K266" i="28"/>
  <c r="N271" i="28" s="1"/>
  <c r="O271" i="28" s="1"/>
  <c r="H27" i="16" s="1"/>
  <c r="H269" i="28"/>
  <c r="N272" i="28" s="1"/>
  <c r="O272" i="28" l="1"/>
  <c r="I269" i="28"/>
  <c r="I272" i="28" s="1"/>
  <c r="O268" i="28"/>
  <c r="H272" i="28" s="1"/>
  <c r="H274" i="28" s="1"/>
  <c r="V10" i="8" l="1"/>
  <c r="V6" i="8"/>
  <c r="U8" i="8"/>
  <c r="U7" i="8"/>
  <c r="U6" i="8"/>
  <c r="T15" i="20"/>
  <c r="T16" i="20"/>
  <c r="T17" i="20"/>
  <c r="T18" i="20"/>
  <c r="B73" i="11"/>
  <c r="F11" i="25"/>
  <c r="M25" i="20"/>
  <c r="M26" i="20"/>
  <c r="M27" i="20"/>
  <c r="M28" i="20"/>
  <c r="C31" i="6" l="1"/>
  <c r="K66" i="6"/>
  <c r="H15" i="16"/>
  <c r="H14" i="16"/>
  <c r="B45" i="25"/>
  <c r="B46" i="25" s="1"/>
  <c r="B50" i="25"/>
  <c r="B43" i="25"/>
  <c r="G25" i="20" l="1"/>
  <c r="G32" i="20"/>
  <c r="G33" i="20"/>
  <c r="O32" i="20"/>
  <c r="K68" i="6" l="1"/>
  <c r="B37" i="6" l="1"/>
  <c r="B38" i="16" s="1"/>
  <c r="B62" i="20" l="1"/>
  <c r="B51" i="20" s="1"/>
  <c r="A4" i="8"/>
  <c r="E3" i="8"/>
  <c r="I52" i="20"/>
  <c r="L46" i="20"/>
  <c r="M46" i="20"/>
  <c r="K46" i="20"/>
  <c r="L45" i="20"/>
  <c r="M45" i="20"/>
  <c r="K45" i="20"/>
  <c r="L44" i="20"/>
  <c r="M44" i="20"/>
  <c r="K44" i="20"/>
  <c r="L43" i="20"/>
  <c r="M43" i="20"/>
  <c r="O43" i="20"/>
  <c r="K43" i="20"/>
  <c r="L42" i="20"/>
  <c r="M42" i="20"/>
  <c r="O42" i="20"/>
  <c r="K42" i="20"/>
  <c r="L41" i="20"/>
  <c r="M41" i="20"/>
  <c r="O41" i="20"/>
  <c r="K41" i="20"/>
  <c r="L37" i="20"/>
  <c r="M37" i="20"/>
  <c r="K37" i="20"/>
  <c r="L36" i="20"/>
  <c r="M36" i="20"/>
  <c r="K36" i="20"/>
  <c r="L35" i="20"/>
  <c r="M35" i="20"/>
  <c r="K35" i="20"/>
  <c r="L34" i="20"/>
  <c r="M34" i="20"/>
  <c r="O34" i="20"/>
  <c r="K34" i="20"/>
  <c r="L33" i="20"/>
  <c r="M33" i="20"/>
  <c r="O33" i="20"/>
  <c r="K33" i="20"/>
  <c r="L32" i="20"/>
  <c r="M32" i="20"/>
  <c r="K32" i="20"/>
  <c r="D46" i="20"/>
  <c r="E46" i="20"/>
  <c r="C46" i="20"/>
  <c r="D45" i="20"/>
  <c r="E45" i="20"/>
  <c r="C45" i="20"/>
  <c r="D44" i="20"/>
  <c r="E44" i="20"/>
  <c r="C44" i="20"/>
  <c r="D43" i="20"/>
  <c r="E43" i="20"/>
  <c r="G43" i="20"/>
  <c r="C43" i="20"/>
  <c r="D42" i="20"/>
  <c r="E42" i="20"/>
  <c r="G42" i="20"/>
  <c r="C42" i="20"/>
  <c r="D41" i="20"/>
  <c r="E41" i="20"/>
  <c r="G41" i="20"/>
  <c r="C41" i="20"/>
  <c r="D37" i="20"/>
  <c r="E37" i="20"/>
  <c r="C37" i="20"/>
  <c r="D36" i="20"/>
  <c r="E36" i="20"/>
  <c r="C36" i="20"/>
  <c r="D35" i="20"/>
  <c r="E35" i="20"/>
  <c r="C35" i="20"/>
  <c r="D34" i="20"/>
  <c r="E34" i="20"/>
  <c r="C34" i="20"/>
  <c r="D33" i="20"/>
  <c r="E33" i="20"/>
  <c r="C33" i="20"/>
  <c r="E32" i="20"/>
  <c r="D32" i="20"/>
  <c r="C32" i="20"/>
  <c r="O46" i="20"/>
  <c r="T28" i="20"/>
  <c r="N46" i="20" s="1"/>
  <c r="O37" i="20"/>
  <c r="T27" i="20"/>
  <c r="N37" i="20" s="1"/>
  <c r="G46" i="20"/>
  <c r="T26" i="20"/>
  <c r="F46" i="20" s="1"/>
  <c r="G37" i="20"/>
  <c r="T25" i="20"/>
  <c r="F37" i="20" s="1"/>
  <c r="O45" i="20"/>
  <c r="N45" i="20"/>
  <c r="O36" i="20"/>
  <c r="N36" i="20"/>
  <c r="G45" i="20"/>
  <c r="F45" i="20"/>
  <c r="G36" i="20"/>
  <c r="F36" i="20"/>
  <c r="G26" i="20"/>
  <c r="G44" i="20" s="1"/>
  <c r="G27" i="20"/>
  <c r="O35" i="20" s="1"/>
  <c r="G28" i="20"/>
  <c r="O44" i="20" s="1"/>
  <c r="G35" i="20"/>
  <c r="F28" i="20"/>
  <c r="N44" i="20" s="1"/>
  <c r="F27" i="20"/>
  <c r="N35" i="20" s="1"/>
  <c r="F26" i="20"/>
  <c r="F44" i="20" s="1"/>
  <c r="F25" i="20"/>
  <c r="F35" i="20" s="1"/>
  <c r="U15" i="20"/>
  <c r="G34" i="20" s="1"/>
  <c r="N43" i="20"/>
  <c r="N34" i="20"/>
  <c r="F43" i="20"/>
  <c r="F34" i="20"/>
  <c r="F42" i="20"/>
  <c r="N33" i="20"/>
  <c r="N42" i="20"/>
  <c r="F33" i="20"/>
  <c r="F16" i="20"/>
  <c r="F41" i="20" s="1"/>
  <c r="F17" i="20"/>
  <c r="N32" i="20" s="1"/>
  <c r="F18" i="20"/>
  <c r="N41" i="20" s="1"/>
  <c r="F15" i="20"/>
  <c r="F32" i="20" s="1"/>
  <c r="E7" i="16"/>
  <c r="A7" i="6"/>
  <c r="A7" i="16" s="1"/>
  <c r="A8" i="6"/>
  <c r="A4" i="26"/>
  <c r="A3" i="25"/>
  <c r="F6" i="25" s="1"/>
  <c r="G26" i="26"/>
  <c r="B18" i="26"/>
  <c r="G2" i="26" s="1"/>
  <c r="D11" i="26"/>
  <c r="D10" i="26"/>
  <c r="E26" i="25"/>
  <c r="A22" i="25"/>
  <c r="N54" i="20" l="1"/>
  <c r="Y53" i="20" s="1"/>
  <c r="S54" i="20"/>
  <c r="B69" i="20"/>
  <c r="Q72" i="20" s="1"/>
  <c r="Q79" i="20" s="1"/>
  <c r="B34" i="6" s="1"/>
  <c r="T53" i="20"/>
  <c r="X54" i="20"/>
  <c r="A20" i="25"/>
  <c r="D12" i="26"/>
  <c r="A17" i="25"/>
  <c r="A21" i="25"/>
  <c r="A19" i="25"/>
  <c r="Y55" i="20" l="1"/>
  <c r="O53" i="20"/>
  <c r="O55" i="20"/>
  <c r="T55" i="20"/>
  <c r="A51" i="20"/>
  <c r="G55" i="20" s="1"/>
  <c r="Q62" i="20"/>
  <c r="Q69" i="20" s="1"/>
  <c r="B36" i="6" s="1"/>
  <c r="N339" i="21"/>
  <c r="N338" i="21"/>
  <c r="F57" i="20" l="1"/>
  <c r="C56" i="20"/>
  <c r="D58" i="20"/>
  <c r="F56" i="20"/>
  <c r="E57" i="20"/>
  <c r="V53" i="20"/>
  <c r="G58" i="20"/>
  <c r="D57" i="20"/>
  <c r="F55" i="20"/>
  <c r="AA53" i="20" s="1"/>
  <c r="F58" i="20"/>
  <c r="C57" i="20"/>
  <c r="E55" i="20"/>
  <c r="C55" i="20"/>
  <c r="Q53" i="20" s="1"/>
  <c r="E58" i="20"/>
  <c r="G56" i="20"/>
  <c r="V55" i="20" s="1"/>
  <c r="D55" i="20"/>
  <c r="C58" i="20"/>
  <c r="E56" i="20"/>
  <c r="G57" i="20"/>
  <c r="D56" i="20"/>
  <c r="M46" i="6"/>
  <c r="B38" i="12"/>
  <c r="Q55" i="20" l="1"/>
  <c r="P54" i="20" s="1"/>
  <c r="J52" i="20" s="1"/>
  <c r="AA55" i="20"/>
  <c r="Z54" i="20" s="1"/>
  <c r="M52" i="20" s="1"/>
  <c r="B5" i="8" s="1"/>
  <c r="U54" i="20"/>
  <c r="L52" i="20" s="1"/>
  <c r="B4" i="8" s="1"/>
  <c r="A353" i="21"/>
  <c r="A372" i="21" s="1"/>
  <c r="A334" i="21" s="1"/>
  <c r="L339" i="21"/>
  <c r="F347" i="21" s="1"/>
  <c r="L338" i="21"/>
  <c r="J364" i="21"/>
  <c r="I364" i="21"/>
  <c r="J363" i="21"/>
  <c r="I363" i="21"/>
  <c r="J362" i="21"/>
  <c r="I362" i="21"/>
  <c r="J361" i="21"/>
  <c r="I361" i="21"/>
  <c r="J360" i="21"/>
  <c r="I360" i="21"/>
  <c r="J359" i="21"/>
  <c r="I359" i="21"/>
  <c r="J358" i="21"/>
  <c r="I358" i="21"/>
  <c r="J357" i="21"/>
  <c r="I357" i="21"/>
  <c r="J356" i="21"/>
  <c r="I356" i="21"/>
  <c r="J355" i="21"/>
  <c r="I355" i="21"/>
  <c r="J354" i="21"/>
  <c r="I354" i="21"/>
  <c r="L332" i="21"/>
  <c r="K332" i="21"/>
  <c r="J332" i="21"/>
  <c r="E332" i="21"/>
  <c r="D332" i="21"/>
  <c r="C332" i="21"/>
  <c r="L331" i="21"/>
  <c r="K331" i="21"/>
  <c r="J331" i="21"/>
  <c r="E331" i="21"/>
  <c r="D331" i="21"/>
  <c r="C331" i="21"/>
  <c r="L330" i="21"/>
  <c r="K330" i="21"/>
  <c r="J330" i="21"/>
  <c r="E330" i="21"/>
  <c r="D330" i="21"/>
  <c r="C330" i="21"/>
  <c r="L329" i="21"/>
  <c r="K329" i="21"/>
  <c r="J329" i="21"/>
  <c r="E329" i="21"/>
  <c r="D329" i="21"/>
  <c r="C329" i="21"/>
  <c r="L328" i="21"/>
  <c r="K328" i="21"/>
  <c r="J328" i="21"/>
  <c r="E328" i="21"/>
  <c r="D328" i="21"/>
  <c r="C328" i="21"/>
  <c r="L327" i="21"/>
  <c r="K327" i="21"/>
  <c r="J327" i="21"/>
  <c r="E327" i="21"/>
  <c r="D327" i="21"/>
  <c r="C327" i="21"/>
  <c r="L326" i="21"/>
  <c r="K326" i="21"/>
  <c r="J326" i="21"/>
  <c r="E326" i="21"/>
  <c r="D326" i="21"/>
  <c r="C326" i="21"/>
  <c r="L325" i="21"/>
  <c r="K325" i="21"/>
  <c r="J325" i="21"/>
  <c r="E325" i="21"/>
  <c r="D325" i="21"/>
  <c r="C325" i="21"/>
  <c r="L324" i="21"/>
  <c r="K324" i="21"/>
  <c r="J324" i="21"/>
  <c r="E324" i="21"/>
  <c r="D324" i="21"/>
  <c r="C324" i="21"/>
  <c r="L323" i="21"/>
  <c r="K323" i="21"/>
  <c r="J323" i="21"/>
  <c r="E323" i="21"/>
  <c r="D323" i="21"/>
  <c r="C323" i="21"/>
  <c r="L322" i="21"/>
  <c r="K322" i="21"/>
  <c r="J322" i="21"/>
  <c r="E322" i="21"/>
  <c r="D322" i="21"/>
  <c r="C322" i="21"/>
  <c r="L321" i="21"/>
  <c r="K321" i="21"/>
  <c r="J321" i="21"/>
  <c r="E321" i="21"/>
  <c r="D321" i="21"/>
  <c r="C321" i="21"/>
  <c r="L320" i="21"/>
  <c r="K320" i="21"/>
  <c r="J320" i="21"/>
  <c r="E320" i="21"/>
  <c r="D320" i="21"/>
  <c r="C320" i="21"/>
  <c r="L319" i="21"/>
  <c r="K319" i="21"/>
  <c r="J319" i="21"/>
  <c r="E319" i="21"/>
  <c r="D319" i="21"/>
  <c r="C319" i="21"/>
  <c r="L318" i="21"/>
  <c r="K318" i="21"/>
  <c r="J318" i="21"/>
  <c r="E318" i="21"/>
  <c r="D318" i="21"/>
  <c r="C318" i="21"/>
  <c r="L317" i="21"/>
  <c r="K317" i="21"/>
  <c r="J317" i="21"/>
  <c r="E317" i="21"/>
  <c r="D317" i="21"/>
  <c r="C317" i="21"/>
  <c r="L316" i="21"/>
  <c r="K316" i="21"/>
  <c r="J316" i="21"/>
  <c r="E316" i="21"/>
  <c r="D316" i="21"/>
  <c r="C316" i="21"/>
  <c r="L315" i="21"/>
  <c r="K315" i="21"/>
  <c r="J315" i="21"/>
  <c r="E315" i="21"/>
  <c r="D315" i="21"/>
  <c r="C315" i="21"/>
  <c r="L313" i="21"/>
  <c r="K313" i="21"/>
  <c r="J313" i="21"/>
  <c r="E313" i="21"/>
  <c r="D313" i="21"/>
  <c r="C313" i="21"/>
  <c r="L312" i="21"/>
  <c r="K312" i="21"/>
  <c r="J312" i="21"/>
  <c r="E312" i="21"/>
  <c r="D312" i="21"/>
  <c r="C312" i="21"/>
  <c r="L311" i="21"/>
  <c r="K311" i="21"/>
  <c r="J311" i="21"/>
  <c r="E311" i="21"/>
  <c r="D311" i="21"/>
  <c r="C311" i="21"/>
  <c r="L310" i="21"/>
  <c r="K310" i="21"/>
  <c r="J310" i="21"/>
  <c r="E310" i="21"/>
  <c r="D310" i="21"/>
  <c r="C310" i="21"/>
  <c r="L309" i="21"/>
  <c r="K309" i="21"/>
  <c r="J309" i="21"/>
  <c r="E309" i="21"/>
  <c r="D309" i="21"/>
  <c r="C309" i="21"/>
  <c r="L308" i="21"/>
  <c r="K308" i="21"/>
  <c r="J308" i="21"/>
  <c r="E308" i="21"/>
  <c r="D308" i="21"/>
  <c r="C308" i="21"/>
  <c r="L307" i="21"/>
  <c r="K307" i="21"/>
  <c r="J307" i="21"/>
  <c r="E307" i="21"/>
  <c r="D307" i="21"/>
  <c r="C307" i="21"/>
  <c r="L306" i="21"/>
  <c r="K306" i="21"/>
  <c r="J306" i="21"/>
  <c r="E306" i="21"/>
  <c r="D306" i="21"/>
  <c r="C306" i="21"/>
  <c r="L305" i="21"/>
  <c r="K305" i="21"/>
  <c r="J305" i="21"/>
  <c r="E305" i="21"/>
  <c r="D305" i="21"/>
  <c r="C305" i="21"/>
  <c r="L304" i="21"/>
  <c r="K304" i="21"/>
  <c r="J304" i="21"/>
  <c r="E304" i="21"/>
  <c r="D304" i="21"/>
  <c r="C304" i="21"/>
  <c r="L303" i="21"/>
  <c r="K303" i="21"/>
  <c r="J303" i="21"/>
  <c r="E303" i="21"/>
  <c r="D303" i="21"/>
  <c r="C303" i="21"/>
  <c r="L302" i="21"/>
  <c r="K302" i="21"/>
  <c r="J302" i="21"/>
  <c r="E302" i="21"/>
  <c r="D302" i="21"/>
  <c r="C302" i="21"/>
  <c r="L301" i="21"/>
  <c r="K301" i="21"/>
  <c r="J301" i="21"/>
  <c r="E301" i="21"/>
  <c r="D301" i="21"/>
  <c r="C301" i="21"/>
  <c r="L300" i="21"/>
  <c r="K300" i="21"/>
  <c r="J300" i="21"/>
  <c r="E300" i="21"/>
  <c r="D300" i="21"/>
  <c r="C300" i="21"/>
  <c r="L299" i="21"/>
  <c r="K299" i="21"/>
  <c r="J299" i="21"/>
  <c r="E299" i="21"/>
  <c r="D299" i="21"/>
  <c r="C299" i="21"/>
  <c r="L298" i="21"/>
  <c r="K298" i="21"/>
  <c r="J298" i="21"/>
  <c r="E298" i="21"/>
  <c r="D298" i="21"/>
  <c r="C298" i="21"/>
  <c r="L297" i="21"/>
  <c r="K297" i="21"/>
  <c r="J297" i="21"/>
  <c r="E297" i="21"/>
  <c r="D297" i="21"/>
  <c r="C297" i="21"/>
  <c r="L296" i="21"/>
  <c r="K296" i="21"/>
  <c r="J296" i="21"/>
  <c r="E296" i="21"/>
  <c r="D296" i="21"/>
  <c r="C296" i="21"/>
  <c r="L294" i="21"/>
  <c r="K294" i="21"/>
  <c r="J294" i="21"/>
  <c r="E294" i="21"/>
  <c r="D294" i="21"/>
  <c r="C294" i="21"/>
  <c r="L293" i="21"/>
  <c r="K293" i="21"/>
  <c r="J293" i="21"/>
  <c r="E293" i="21"/>
  <c r="D293" i="21"/>
  <c r="C293" i="21"/>
  <c r="L292" i="21"/>
  <c r="K292" i="21"/>
  <c r="J292" i="21"/>
  <c r="E292" i="21"/>
  <c r="D292" i="21"/>
  <c r="C292" i="21"/>
  <c r="L291" i="21"/>
  <c r="K291" i="21"/>
  <c r="J291" i="21"/>
  <c r="E291" i="21"/>
  <c r="D291" i="21"/>
  <c r="C291" i="21"/>
  <c r="L290" i="21"/>
  <c r="K290" i="21"/>
  <c r="J290" i="21"/>
  <c r="E290" i="21"/>
  <c r="D290" i="21"/>
  <c r="C290" i="21"/>
  <c r="L289" i="21"/>
  <c r="K289" i="21"/>
  <c r="J289" i="21"/>
  <c r="E289" i="21"/>
  <c r="D289" i="21"/>
  <c r="C289" i="21"/>
  <c r="L288" i="21"/>
  <c r="K288" i="21"/>
  <c r="J288" i="21"/>
  <c r="E288" i="21"/>
  <c r="D288" i="21"/>
  <c r="C288" i="21"/>
  <c r="L287" i="21"/>
  <c r="K287" i="21"/>
  <c r="J287" i="21"/>
  <c r="E287" i="21"/>
  <c r="D287" i="21"/>
  <c r="C287" i="21"/>
  <c r="L286" i="21"/>
  <c r="K286" i="21"/>
  <c r="J286" i="21"/>
  <c r="E286" i="21"/>
  <c r="D286" i="21"/>
  <c r="C286" i="21"/>
  <c r="L285" i="21"/>
  <c r="K285" i="21"/>
  <c r="J285" i="21"/>
  <c r="E285" i="21"/>
  <c r="D285" i="21"/>
  <c r="C285" i="21"/>
  <c r="L284" i="21"/>
  <c r="K284" i="21"/>
  <c r="J284" i="21"/>
  <c r="E284" i="21"/>
  <c r="D284" i="21"/>
  <c r="C284" i="21"/>
  <c r="L283" i="21"/>
  <c r="K283" i="21"/>
  <c r="J283" i="21"/>
  <c r="E283" i="21"/>
  <c r="D283" i="21"/>
  <c r="C283" i="21"/>
  <c r="L282" i="21"/>
  <c r="K282" i="21"/>
  <c r="J282" i="21"/>
  <c r="E282" i="21"/>
  <c r="D282" i="21"/>
  <c r="C282" i="21"/>
  <c r="L281" i="21"/>
  <c r="K281" i="21"/>
  <c r="J281" i="21"/>
  <c r="E281" i="21"/>
  <c r="D281" i="21"/>
  <c r="C281" i="21"/>
  <c r="L280" i="21"/>
  <c r="K280" i="21"/>
  <c r="J280" i="21"/>
  <c r="E280" i="21"/>
  <c r="D280" i="21"/>
  <c r="C280" i="21"/>
  <c r="L279" i="21"/>
  <c r="K279" i="21"/>
  <c r="J279" i="21"/>
  <c r="E279" i="21"/>
  <c r="D279" i="21"/>
  <c r="C279" i="21"/>
  <c r="L278" i="21"/>
  <c r="K278" i="21"/>
  <c r="J278" i="21"/>
  <c r="E278" i="21"/>
  <c r="D278" i="21"/>
  <c r="C278" i="21"/>
  <c r="L277" i="21"/>
  <c r="K277" i="21"/>
  <c r="J277" i="21"/>
  <c r="E277" i="21"/>
  <c r="D277" i="21"/>
  <c r="C277" i="21"/>
  <c r="L275" i="21"/>
  <c r="K275" i="21"/>
  <c r="J275" i="21"/>
  <c r="E275" i="21"/>
  <c r="D275" i="21"/>
  <c r="C275" i="21"/>
  <c r="L274" i="21"/>
  <c r="K274" i="21"/>
  <c r="J274" i="21"/>
  <c r="E274" i="21"/>
  <c r="D274" i="21"/>
  <c r="C274" i="21"/>
  <c r="L273" i="21"/>
  <c r="K273" i="21"/>
  <c r="J273" i="21"/>
  <c r="E273" i="21"/>
  <c r="D273" i="21"/>
  <c r="C273" i="21"/>
  <c r="L272" i="21"/>
  <c r="K272" i="21"/>
  <c r="J272" i="21"/>
  <c r="E272" i="21"/>
  <c r="D272" i="21"/>
  <c r="C272" i="21"/>
  <c r="L271" i="21"/>
  <c r="K271" i="21"/>
  <c r="J271" i="21"/>
  <c r="E271" i="21"/>
  <c r="D271" i="21"/>
  <c r="C271" i="21"/>
  <c r="L270" i="21"/>
  <c r="K270" i="21"/>
  <c r="J270" i="21"/>
  <c r="E270" i="21"/>
  <c r="D270" i="21"/>
  <c r="C270" i="21"/>
  <c r="L269" i="21"/>
  <c r="K269" i="21"/>
  <c r="J269" i="21"/>
  <c r="E269" i="21"/>
  <c r="D269" i="21"/>
  <c r="C269" i="21"/>
  <c r="L268" i="21"/>
  <c r="K268" i="21"/>
  <c r="J268" i="21"/>
  <c r="E268" i="21"/>
  <c r="D268" i="21"/>
  <c r="C268" i="21"/>
  <c r="L267" i="21"/>
  <c r="K267" i="21"/>
  <c r="J267" i="21"/>
  <c r="E267" i="21"/>
  <c r="D267" i="21"/>
  <c r="C267" i="21"/>
  <c r="L266" i="21"/>
  <c r="K266" i="21"/>
  <c r="J266" i="21"/>
  <c r="E266" i="21"/>
  <c r="D266" i="21"/>
  <c r="C266" i="21"/>
  <c r="L265" i="21"/>
  <c r="K265" i="21"/>
  <c r="J265" i="21"/>
  <c r="E265" i="21"/>
  <c r="D265" i="21"/>
  <c r="C265" i="21"/>
  <c r="L264" i="21"/>
  <c r="K264" i="21"/>
  <c r="J264" i="21"/>
  <c r="E264" i="21"/>
  <c r="D264" i="21"/>
  <c r="C264" i="21"/>
  <c r="L263" i="21"/>
  <c r="K263" i="21"/>
  <c r="J263" i="21"/>
  <c r="E263" i="21"/>
  <c r="D263" i="21"/>
  <c r="C263" i="21"/>
  <c r="L262" i="21"/>
  <c r="K262" i="21"/>
  <c r="J262" i="21"/>
  <c r="E262" i="21"/>
  <c r="D262" i="21"/>
  <c r="C262" i="21"/>
  <c r="L261" i="21"/>
  <c r="K261" i="21"/>
  <c r="J261" i="21"/>
  <c r="E261" i="21"/>
  <c r="D261" i="21"/>
  <c r="C261" i="21"/>
  <c r="L260" i="21"/>
  <c r="K260" i="21"/>
  <c r="J260" i="21"/>
  <c r="E260" i="21"/>
  <c r="D260" i="21"/>
  <c r="C260" i="21"/>
  <c r="L259" i="21"/>
  <c r="K259" i="21"/>
  <c r="J259" i="21"/>
  <c r="E259" i="21"/>
  <c r="D259" i="21"/>
  <c r="C259" i="21"/>
  <c r="L258" i="21"/>
  <c r="K258" i="21"/>
  <c r="J258" i="21"/>
  <c r="E258" i="21"/>
  <c r="D258" i="21"/>
  <c r="C258" i="21"/>
  <c r="L256" i="21"/>
  <c r="K256" i="21"/>
  <c r="J256" i="21"/>
  <c r="E256" i="21"/>
  <c r="D256" i="21"/>
  <c r="C256" i="21"/>
  <c r="L255" i="21"/>
  <c r="K255" i="21"/>
  <c r="J255" i="21"/>
  <c r="E255" i="21"/>
  <c r="D255" i="21"/>
  <c r="C255" i="21"/>
  <c r="L254" i="21"/>
  <c r="K254" i="21"/>
  <c r="J254" i="21"/>
  <c r="E254" i="21"/>
  <c r="D254" i="21"/>
  <c r="C254" i="21"/>
  <c r="L253" i="21"/>
  <c r="K253" i="21"/>
  <c r="J253" i="21"/>
  <c r="E253" i="21"/>
  <c r="D253" i="21"/>
  <c r="C253" i="21"/>
  <c r="L252" i="21"/>
  <c r="K252" i="21"/>
  <c r="J252" i="21"/>
  <c r="E252" i="21"/>
  <c r="D252" i="21"/>
  <c r="C252" i="21"/>
  <c r="L251" i="21"/>
  <c r="K251" i="21"/>
  <c r="J251" i="21"/>
  <c r="E251" i="21"/>
  <c r="D251" i="21"/>
  <c r="C251" i="21"/>
  <c r="L250" i="21"/>
  <c r="K250" i="21"/>
  <c r="J250" i="21"/>
  <c r="E250" i="21"/>
  <c r="D250" i="21"/>
  <c r="C250" i="21"/>
  <c r="L249" i="21"/>
  <c r="K249" i="21"/>
  <c r="J249" i="21"/>
  <c r="E249" i="21"/>
  <c r="D249" i="21"/>
  <c r="C249" i="21"/>
  <c r="L248" i="21"/>
  <c r="K248" i="21"/>
  <c r="J248" i="21"/>
  <c r="E248" i="21"/>
  <c r="D248" i="21"/>
  <c r="C248" i="21"/>
  <c r="L247" i="21"/>
  <c r="K247" i="21"/>
  <c r="J247" i="21"/>
  <c r="E247" i="21"/>
  <c r="D247" i="21"/>
  <c r="C247" i="21"/>
  <c r="L246" i="21"/>
  <c r="K246" i="21"/>
  <c r="J246" i="21"/>
  <c r="E246" i="21"/>
  <c r="D246" i="21"/>
  <c r="C246" i="21"/>
  <c r="L245" i="21"/>
  <c r="K245" i="21"/>
  <c r="J245" i="21"/>
  <c r="E245" i="21"/>
  <c r="D245" i="21"/>
  <c r="C245" i="21"/>
  <c r="L244" i="21"/>
  <c r="K244" i="21"/>
  <c r="J244" i="21"/>
  <c r="E244" i="21"/>
  <c r="D244" i="21"/>
  <c r="C244" i="21"/>
  <c r="L243" i="21"/>
  <c r="K243" i="21"/>
  <c r="J243" i="21"/>
  <c r="E243" i="21"/>
  <c r="D243" i="21"/>
  <c r="C243" i="21"/>
  <c r="L242" i="21"/>
  <c r="K242" i="21"/>
  <c r="J242" i="21"/>
  <c r="E242" i="21"/>
  <c r="D242" i="21"/>
  <c r="C242" i="21"/>
  <c r="L241" i="21"/>
  <c r="K241" i="21"/>
  <c r="J241" i="21"/>
  <c r="E241" i="21"/>
  <c r="D241" i="21"/>
  <c r="C241" i="21"/>
  <c r="L240" i="21"/>
  <c r="K240" i="21"/>
  <c r="J240" i="21"/>
  <c r="E240" i="21"/>
  <c r="D240" i="21"/>
  <c r="C240" i="21"/>
  <c r="P239" i="21"/>
  <c r="L239" i="21"/>
  <c r="K239" i="21"/>
  <c r="J239" i="21"/>
  <c r="E239" i="21"/>
  <c r="D239" i="21"/>
  <c r="C239" i="21"/>
  <c r="P238" i="21"/>
  <c r="P237" i="21"/>
  <c r="L237" i="21"/>
  <c r="K237" i="21"/>
  <c r="J237" i="21"/>
  <c r="E237" i="21"/>
  <c r="D237" i="21"/>
  <c r="C237" i="21"/>
  <c r="P236" i="21"/>
  <c r="L236" i="21"/>
  <c r="K236" i="21"/>
  <c r="J236" i="21"/>
  <c r="E236" i="21"/>
  <c r="D236" i="21"/>
  <c r="C236" i="21"/>
  <c r="P235" i="21"/>
  <c r="L235" i="21"/>
  <c r="K235" i="21"/>
  <c r="J235" i="21"/>
  <c r="E235" i="21"/>
  <c r="D235" i="21"/>
  <c r="C235" i="21"/>
  <c r="P234" i="21"/>
  <c r="L234" i="21"/>
  <c r="K234" i="21"/>
  <c r="J234" i="21"/>
  <c r="E234" i="21"/>
  <c r="D234" i="21"/>
  <c r="C234" i="21"/>
  <c r="P233" i="21"/>
  <c r="L233" i="21"/>
  <c r="K233" i="21"/>
  <c r="J233" i="21"/>
  <c r="E233" i="21"/>
  <c r="D233" i="21"/>
  <c r="C233" i="21"/>
  <c r="P232" i="21"/>
  <c r="L232" i="21"/>
  <c r="K232" i="21"/>
  <c r="J232" i="21"/>
  <c r="E232" i="21"/>
  <c r="D232" i="21"/>
  <c r="C232" i="21"/>
  <c r="P231" i="21"/>
  <c r="L231" i="21"/>
  <c r="K231" i="21"/>
  <c r="J231" i="21"/>
  <c r="E231" i="21"/>
  <c r="D231" i="21"/>
  <c r="C231" i="21"/>
  <c r="P230" i="21"/>
  <c r="L230" i="21"/>
  <c r="K230" i="21"/>
  <c r="J230" i="21"/>
  <c r="E230" i="21"/>
  <c r="D230" i="21"/>
  <c r="C230" i="21"/>
  <c r="P229" i="21"/>
  <c r="L229" i="21"/>
  <c r="K229" i="21"/>
  <c r="J229" i="21"/>
  <c r="E229" i="21"/>
  <c r="D229" i="21"/>
  <c r="C229" i="21"/>
  <c r="P228" i="21"/>
  <c r="L228" i="21"/>
  <c r="K228" i="21"/>
  <c r="J228" i="21"/>
  <c r="E228" i="21"/>
  <c r="D228" i="21"/>
  <c r="C228" i="21"/>
  <c r="P227" i="21"/>
  <c r="L227" i="21"/>
  <c r="K227" i="21"/>
  <c r="J227" i="21"/>
  <c r="E227" i="21"/>
  <c r="D227" i="21"/>
  <c r="C227" i="21"/>
  <c r="P226" i="21"/>
  <c r="L226" i="21"/>
  <c r="K226" i="21"/>
  <c r="J226" i="21"/>
  <c r="E226" i="21"/>
  <c r="D226" i="21"/>
  <c r="C226" i="21"/>
  <c r="P225" i="21"/>
  <c r="L225" i="21"/>
  <c r="K225" i="21"/>
  <c r="J225" i="21"/>
  <c r="E225" i="21"/>
  <c r="D225" i="21"/>
  <c r="C225" i="21"/>
  <c r="P224" i="21"/>
  <c r="L224" i="21"/>
  <c r="K224" i="21"/>
  <c r="J224" i="21"/>
  <c r="E224" i="21"/>
  <c r="D224" i="21"/>
  <c r="C224" i="21"/>
  <c r="P223" i="21"/>
  <c r="L223" i="21"/>
  <c r="K223" i="21"/>
  <c r="J223" i="21"/>
  <c r="E223" i="21"/>
  <c r="D223" i="21"/>
  <c r="C223" i="21"/>
  <c r="P222" i="21"/>
  <c r="L222" i="21"/>
  <c r="K222" i="21"/>
  <c r="J222" i="21"/>
  <c r="E222" i="21"/>
  <c r="D222" i="21"/>
  <c r="C222" i="21"/>
  <c r="L221" i="21"/>
  <c r="K221" i="21"/>
  <c r="J221" i="21"/>
  <c r="E221" i="21"/>
  <c r="D221" i="21"/>
  <c r="C221" i="21"/>
  <c r="L220" i="21"/>
  <c r="K220" i="21"/>
  <c r="J220" i="21"/>
  <c r="E220" i="21"/>
  <c r="D220" i="21"/>
  <c r="C220" i="21"/>
  <c r="L218" i="21"/>
  <c r="K218" i="21"/>
  <c r="J218" i="21"/>
  <c r="E218" i="21"/>
  <c r="D218" i="21"/>
  <c r="C218" i="21"/>
  <c r="P217" i="21"/>
  <c r="L217" i="21"/>
  <c r="K217" i="21"/>
  <c r="J217" i="21"/>
  <c r="E217" i="21"/>
  <c r="D217" i="21"/>
  <c r="C217" i="21"/>
  <c r="P216" i="21"/>
  <c r="L216" i="21"/>
  <c r="K216" i="21"/>
  <c r="J216" i="21"/>
  <c r="E216" i="21"/>
  <c r="D216" i="21"/>
  <c r="C216" i="21"/>
  <c r="P215" i="21"/>
  <c r="L215" i="21"/>
  <c r="K215" i="21"/>
  <c r="J215" i="21"/>
  <c r="E215" i="21"/>
  <c r="D215" i="21"/>
  <c r="C215" i="21"/>
  <c r="P214" i="21"/>
  <c r="L214" i="21"/>
  <c r="K214" i="21"/>
  <c r="J214" i="21"/>
  <c r="E214" i="21"/>
  <c r="D214" i="21"/>
  <c r="C214" i="21"/>
  <c r="P213" i="21"/>
  <c r="L213" i="21"/>
  <c r="K213" i="21"/>
  <c r="J213" i="21"/>
  <c r="E213" i="21"/>
  <c r="D213" i="21"/>
  <c r="C213" i="21"/>
  <c r="P212" i="21"/>
  <c r="L212" i="21"/>
  <c r="K212" i="21"/>
  <c r="J212" i="21"/>
  <c r="E212" i="21"/>
  <c r="D212" i="21"/>
  <c r="C212" i="21"/>
  <c r="P211" i="21"/>
  <c r="L211" i="21"/>
  <c r="K211" i="21"/>
  <c r="J211" i="21"/>
  <c r="E211" i="21"/>
  <c r="D211" i="21"/>
  <c r="C211" i="21"/>
  <c r="P210" i="21"/>
  <c r="L210" i="21"/>
  <c r="K210" i="21"/>
  <c r="J210" i="21"/>
  <c r="E210" i="21"/>
  <c r="D210" i="21"/>
  <c r="C210" i="21"/>
  <c r="P209" i="21"/>
  <c r="L209" i="21"/>
  <c r="K209" i="21"/>
  <c r="J209" i="21"/>
  <c r="E209" i="21"/>
  <c r="D209" i="21"/>
  <c r="C209" i="21"/>
  <c r="P208" i="21"/>
  <c r="L208" i="21"/>
  <c r="K208" i="21"/>
  <c r="J208" i="21"/>
  <c r="E208" i="21"/>
  <c r="D208" i="21"/>
  <c r="C208" i="21"/>
  <c r="P207" i="21"/>
  <c r="L207" i="21"/>
  <c r="K207" i="21"/>
  <c r="J207" i="21"/>
  <c r="E207" i="21"/>
  <c r="D207" i="21"/>
  <c r="C207" i="21"/>
  <c r="P206" i="21"/>
  <c r="L206" i="21"/>
  <c r="K206" i="21"/>
  <c r="J206" i="21"/>
  <c r="E206" i="21"/>
  <c r="D206" i="21"/>
  <c r="C206" i="21"/>
  <c r="P205" i="21"/>
  <c r="L205" i="21"/>
  <c r="K205" i="21"/>
  <c r="J205" i="21"/>
  <c r="E205" i="21"/>
  <c r="D205" i="21"/>
  <c r="C205" i="21"/>
  <c r="P204" i="21"/>
  <c r="L204" i="21"/>
  <c r="K204" i="21"/>
  <c r="J204" i="21"/>
  <c r="E204" i="21"/>
  <c r="D204" i="21"/>
  <c r="C204" i="21"/>
  <c r="P203" i="21"/>
  <c r="L203" i="21"/>
  <c r="K203" i="21"/>
  <c r="J203" i="21"/>
  <c r="E203" i="21"/>
  <c r="D203" i="21"/>
  <c r="C203" i="21"/>
  <c r="P202" i="21"/>
  <c r="L202" i="21"/>
  <c r="K202" i="21"/>
  <c r="J202" i="21"/>
  <c r="E202" i="21"/>
  <c r="D202" i="21"/>
  <c r="C202" i="21"/>
  <c r="P201" i="21"/>
  <c r="L201" i="21"/>
  <c r="K201" i="21"/>
  <c r="J201" i="21"/>
  <c r="E201" i="21"/>
  <c r="D201" i="21"/>
  <c r="C201" i="21"/>
  <c r="P200" i="21"/>
  <c r="L196" i="21"/>
  <c r="M332" i="21" s="1"/>
  <c r="F196" i="21"/>
  <c r="F332" i="21" s="1"/>
  <c r="L195" i="21"/>
  <c r="M313" i="21" s="1"/>
  <c r="F195" i="21"/>
  <c r="F313" i="21" s="1"/>
  <c r="L194" i="21"/>
  <c r="M294" i="21" s="1"/>
  <c r="F194" i="21"/>
  <c r="F294" i="21" s="1"/>
  <c r="L193" i="21"/>
  <c r="M275" i="21" s="1"/>
  <c r="F193" i="21"/>
  <c r="F275" i="21" s="1"/>
  <c r="L192" i="21"/>
  <c r="M256" i="21" s="1"/>
  <c r="F192" i="21"/>
  <c r="F256" i="21" s="1"/>
  <c r="L191" i="21"/>
  <c r="M237" i="21" s="1"/>
  <c r="F191" i="21"/>
  <c r="F237" i="21" s="1"/>
  <c r="L190" i="21"/>
  <c r="M218" i="21" s="1"/>
  <c r="F190" i="21"/>
  <c r="F218" i="21" s="1"/>
  <c r="K189" i="21"/>
  <c r="J189" i="21"/>
  <c r="H187" i="21"/>
  <c r="L186" i="21"/>
  <c r="M331" i="21" s="1"/>
  <c r="F186" i="21"/>
  <c r="F331" i="21" s="1"/>
  <c r="L185" i="21"/>
  <c r="M312" i="21" s="1"/>
  <c r="F185" i="21"/>
  <c r="F312" i="21" s="1"/>
  <c r="L184" i="21"/>
  <c r="M293" i="21" s="1"/>
  <c r="F184" i="21"/>
  <c r="F293" i="21" s="1"/>
  <c r="L183" i="21"/>
  <c r="M274" i="21" s="1"/>
  <c r="F183" i="21"/>
  <c r="F274" i="21" s="1"/>
  <c r="L182" i="21"/>
  <c r="M255" i="21" s="1"/>
  <c r="F182" i="21"/>
  <c r="F255" i="21" s="1"/>
  <c r="L181" i="21"/>
  <c r="M236" i="21" s="1"/>
  <c r="F181" i="21"/>
  <c r="F236" i="21" s="1"/>
  <c r="L180" i="21"/>
  <c r="M217" i="21" s="1"/>
  <c r="F180" i="21"/>
  <c r="F217" i="21" s="1"/>
  <c r="K179" i="21"/>
  <c r="J179" i="21"/>
  <c r="L176" i="21"/>
  <c r="M330" i="21" s="1"/>
  <c r="F176" i="21"/>
  <c r="F330" i="21" s="1"/>
  <c r="L175" i="21"/>
  <c r="M311" i="21" s="1"/>
  <c r="F175" i="21"/>
  <c r="F311" i="21" s="1"/>
  <c r="L174" i="21"/>
  <c r="M292" i="21" s="1"/>
  <c r="F174" i="21"/>
  <c r="F292" i="21" s="1"/>
  <c r="L173" i="21"/>
  <c r="M273" i="21" s="1"/>
  <c r="F173" i="21"/>
  <c r="F273" i="21" s="1"/>
  <c r="L172" i="21"/>
  <c r="M254" i="21" s="1"/>
  <c r="F172" i="21"/>
  <c r="F254" i="21" s="1"/>
  <c r="L171" i="21"/>
  <c r="M235" i="21" s="1"/>
  <c r="F171" i="21"/>
  <c r="F235" i="21" s="1"/>
  <c r="L170" i="21"/>
  <c r="M216" i="21" s="1"/>
  <c r="F170" i="21"/>
  <c r="F216" i="21" s="1"/>
  <c r="K169" i="21"/>
  <c r="J169" i="21"/>
  <c r="H167" i="21"/>
  <c r="L165" i="21"/>
  <c r="M329" i="21" s="1"/>
  <c r="F165" i="21"/>
  <c r="F329" i="21" s="1"/>
  <c r="L164" i="21"/>
  <c r="M310" i="21" s="1"/>
  <c r="F164" i="21"/>
  <c r="F310" i="21" s="1"/>
  <c r="L163" i="21"/>
  <c r="M291" i="21" s="1"/>
  <c r="F163" i="21"/>
  <c r="F291" i="21" s="1"/>
  <c r="L162" i="21"/>
  <c r="M272" i="21" s="1"/>
  <c r="F162" i="21"/>
  <c r="F272" i="21" s="1"/>
  <c r="L161" i="21"/>
  <c r="M253" i="21" s="1"/>
  <c r="F161" i="21"/>
  <c r="F253" i="21" s="1"/>
  <c r="L160" i="21"/>
  <c r="M234" i="21" s="1"/>
  <c r="F160" i="21"/>
  <c r="F234" i="21" s="1"/>
  <c r="L159" i="21"/>
  <c r="M215" i="21" s="1"/>
  <c r="F159" i="21"/>
  <c r="F215" i="21" s="1"/>
  <c r="K158" i="21"/>
  <c r="J158" i="21"/>
  <c r="H156" i="21"/>
  <c r="L154" i="21"/>
  <c r="M328" i="21" s="1"/>
  <c r="F154" i="21"/>
  <c r="F328" i="21" s="1"/>
  <c r="L153" i="21"/>
  <c r="M309" i="21" s="1"/>
  <c r="F153" i="21"/>
  <c r="F309" i="21" s="1"/>
  <c r="L152" i="21"/>
  <c r="M290" i="21" s="1"/>
  <c r="F152" i="21"/>
  <c r="F290" i="21" s="1"/>
  <c r="L151" i="21"/>
  <c r="M271" i="21" s="1"/>
  <c r="F151" i="21"/>
  <c r="F271" i="21" s="1"/>
  <c r="L150" i="21"/>
  <c r="M252" i="21" s="1"/>
  <c r="F150" i="21"/>
  <c r="F252" i="21" s="1"/>
  <c r="L149" i="21"/>
  <c r="M233" i="21" s="1"/>
  <c r="F149" i="21"/>
  <c r="F233" i="21" s="1"/>
  <c r="L148" i="21"/>
  <c r="M214" i="21" s="1"/>
  <c r="F148" i="21"/>
  <c r="F214" i="21" s="1"/>
  <c r="K147" i="21"/>
  <c r="J147" i="21"/>
  <c r="H145" i="21"/>
  <c r="L143" i="21"/>
  <c r="M327" i="21" s="1"/>
  <c r="F143" i="21"/>
  <c r="F327" i="21" s="1"/>
  <c r="L142" i="21"/>
  <c r="M308" i="21" s="1"/>
  <c r="F142" i="21"/>
  <c r="F308" i="21" s="1"/>
  <c r="L141" i="21"/>
  <c r="M289" i="21" s="1"/>
  <c r="F141" i="21"/>
  <c r="F289" i="21" s="1"/>
  <c r="L140" i="21"/>
  <c r="M270" i="21" s="1"/>
  <c r="F140" i="21"/>
  <c r="F270" i="21" s="1"/>
  <c r="L139" i="21"/>
  <c r="M251" i="21" s="1"/>
  <c r="F139" i="21"/>
  <c r="F251" i="21" s="1"/>
  <c r="L138" i="21"/>
  <c r="M232" i="21" s="1"/>
  <c r="F138" i="21"/>
  <c r="F232" i="21" s="1"/>
  <c r="L137" i="21"/>
  <c r="M213" i="21" s="1"/>
  <c r="F137" i="21"/>
  <c r="F213" i="21" s="1"/>
  <c r="K136" i="21"/>
  <c r="J136" i="21"/>
  <c r="H134" i="21"/>
  <c r="L132" i="21"/>
  <c r="M326" i="21" s="1"/>
  <c r="F132" i="21"/>
  <c r="F326" i="21" s="1"/>
  <c r="L131" i="21"/>
  <c r="M307" i="21" s="1"/>
  <c r="F131" i="21"/>
  <c r="F307" i="21" s="1"/>
  <c r="L130" i="21"/>
  <c r="M288" i="21" s="1"/>
  <c r="F130" i="21"/>
  <c r="F288" i="21" s="1"/>
  <c r="L129" i="21"/>
  <c r="M269" i="21" s="1"/>
  <c r="F129" i="21"/>
  <c r="F269" i="21" s="1"/>
  <c r="L128" i="21"/>
  <c r="M250" i="21" s="1"/>
  <c r="F128" i="21"/>
  <c r="F250" i="21" s="1"/>
  <c r="L127" i="21"/>
  <c r="M231" i="21" s="1"/>
  <c r="F127" i="21"/>
  <c r="F231" i="21" s="1"/>
  <c r="L126" i="21"/>
  <c r="M212" i="21" s="1"/>
  <c r="F126" i="21"/>
  <c r="F212" i="21" s="1"/>
  <c r="K125" i="21"/>
  <c r="J125" i="21"/>
  <c r="H123" i="21"/>
  <c r="L121" i="21"/>
  <c r="M325" i="21" s="1"/>
  <c r="F121" i="21"/>
  <c r="F325" i="21" s="1"/>
  <c r="L120" i="21"/>
  <c r="M306" i="21" s="1"/>
  <c r="F120" i="21"/>
  <c r="F306" i="21" s="1"/>
  <c r="L119" i="21"/>
  <c r="M287" i="21" s="1"/>
  <c r="F119" i="21"/>
  <c r="F287" i="21" s="1"/>
  <c r="L118" i="21"/>
  <c r="M268" i="21" s="1"/>
  <c r="F118" i="21"/>
  <c r="F268" i="21" s="1"/>
  <c r="L117" i="21"/>
  <c r="M249" i="21" s="1"/>
  <c r="F117" i="21"/>
  <c r="F249" i="21" s="1"/>
  <c r="L116" i="21"/>
  <c r="M230" i="21" s="1"/>
  <c r="F116" i="21"/>
  <c r="F230" i="21" s="1"/>
  <c r="L115" i="21"/>
  <c r="M211" i="21" s="1"/>
  <c r="F115" i="21"/>
  <c r="F211" i="21" s="1"/>
  <c r="K114" i="21"/>
  <c r="J114" i="21"/>
  <c r="H112" i="21"/>
  <c r="L110" i="21"/>
  <c r="M324" i="21" s="1"/>
  <c r="F110" i="21"/>
  <c r="F324" i="21" s="1"/>
  <c r="L109" i="21"/>
  <c r="M305" i="21" s="1"/>
  <c r="F109" i="21"/>
  <c r="F305" i="21" s="1"/>
  <c r="L108" i="21"/>
  <c r="M286" i="21" s="1"/>
  <c r="F108" i="21"/>
  <c r="F286" i="21" s="1"/>
  <c r="L107" i="21"/>
  <c r="M267" i="21" s="1"/>
  <c r="F107" i="21"/>
  <c r="F267" i="21" s="1"/>
  <c r="L106" i="21"/>
  <c r="M248" i="21" s="1"/>
  <c r="F106" i="21"/>
  <c r="F248" i="21" s="1"/>
  <c r="L105" i="21"/>
  <c r="M229" i="21" s="1"/>
  <c r="F105" i="21"/>
  <c r="F229" i="21" s="1"/>
  <c r="L104" i="21"/>
  <c r="M210" i="21" s="1"/>
  <c r="F104" i="21"/>
  <c r="F210" i="21" s="1"/>
  <c r="K103" i="21"/>
  <c r="J103" i="21"/>
  <c r="H101" i="21"/>
  <c r="L99" i="21"/>
  <c r="M323" i="21" s="1"/>
  <c r="F99" i="21"/>
  <c r="F323" i="21" s="1"/>
  <c r="L98" i="21"/>
  <c r="M304" i="21" s="1"/>
  <c r="F98" i="21"/>
  <c r="F304" i="21" s="1"/>
  <c r="L97" i="21"/>
  <c r="M285" i="21" s="1"/>
  <c r="F97" i="21"/>
  <c r="F285" i="21" s="1"/>
  <c r="L96" i="21"/>
  <c r="M266" i="21" s="1"/>
  <c r="F96" i="21"/>
  <c r="F266" i="21" s="1"/>
  <c r="L95" i="21"/>
  <c r="M247" i="21" s="1"/>
  <c r="F95" i="21"/>
  <c r="F247" i="21" s="1"/>
  <c r="L94" i="21"/>
  <c r="M228" i="21" s="1"/>
  <c r="F94" i="21"/>
  <c r="F228" i="21" s="1"/>
  <c r="L93" i="21"/>
  <c r="M209" i="21" s="1"/>
  <c r="F93" i="21"/>
  <c r="F209" i="21" s="1"/>
  <c r="K92" i="21"/>
  <c r="J92" i="21"/>
  <c r="H90" i="21"/>
  <c r="L88" i="21"/>
  <c r="M322" i="21" s="1"/>
  <c r="F88" i="21"/>
  <c r="F322" i="21" s="1"/>
  <c r="L87" i="21"/>
  <c r="M303" i="21" s="1"/>
  <c r="F87" i="21"/>
  <c r="F303" i="21" s="1"/>
  <c r="L86" i="21"/>
  <c r="M284" i="21" s="1"/>
  <c r="F86" i="21"/>
  <c r="F284" i="21" s="1"/>
  <c r="L85" i="21"/>
  <c r="M265" i="21" s="1"/>
  <c r="F85" i="21"/>
  <c r="F265" i="21" s="1"/>
  <c r="L84" i="21"/>
  <c r="M246" i="21" s="1"/>
  <c r="F84" i="21"/>
  <c r="F246" i="21" s="1"/>
  <c r="L83" i="21"/>
  <c r="M227" i="21" s="1"/>
  <c r="F83" i="21"/>
  <c r="F227" i="21" s="1"/>
  <c r="L82" i="21"/>
  <c r="M208" i="21" s="1"/>
  <c r="F82" i="21"/>
  <c r="F208" i="21" s="1"/>
  <c r="K81" i="21"/>
  <c r="J81" i="21"/>
  <c r="H79" i="21"/>
  <c r="L77" i="21"/>
  <c r="M321" i="21" s="1"/>
  <c r="F77" i="21"/>
  <c r="F321" i="21" s="1"/>
  <c r="L76" i="21"/>
  <c r="M302" i="21" s="1"/>
  <c r="F76" i="21"/>
  <c r="F302" i="21" s="1"/>
  <c r="L75" i="21"/>
  <c r="M283" i="21" s="1"/>
  <c r="F75" i="21"/>
  <c r="F283" i="21" s="1"/>
  <c r="L74" i="21"/>
  <c r="M264" i="21" s="1"/>
  <c r="F74" i="21"/>
  <c r="F264" i="21" s="1"/>
  <c r="L73" i="21"/>
  <c r="M245" i="21" s="1"/>
  <c r="F73" i="21"/>
  <c r="F245" i="21" s="1"/>
  <c r="L72" i="21"/>
  <c r="M226" i="21" s="1"/>
  <c r="F72" i="21"/>
  <c r="F226" i="21" s="1"/>
  <c r="L71" i="21"/>
  <c r="M207" i="21" s="1"/>
  <c r="F71" i="21"/>
  <c r="F207" i="21" s="1"/>
  <c r="K70" i="21"/>
  <c r="J70" i="21"/>
  <c r="H68" i="21"/>
  <c r="L66" i="21"/>
  <c r="M320" i="21" s="1"/>
  <c r="F66" i="21"/>
  <c r="F320" i="21" s="1"/>
  <c r="L65" i="21"/>
  <c r="M301" i="21" s="1"/>
  <c r="F65" i="21"/>
  <c r="F301" i="21" s="1"/>
  <c r="L64" i="21"/>
  <c r="M282" i="21" s="1"/>
  <c r="F64" i="21"/>
  <c r="F282" i="21" s="1"/>
  <c r="L63" i="21"/>
  <c r="M263" i="21" s="1"/>
  <c r="F63" i="21"/>
  <c r="F263" i="21" s="1"/>
  <c r="L62" i="21"/>
  <c r="M244" i="21" s="1"/>
  <c r="F62" i="21"/>
  <c r="F244" i="21" s="1"/>
  <c r="L61" i="21"/>
  <c r="M225" i="21" s="1"/>
  <c r="F61" i="21"/>
  <c r="F225" i="21" s="1"/>
  <c r="L60" i="21"/>
  <c r="M206" i="21" s="1"/>
  <c r="F60" i="21"/>
  <c r="F206" i="21" s="1"/>
  <c r="K59" i="21"/>
  <c r="J59" i="21"/>
  <c r="H57" i="21"/>
  <c r="L55" i="21"/>
  <c r="M319" i="21" s="1"/>
  <c r="F55" i="21"/>
  <c r="F319" i="21" s="1"/>
  <c r="L54" i="21"/>
  <c r="M300" i="21" s="1"/>
  <c r="F54" i="21"/>
  <c r="F300" i="21" s="1"/>
  <c r="L53" i="21"/>
  <c r="M281" i="21" s="1"/>
  <c r="F53" i="21"/>
  <c r="F281" i="21" s="1"/>
  <c r="L52" i="21"/>
  <c r="M262" i="21" s="1"/>
  <c r="F52" i="21"/>
  <c r="F262" i="21" s="1"/>
  <c r="L51" i="21"/>
  <c r="M243" i="21" s="1"/>
  <c r="F51" i="21"/>
  <c r="F243" i="21" s="1"/>
  <c r="L50" i="21"/>
  <c r="M224" i="21" s="1"/>
  <c r="F50" i="21"/>
  <c r="F224" i="21" s="1"/>
  <c r="L49" i="21"/>
  <c r="M205" i="21" s="1"/>
  <c r="F49" i="21"/>
  <c r="F205" i="21" s="1"/>
  <c r="K48" i="21"/>
  <c r="J48" i="21"/>
  <c r="H46" i="21"/>
  <c r="L44" i="21"/>
  <c r="M318" i="21" s="1"/>
  <c r="F44" i="21"/>
  <c r="F318" i="21" s="1"/>
  <c r="L43" i="21"/>
  <c r="M299" i="21" s="1"/>
  <c r="F43" i="21"/>
  <c r="F299" i="21" s="1"/>
  <c r="L42" i="21"/>
  <c r="M280" i="21" s="1"/>
  <c r="F42" i="21"/>
  <c r="F280" i="21" s="1"/>
  <c r="L41" i="21"/>
  <c r="M261" i="21" s="1"/>
  <c r="F41" i="21"/>
  <c r="F261" i="21" s="1"/>
  <c r="L40" i="21"/>
  <c r="M242" i="21" s="1"/>
  <c r="F40" i="21"/>
  <c r="F242" i="21" s="1"/>
  <c r="L39" i="21"/>
  <c r="M223" i="21" s="1"/>
  <c r="F39" i="21"/>
  <c r="F223" i="21" s="1"/>
  <c r="L38" i="21"/>
  <c r="M204" i="21" s="1"/>
  <c r="F38" i="21"/>
  <c r="F204" i="21" s="1"/>
  <c r="K37" i="21"/>
  <c r="J37" i="21"/>
  <c r="H35" i="21"/>
  <c r="L33" i="21"/>
  <c r="M317" i="21" s="1"/>
  <c r="F33" i="21"/>
  <c r="F317" i="21" s="1"/>
  <c r="L32" i="21"/>
  <c r="M298" i="21" s="1"/>
  <c r="F32" i="21"/>
  <c r="F298" i="21" s="1"/>
  <c r="L31" i="21"/>
  <c r="M279" i="21" s="1"/>
  <c r="F31" i="21"/>
  <c r="F279" i="21" s="1"/>
  <c r="L30" i="21"/>
  <c r="M260" i="21" s="1"/>
  <c r="F30" i="21"/>
  <c r="F260" i="21" s="1"/>
  <c r="L29" i="21"/>
  <c r="M241" i="21" s="1"/>
  <c r="F29" i="21"/>
  <c r="F241" i="21" s="1"/>
  <c r="L28" i="21"/>
  <c r="M222" i="21" s="1"/>
  <c r="F28" i="21"/>
  <c r="F222" i="21" s="1"/>
  <c r="L27" i="21"/>
  <c r="M203" i="21" s="1"/>
  <c r="F27" i="21"/>
  <c r="F203" i="21" s="1"/>
  <c r="K26" i="21"/>
  <c r="J26" i="21"/>
  <c r="H24" i="21"/>
  <c r="L22" i="21"/>
  <c r="M316" i="21" s="1"/>
  <c r="F22" i="21"/>
  <c r="F316" i="21" s="1"/>
  <c r="L21" i="21"/>
  <c r="M297" i="21" s="1"/>
  <c r="F21" i="21"/>
  <c r="F297" i="21" s="1"/>
  <c r="L20" i="21"/>
  <c r="F20" i="21"/>
  <c r="F278" i="21" s="1"/>
  <c r="L19" i="21"/>
  <c r="M259" i="21" s="1"/>
  <c r="F19" i="21"/>
  <c r="F259" i="21" s="1"/>
  <c r="L18" i="21"/>
  <c r="M240" i="21" s="1"/>
  <c r="F18" i="21"/>
  <c r="F240" i="21" s="1"/>
  <c r="L17" i="21"/>
  <c r="M221" i="21" s="1"/>
  <c r="F17" i="21"/>
  <c r="F221" i="21" s="1"/>
  <c r="L16" i="21"/>
  <c r="M202" i="21" s="1"/>
  <c r="F16" i="21"/>
  <c r="F202" i="21" s="1"/>
  <c r="K15" i="21"/>
  <c r="J15" i="21"/>
  <c r="H13" i="21"/>
  <c r="L11" i="21"/>
  <c r="M315" i="21" s="1"/>
  <c r="F11" i="21"/>
  <c r="F315" i="21" s="1"/>
  <c r="L10" i="21"/>
  <c r="M296" i="21" s="1"/>
  <c r="F10" i="21"/>
  <c r="F296" i="21" s="1"/>
  <c r="L9" i="21"/>
  <c r="F9" i="21"/>
  <c r="F277" i="21" s="1"/>
  <c r="L8" i="21"/>
  <c r="M258" i="21" s="1"/>
  <c r="F8" i="21"/>
  <c r="F258" i="21" s="1"/>
  <c r="L7" i="21"/>
  <c r="M239" i="21" s="1"/>
  <c r="F7" i="21"/>
  <c r="F239" i="21" s="1"/>
  <c r="L6" i="21"/>
  <c r="F6" i="21"/>
  <c r="F220" i="21" s="1"/>
  <c r="L5" i="21"/>
  <c r="M201" i="21" s="1"/>
  <c r="F5" i="21"/>
  <c r="F201" i="21" s="1"/>
  <c r="J4" i="21"/>
  <c r="H2" i="21"/>
  <c r="K67" i="6"/>
  <c r="K52" i="20" l="1"/>
  <c r="E32" i="16" s="1"/>
  <c r="A337" i="21"/>
  <c r="F334" i="21"/>
  <c r="H337" i="21" s="1"/>
  <c r="B342" i="21"/>
  <c r="B340" i="21"/>
  <c r="A338" i="21"/>
  <c r="C340" i="21"/>
  <c r="C342" i="21"/>
  <c r="B334" i="21"/>
  <c r="B336" i="21" s="1"/>
  <c r="G336" i="21" s="1"/>
  <c r="A347" i="21"/>
  <c r="I337" i="21"/>
  <c r="C343" i="21"/>
  <c r="A342" i="21"/>
  <c r="A341" i="21"/>
  <c r="A340" i="21"/>
  <c r="D339" i="21"/>
  <c r="C338" i="21"/>
  <c r="C337" i="21"/>
  <c r="K334" i="21"/>
  <c r="B343" i="21"/>
  <c r="D342" i="21"/>
  <c r="D341" i="21"/>
  <c r="D340" i="21"/>
  <c r="C339" i="21"/>
  <c r="B338" i="21"/>
  <c r="B337" i="21"/>
  <c r="B339" i="21"/>
  <c r="D343" i="21"/>
  <c r="A339" i="21"/>
  <c r="D338" i="21"/>
  <c r="D337" i="21"/>
  <c r="M220" i="21"/>
  <c r="B341" i="21"/>
  <c r="M278" i="21"/>
  <c r="M277" i="21"/>
  <c r="C341" i="21"/>
  <c r="A343" i="21"/>
  <c r="G341" i="21" l="1"/>
  <c r="I340" i="21"/>
  <c r="G342" i="21"/>
  <c r="H338" i="21"/>
  <c r="I339" i="21"/>
  <c r="F337" i="21"/>
  <c r="F340" i="21"/>
  <c r="F338" i="21"/>
  <c r="F341" i="21"/>
  <c r="I338" i="21"/>
  <c r="G337" i="21"/>
  <c r="G338" i="21"/>
  <c r="H339" i="21"/>
  <c r="H341" i="21"/>
  <c r="I342" i="21"/>
  <c r="H343" i="21"/>
  <c r="G339" i="21"/>
  <c r="H342" i="21"/>
  <c r="G343" i="21"/>
  <c r="H340" i="21"/>
  <c r="I341" i="21"/>
  <c r="F342" i="21"/>
  <c r="G340" i="21"/>
  <c r="F343" i="21"/>
  <c r="H25" i="12"/>
  <c r="G334" i="21"/>
  <c r="L334" i="21" s="1"/>
  <c r="C336" i="21"/>
  <c r="H336" i="21" s="1"/>
  <c r="F339" i="21"/>
  <c r="I343" i="21"/>
  <c r="O338" i="21"/>
  <c r="O339" i="21"/>
  <c r="B346" i="21"/>
  <c r="D348" i="21"/>
  <c r="B348" i="21"/>
  <c r="D346" i="21"/>
  <c r="M343" i="21" l="1"/>
  <c r="G15" i="16"/>
  <c r="G15" i="12" s="1"/>
  <c r="M342" i="21"/>
  <c r="G14" i="16"/>
  <c r="G14" i="12" s="1"/>
  <c r="G346" i="21"/>
  <c r="I348" i="21"/>
  <c r="G348" i="21"/>
  <c r="I346" i="21"/>
  <c r="C347" i="21"/>
  <c r="M338" i="21" s="1"/>
  <c r="E5" i="16"/>
  <c r="E6" i="16"/>
  <c r="E8" i="16"/>
  <c r="E9" i="16"/>
  <c r="E10" i="16"/>
  <c r="E11" i="16"/>
  <c r="E4" i="16"/>
  <c r="L342" i="21" l="1"/>
  <c r="K347" i="21" s="1"/>
  <c r="E14" i="16"/>
  <c r="E14" i="12" s="1"/>
  <c r="H347" i="21"/>
  <c r="M339" i="21" s="1"/>
  <c r="L343" i="21" l="1"/>
  <c r="K348" i="21" s="1"/>
  <c r="E15" i="16"/>
  <c r="E15" i="12" s="1"/>
  <c r="H60" i="12"/>
  <c r="J31" i="6" l="1"/>
  <c r="E8" i="12" l="1"/>
  <c r="E9" i="12"/>
  <c r="D21" i="25" s="1"/>
  <c r="E10" i="12"/>
  <c r="D17" i="25" s="1"/>
  <c r="E11" i="12"/>
  <c r="E4" i="12"/>
  <c r="D8" i="25" s="1"/>
  <c r="C18" i="26" s="1"/>
  <c r="A11" i="16"/>
  <c r="A11" i="12" s="1"/>
  <c r="C27" i="16"/>
  <c r="C27" i="12" s="1"/>
  <c r="D23" i="25" l="1"/>
  <c r="D4" i="25"/>
  <c r="D19" i="25"/>
  <c r="E7" i="12"/>
  <c r="D18" i="25" s="1"/>
  <c r="A5" i="6"/>
  <c r="A5" i="16" s="1"/>
  <c r="A5" i="12" s="1"/>
  <c r="A6" i="6"/>
  <c r="A6" i="16" s="1"/>
  <c r="A6" i="12" s="1"/>
  <c r="A8" i="16"/>
  <c r="A8" i="12" s="1"/>
  <c r="A9" i="6"/>
  <c r="A9" i="16" s="1"/>
  <c r="A9" i="12" s="1"/>
  <c r="A10" i="6"/>
  <c r="A10" i="16" s="1"/>
  <c r="A10" i="12" s="1"/>
  <c r="A4" i="6"/>
  <c r="A4" i="16" s="1"/>
  <c r="A4" i="12" s="1"/>
  <c r="G18" i="26" l="1"/>
  <c r="B37" i="16"/>
  <c r="B37" i="12" s="1"/>
  <c r="L26" i="6"/>
  <c r="K26" i="6"/>
  <c r="K25" i="6"/>
  <c r="K24" i="6"/>
  <c r="J25" i="6"/>
  <c r="I26" i="16" s="1"/>
  <c r="I26" i="12" s="1"/>
  <c r="J26" i="6"/>
  <c r="I27" i="16" s="1"/>
  <c r="I27" i="12" s="1"/>
  <c r="J24" i="6"/>
  <c r="I25" i="16" l="1"/>
  <c r="M45" i="6"/>
  <c r="J27" i="16"/>
  <c r="J27" i="12"/>
  <c r="N44" i="6" l="1"/>
  <c r="O25" i="16" l="1"/>
  <c r="L25" i="16" s="1"/>
  <c r="O27" i="16"/>
  <c r="L27" i="16" s="1"/>
  <c r="P5" i="8"/>
  <c r="P3" i="8"/>
  <c r="O26" i="16" l="1"/>
  <c r="L26" i="16" s="1"/>
  <c r="M48" i="6" s="1"/>
  <c r="H27" i="12"/>
  <c r="O41" i="6" l="1"/>
  <c r="N46" i="6"/>
  <c r="M49" i="6" s="1"/>
  <c r="O42" i="6" s="1"/>
  <c r="P41" i="6" s="1"/>
  <c r="N58" i="16" s="1"/>
  <c r="C3" i="8"/>
  <c r="K10" i="8" s="1"/>
  <c r="F32" i="16"/>
  <c r="C32" i="16"/>
  <c r="C32" i="12" s="1"/>
  <c r="N3" i="8" l="1"/>
  <c r="N4" i="8" s="1"/>
  <c r="M52" i="6"/>
  <c r="F32" i="12"/>
  <c r="R32" i="16"/>
  <c r="C4" i="8"/>
  <c r="C5" i="8"/>
  <c r="M54" i="6" l="1"/>
  <c r="B38" i="6" s="1"/>
  <c r="B39" i="16" s="1"/>
  <c r="B39" i="12" s="1"/>
  <c r="N5" i="8"/>
  <c r="B42" i="16"/>
  <c r="B43" i="16"/>
  <c r="B43" i="12" s="1"/>
  <c r="B63" i="11"/>
  <c r="H26" i="12" l="1"/>
  <c r="E5" i="8" l="1"/>
  <c r="F4" i="8" l="1"/>
  <c r="I4" i="8" s="1"/>
  <c r="J4" i="8" s="1"/>
  <c r="K4" i="8" s="1"/>
  <c r="M4" i="8"/>
  <c r="Q4" i="8" s="1"/>
  <c r="F5" i="8"/>
  <c r="I5" i="8" s="1"/>
  <c r="J5" i="8" s="1"/>
  <c r="K5" i="8" s="1"/>
  <c r="M5" i="8"/>
  <c r="Q5" i="8" s="1"/>
  <c r="J26" i="16"/>
  <c r="V4" i="8" l="1"/>
  <c r="U4" i="8"/>
  <c r="T4" i="8"/>
  <c r="U5" i="8"/>
  <c r="T5" i="8"/>
  <c r="V5" i="8"/>
  <c r="A1" i="12" l="1"/>
  <c r="F59" i="16"/>
  <c r="B50" i="16"/>
  <c r="D59" i="16" s="1"/>
  <c r="B42" i="12"/>
  <c r="B35" i="16"/>
  <c r="B35" i="12" s="1"/>
  <c r="J25" i="16"/>
  <c r="E20" i="16"/>
  <c r="E19" i="16"/>
  <c r="E6" i="12"/>
  <c r="D10" i="25" s="1"/>
  <c r="F18" i="26" s="1"/>
  <c r="E5" i="12"/>
  <c r="D9" i="25" s="1"/>
  <c r="E18" i="26" s="1"/>
  <c r="B36" i="16"/>
  <c r="B36" i="12" s="1"/>
  <c r="J26" i="12"/>
  <c r="J25" i="12"/>
  <c r="C25" i="6"/>
  <c r="C24" i="6"/>
  <c r="C25" i="12" s="1"/>
  <c r="G15" i="6"/>
  <c r="G14" i="6"/>
  <c r="P32" i="16" l="1"/>
  <c r="U32" i="16"/>
  <c r="T32" i="16"/>
  <c r="S32" i="16"/>
  <c r="E20" i="12"/>
  <c r="O20" i="16"/>
  <c r="L20" i="16" s="1"/>
  <c r="E19" i="12"/>
  <c r="O19" i="16"/>
  <c r="L19" i="16" s="1"/>
  <c r="E32" i="12"/>
  <c r="Q32" i="16"/>
  <c r="C26" i="16"/>
  <c r="C26" i="12" s="1"/>
  <c r="B3" i="8"/>
  <c r="B50" i="12"/>
  <c r="D20" i="25" s="1"/>
  <c r="C25" i="16"/>
  <c r="O32" i="16" l="1"/>
  <c r="L32" i="16" s="1"/>
  <c r="N59" i="16" s="1"/>
  <c r="N57" i="16"/>
  <c r="F3" i="8"/>
  <c r="I3" i="8" s="1"/>
  <c r="J3" i="8" s="1"/>
  <c r="K3" i="8" s="1"/>
  <c r="K6" i="8" s="1"/>
  <c r="M3" i="8"/>
  <c r="Q3" i="8" s="1"/>
  <c r="H59" i="16" l="1"/>
  <c r="H1" i="25" s="1"/>
  <c r="J6" i="8"/>
  <c r="J7" i="8" s="1"/>
  <c r="J8" i="8" s="1"/>
  <c r="J9" i="8" s="1"/>
  <c r="J10" i="8" s="1"/>
  <c r="H32" i="16" s="1"/>
  <c r="I32" i="12" s="1"/>
  <c r="U3" i="8"/>
  <c r="U9" i="8"/>
  <c r="T3" i="8"/>
  <c r="V3" i="8"/>
  <c r="H2" i="6" l="1"/>
  <c r="A2" i="16" s="1"/>
  <c r="A2" i="12" s="1"/>
  <c r="B45" i="6"/>
  <c r="B46" i="16" s="1"/>
  <c r="B46" i="12" s="1"/>
  <c r="U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yanteklabpklpfkbjb@gmail.com</author>
    <author>PC-PK</author>
  </authors>
  <commentList>
    <comment ref="D12" authorId="0" shapeId="0" xr:uid="{00000000-0006-0000-0600-000001000000}">
      <text>
        <r>
          <rPr>
            <sz val="10"/>
            <rFont val="Arial"/>
            <family val="2"/>
          </rPr>
          <t>yanteklabpklpfkbjb@gmail.com:
UBAH SATUANNYA SESUAI DENGAN  SATUAN ALATNYA</t>
        </r>
      </text>
    </comment>
    <comment ref="D22" authorId="1" shapeId="0" xr:uid="{DE88BE56-6497-4EA8-8102-7C81AF3C98D8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L338" authorId="0" shapeId="0" xr:uid="{00000000-0006-0000-0A00-000001000000}">
      <text>
        <r>
          <rPr>
            <b/>
            <sz val="9"/>
            <rFont val="Tahoma"/>
            <family val="2"/>
          </rPr>
          <t>HP:</t>
        </r>
        <r>
          <rPr>
            <sz val="9"/>
            <rFont val="Tahoma"/>
            <family val="2"/>
          </rPr>
          <t xml:space="preserve">
dari input data</t>
        </r>
      </text>
    </comment>
  </commentList>
</comments>
</file>

<file path=xl/sharedStrings.xml><?xml version="1.0" encoding="utf-8"?>
<sst xmlns="http://schemas.openxmlformats.org/spreadsheetml/2006/main" count="2104" uniqueCount="651">
  <si>
    <t>LEMBAR KERJA PENGUJIAN PHOTOTHERAPY</t>
  </si>
  <si>
    <t>Nomor Sertifikat / Nomor Surat Keterangan : 41 /        /       -        /E -                         DL/Dt</t>
  </si>
  <si>
    <t>Merek</t>
  </si>
  <si>
    <t xml:space="preserve">: </t>
  </si>
  <si>
    <t>Model/Tipe</t>
  </si>
  <si>
    <t>No. Seri</t>
  </si>
  <si>
    <t>Tanggal Penerimaan Alat</t>
  </si>
  <si>
    <t>Tanggal Pengujian</t>
  </si>
  <si>
    <t>Tempat Pengujian</t>
  </si>
  <si>
    <t>Nama Ruang</t>
  </si>
  <si>
    <t xml:space="preserve">I.     </t>
  </si>
  <si>
    <t>Kondisi Ruang</t>
  </si>
  <si>
    <t>Awal</t>
  </si>
  <si>
    <t>Akhir</t>
  </si>
  <si>
    <t>Score</t>
  </si>
  <si>
    <t>1. Suhu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</si>
  <si>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</si>
  <si>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</si>
  <si>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</si>
  <si>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>3. Tegangan jala - jala</t>
  </si>
  <si>
    <t>:</t>
  </si>
  <si>
    <t>Volt</t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</si>
  <si>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</si>
  <si>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</si>
  <si>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</si>
  <si>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</si>
  <si>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</si>
  <si>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</si>
  <si>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Pengujian Keselamatan Listrik</t>
  </si>
  <si>
    <t>No</t>
  </si>
  <si>
    <t>Parameter</t>
  </si>
  <si>
    <t>Hasil Ukur</t>
  </si>
  <si>
    <t xml:space="preserve">Ambang Batas </t>
  </si>
  <si>
    <t>yang diijinkan</t>
  </si>
  <si>
    <t xml:space="preserve">Resistansi isolasi </t>
  </si>
  <si>
    <t>MΩ</t>
  </si>
  <si>
    <t>&gt; 2 MΩ</t>
  </si>
  <si>
    <t>Resistansi pembumian protektif</t>
  </si>
  <si>
    <t>Ω</t>
  </si>
  <si>
    <t>≤ 0.2 Ω</t>
  </si>
  <si>
    <t>Arus bocor peralatan untuk peralatan elektromedik kelas ( I / II )</t>
  </si>
  <si>
    <t>µA</t>
  </si>
  <si>
    <t>≤ 500 / 100 µA</t>
  </si>
  <si>
    <t>IV.</t>
  </si>
  <si>
    <t xml:space="preserve">Pengujian Kinerja  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</si>
  <si>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</si>
  <si>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</si>
  <si>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</si>
  <si>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</si>
  <si>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</si>
  <si>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</si>
  <si>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</si>
  <si>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</si>
  <si>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Spectral Radiance (µW/cm2) Spectral Efektif  Standar = 44nm</t>
  </si>
  <si>
    <t>Maksimal        (jarak 50 cm)</t>
  </si>
  <si>
    <t>≥ 176 µW/cm²      (≥ 4 µW/cm²/nm)</t>
  </si>
  <si>
    <t>V.</t>
  </si>
  <si>
    <t>Keterangan</t>
  </si>
  <si>
    <t>...............................................................................................</t>
  </si>
  <si>
    <t>VI.</t>
  </si>
  <si>
    <t xml:space="preserve">Alat Yang Digunakan </t>
  </si>
  <si>
    <t>Phototherapy Radiometer, Merek : Dale Fluke, Model : Dale 40, SN : 2911025</t>
  </si>
  <si>
    <t>Phototherapy Radiometer, Merek : IRRADIAN, Model : PR2013 (D020/0023)</t>
  </si>
  <si>
    <t>Phototherapy Radiometer, Merek : Dale Technology, Model : Dale 40, SN : 3220102, 4683043, 4769005, 5038033</t>
  </si>
  <si>
    <t>Electrical Safety Analyzer, Merek : FLUKE, Model : ESA 615, SN : 2853077, 2853078, 3148907, 3148908, 3699030</t>
  </si>
  <si>
    <t>Electrical Safety Analyzer, Merek : FLUKE, Model : ESA 615, SN : 4670010, 4669058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</si>
  <si>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</si>
  <si>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</si>
  <si>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Thermohygrometer,Merek : SEKONIC, Model : ST-50A, SN : HE 21-000670, HE 21-000669</t>
  </si>
  <si>
    <t>Digital Thermohygrometer, Merek : GREISINGER, Model : GFTB 200, SN: 34903046,  34903053, 34903051, 34904091</t>
  </si>
  <si>
    <t>Digital Thermohygro Barometer : EXTECH, SD700, SN : A.100609, A.100605, A.100611, A.100616,  A.100617</t>
  </si>
  <si>
    <t xml:space="preserve">A.100618, A.100586 </t>
  </si>
  <si>
    <t xml:space="preserve">VII. </t>
  </si>
  <si>
    <t>Kesimpulan</t>
  </si>
  <si>
    <t>Alat yang diuji dinyatakan LAIK PAKAI / TIDAK LAIK PAKAI</t>
  </si>
  <si>
    <t>VIII.</t>
  </si>
  <si>
    <t>Petugas Pengujian</t>
  </si>
  <si>
    <t>No.</t>
  </si>
  <si>
    <t>Tanggal</t>
  </si>
  <si>
    <t>Revisi</t>
  </si>
  <si>
    <t>Oleh</t>
  </si>
  <si>
    <t>-</t>
  </si>
  <si>
    <t>Revisi NC kelas II</t>
  </si>
  <si>
    <t>ada sama dengan</t>
  </si>
  <si>
    <t>&gt; 20 MΩ</t>
  </si>
  <si>
    <t>Penambahan Alat tidak boleh digunakan pada instalasi yang tanpa dilengkapi grounding pada LHK dan penyelia</t>
  </si>
  <si>
    <t>tidak terdapat grounding</t>
  </si>
  <si>
    <t>tidak terdapat grounding di ruangan</t>
  </si>
  <si>
    <t>Perbaikan rumus NC</t>
  </si>
  <si>
    <t>Rev 0</t>
  </si>
  <si>
    <t>Rev 1</t>
  </si>
  <si>
    <t>List SN Thermohygro pd LK tidak lengkap</t>
  </si>
  <si>
    <t>DONE</t>
  </si>
  <si>
    <t>Arya</t>
  </si>
  <si>
    <t>Pemilihan no. sertifikat / surat ket masih manual</t>
  </si>
  <si>
    <t>STDEV DB Suhu masih manual</t>
  </si>
  <si>
    <t>arus diberi strip error</t>
  </si>
  <si>
    <t>Venna</t>
  </si>
  <si>
    <t>11 Juni 2021</t>
  </si>
  <si>
    <t>Ganti Nama dari Phototerapi jadi Phototherapy</t>
  </si>
  <si>
    <t>Septi</t>
  </si>
  <si>
    <t>10 Februari 2022</t>
  </si>
  <si>
    <t>Menambahkan sheet cetak sertifikat</t>
  </si>
  <si>
    <t>4.10.2022</t>
  </si>
  <si>
    <t>Merubah Sumber ketidakpastian</t>
  </si>
  <si>
    <t>Memasukkan akurasi standar sebagai sumber ketidakpastian</t>
  </si>
  <si>
    <t>Isra</t>
  </si>
  <si>
    <t>Update Sertifikat</t>
  </si>
  <si>
    <t>6.10.2022</t>
  </si>
  <si>
    <t>ketelusuran esa 020 masih caltek</t>
  </si>
  <si>
    <t>Menjadi Kaliman</t>
  </si>
  <si>
    <t>7.10.2022</t>
  </si>
  <si>
    <t>update sertifikat 005 dan 033</t>
  </si>
  <si>
    <t>Rev 6 : 7.10.2022</t>
  </si>
  <si>
    <t>INPUT DATA PENGUJIAN PHOTOTHERAPY</t>
  </si>
  <si>
    <t>1 / X - 22 / E - 00.000 DL</t>
  </si>
  <si>
    <t>GEA - MEDICAL</t>
  </si>
  <si>
    <t>XHZ - 90</t>
  </si>
  <si>
    <t>42140204033</t>
  </si>
  <si>
    <t>12 Mei 2022</t>
  </si>
  <si>
    <t>Ruang Perinatologi</t>
  </si>
  <si>
    <t>Metode Kerja</t>
  </si>
  <si>
    <t>MK 038 - 18</t>
  </si>
  <si>
    <t>Rata2</t>
  </si>
  <si>
    <t>Baik</t>
  </si>
  <si>
    <t>Ambang Batas Yang Dijinkan</t>
  </si>
  <si>
    <t>NC</t>
  </si>
  <si>
    <t>Tidak terdapat grounding diruangan</t>
  </si>
  <si>
    <t>STDEV</t>
  </si>
  <si>
    <t>G</t>
  </si>
  <si>
    <t>Maksimal</t>
  </si>
  <si>
    <t>NG</t>
  </si>
  <si>
    <t xml:space="preserve">Alat Ukur Yang Digunakan </t>
  </si>
  <si>
    <t>Phototherapy Radiometer, Merek : DALE Technology, Model : DALE 40, SN : 4769005</t>
  </si>
  <si>
    <t>Hasil Skor</t>
  </si>
  <si>
    <t>Digital Thermohygro Barometer : EXTECH, SD700, SN : A.100586</t>
  </si>
  <si>
    <t>Isra Mahensa</t>
  </si>
  <si>
    <t>IX.</t>
  </si>
  <si>
    <t>Tanggal Pembuatan Laporan</t>
  </si>
  <si>
    <t>11 Maret 2020</t>
  </si>
  <si>
    <t>Alat tidak boleh digunakan pada instalasi yang tanpa dilengkapi grounding</t>
  </si>
  <si>
    <t>Phototherapy Radiometer, Merek : Fluke, Model : DALE 40, SN : 2911025</t>
  </si>
  <si>
    <t>Spectral Radiance (µW/cm2 )</t>
  </si>
  <si>
    <t xml:space="preserve">≥ 176 µW/cm² </t>
  </si>
  <si>
    <t xml:space="preserve">µW/cm²   </t>
  </si>
  <si>
    <t>Sertifikat Standar</t>
  </si>
  <si>
    <t>Phototherapy Radiometer, Merek : DALE Technology, Model : DALE 40, SN : 3220102</t>
  </si>
  <si>
    <t>Phototherapy Radiometer, Merek : IRRADIAN, Model : PR203, SN : D020/0023</t>
  </si>
  <si>
    <t>Spectral Radiance (µW/cm2/nm )</t>
  </si>
  <si>
    <t>≥ 4 µW/cm²/nm</t>
  </si>
  <si>
    <t>µW/cm²/nm</t>
  </si>
  <si>
    <t>Phototherapy Radiometer, Merek : DALE Technology, Model : DALE 40, SN : 4683043</t>
  </si>
  <si>
    <t>Phototherapy Radiometer, Merek : DALE Technology, Model : DALE 40, SN : 5038033</t>
  </si>
  <si>
    <t>Satuan</t>
  </si>
  <si>
    <t>UB</t>
  </si>
  <si>
    <t>Titik</t>
  </si>
  <si>
    <t>Koreksi</t>
  </si>
  <si>
    <t>drift</t>
  </si>
  <si>
    <t>U95</t>
  </si>
  <si>
    <t>Nomor Urut Alat</t>
  </si>
  <si>
    <t>Rata-rata</t>
  </si>
  <si>
    <t>Hasil terkoreksi</t>
  </si>
  <si>
    <t>Driff</t>
  </si>
  <si>
    <t>Interpolasi</t>
  </si>
  <si>
    <t>Hasil pengujian kinerja spectral radiance tertelusur ke Laboratorium Standar Nasional Satuan Ukuran, Badan Standarisasi Nasional (SNSU-BSN)</t>
  </si>
  <si>
    <t>Hasil pengujian kinerja spectral radiance tertelusur ke Satuan Internasional ( SI ) melalui IRRADIAN</t>
  </si>
  <si>
    <t>Hasil pengujian kinerja spectral radiance tertelusur ke Satuan Internasional ( SI ) melalui DALE Technology</t>
  </si>
  <si>
    <t>Ketidakpastian pengukuran dilaporkan pada tingkat kepercayaan 95% dengan faktor cakupan k = 2</t>
  </si>
  <si>
    <t>Ketidakpastian pengukuran diperoleh dari sumber kesalalahan tipe A dan tipe B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</si>
  <si>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</si>
  <si>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</si>
  <si>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</si>
  <si>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</si>
  <si>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</si>
  <si>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</si>
  <si>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</si>
  <si>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</si>
  <si>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</si>
  <si>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</si>
  <si>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</si>
  <si>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</si>
  <si>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</si>
  <si>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</si>
  <si>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</si>
  <si>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</si>
  <si>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</si>
  <si>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</si>
  <si>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</si>
  <si>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</si>
  <si>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</si>
  <si>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</si>
  <si>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</si>
  <si>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(4670010)</t>
  </si>
  <si>
    <t>No urut alat</t>
  </si>
  <si>
    <t>VI</t>
  </si>
  <si>
    <t>Pembacaan terkoreksi</t>
  </si>
  <si>
    <t>Hasil</t>
  </si>
  <si>
    <t>NO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</si>
  <si>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</si>
  <si>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</si>
  <si>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</si>
  <si>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</si>
  <si>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</si>
  <si>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UNCERTAINTY</t>
  </si>
  <si>
    <t>Validasi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</si>
  <si>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</si>
  <si>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</si>
  <si>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</si>
  <si>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</si>
  <si>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</si>
  <si>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</si>
  <si>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</si>
  <si>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</si>
  <si>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</si>
  <si>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</si>
  <si>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</si>
  <si>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</si>
  <si>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normal</t>
  </si>
  <si>
    <t>Sertifikat Standart</t>
  </si>
  <si>
    <t>Drift Standart</t>
  </si>
  <si>
    <t>rect.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</si>
  <si>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</si>
  <si>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</si>
  <si>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r>
      <t>Uc</t>
    </r>
    <r>
      <rPr>
        <sz val="11"/>
        <color rgb="FFFF0000"/>
        <rFont val="Times New Roman"/>
        <family val="1"/>
      </rPr>
      <t xml:space="preserve"> = </t>
    </r>
    <r>
      <rPr>
        <sz val="11"/>
        <color rgb="FFFF0000"/>
        <rFont val="Symbol"/>
        <family val="1"/>
        <charset val="2"/>
      </rPr>
      <t>Ö</t>
    </r>
    <r>
      <rPr>
        <sz val="11"/>
        <color rgb="FFFF0000"/>
        <rFont val="Times New Roman"/>
        <family val="1"/>
      </rPr>
      <t xml:space="preserve"> [</t>
    </r>
    <r>
      <rPr>
        <sz val="11"/>
        <color rgb="FFFF0000"/>
        <rFont val="Symbol"/>
        <family val="1"/>
        <charset val="2"/>
      </rPr>
      <t>S</t>
    </r>
    <r>
      <rPr>
        <sz val="11"/>
        <color rgb="FFFF0000"/>
        <rFont val="Times New Roman"/>
        <family val="1"/>
      </rPr>
      <t>(u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 xml:space="preserve"> c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</si>
  <si>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</si>
  <si>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</si>
  <si>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r>
      <t>n</t>
    </r>
    <r>
      <rPr>
        <vertAlign val="subscript"/>
        <sz val="11"/>
        <color rgb="FFFF0000"/>
        <rFont val="Times New Roman"/>
        <family val="1"/>
      </rPr>
      <t>eff</t>
    </r>
    <r>
      <rPr>
        <sz val="11"/>
        <color rgb="FFFF0000"/>
        <rFont val="Times New Roman"/>
        <family val="1"/>
      </rPr>
      <t xml:space="preserve"> = u</t>
    </r>
    <r>
      <rPr>
        <vertAlign val="subscript"/>
        <sz val="11"/>
        <color rgb="FFFF0000"/>
        <rFont val="Times New Roman"/>
        <family val="1"/>
      </rPr>
      <t>c</t>
    </r>
    <r>
      <rPr>
        <vertAlign val="superscript"/>
        <sz val="11"/>
        <color rgb="FFFF0000"/>
        <rFont val="Times New Roman"/>
        <family val="1"/>
      </rPr>
      <t>4</t>
    </r>
    <r>
      <rPr>
        <sz val="11"/>
        <color rgb="FFFF0000"/>
        <rFont val="Times New Roman"/>
        <family val="1"/>
      </rPr>
      <t xml:space="preserve"> / [</t>
    </r>
    <r>
      <rPr>
        <sz val="11"/>
        <color rgb="FFFF0000"/>
        <rFont val="Symbol"/>
        <family val="1"/>
        <charset val="2"/>
      </rPr>
      <t>S</t>
    </r>
    <r>
      <rPr>
        <sz val="11"/>
        <color rgb="FFFF0000"/>
        <rFont val="Times New Roman"/>
        <family val="1"/>
      </rPr>
      <t>(u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 xml:space="preserve"> c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)</t>
    </r>
    <r>
      <rPr>
        <vertAlign val="superscript"/>
        <sz val="11"/>
        <color rgb="FFFF0000"/>
        <rFont val="Times New Roman"/>
        <family val="1"/>
      </rPr>
      <t xml:space="preserve"> 4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Symbol"/>
        <family val="1"/>
        <charset val="2"/>
      </rPr>
      <t>n</t>
    </r>
    <r>
      <rPr>
        <vertAlign val="subscript"/>
        <sz val="11"/>
        <color rgb="FFFF0000"/>
        <rFont val="Times New Roman"/>
        <family val="1"/>
      </rPr>
      <t>i</t>
    </r>
    <r>
      <rPr>
        <sz val="11"/>
        <color rgb="FFFF0000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</si>
  <si>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</si>
  <si>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</si>
  <si>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</si>
  <si>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</si>
  <si>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PENGUJIAN PHOTOTHERAPY</t>
  </si>
  <si>
    <t>Ketidakpastian Pengukuran</t>
  </si>
  <si>
    <t>score</t>
  </si>
  <si>
    <t>Kondisi</t>
  </si>
  <si>
    <t>NAMA</t>
  </si>
  <si>
    <t>Paraf</t>
  </si>
  <si>
    <t>Total</t>
  </si>
  <si>
    <t>Listrik</t>
  </si>
  <si>
    <t>Dibuat :</t>
  </si>
  <si>
    <t>radiasi</t>
  </si>
  <si>
    <t xml:space="preserve">Diperiksa: 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</si>
  <si>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</si>
  <si>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</si>
  <si>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</si>
  <si>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</si>
  <si>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</si>
  <si>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</si>
  <si>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Donny Martha</t>
  </si>
  <si>
    <t>NIP 198103112010121001</t>
  </si>
  <si>
    <t>SERTIFIKAT PENGUJIAN</t>
  </si>
  <si>
    <t>Bulan</t>
  </si>
  <si>
    <t>Tahun</t>
  </si>
  <si>
    <t xml:space="preserve">                                                                 </t>
  </si>
  <si>
    <t>Juni</t>
  </si>
  <si>
    <t xml:space="preserve">Nama Alat            : </t>
  </si>
  <si>
    <t>Phototherapy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</si>
  <si>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</si>
  <si>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</si>
  <si>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</si>
  <si>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</si>
  <si>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</si>
  <si>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</si>
  <si>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</si>
  <si>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</si>
  <si>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Jalan Brigjend Hasan Basri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</si>
  <si>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</si>
  <si>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</si>
  <si>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</si>
  <si>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</si>
  <si>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</si>
  <si>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</si>
  <si>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</si>
  <si>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</si>
  <si>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</si>
  <si>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</si>
  <si>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</si>
  <si>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</si>
  <si>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</si>
  <si>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</si>
  <si>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</si>
  <si>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</si>
  <si>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</si>
  <si>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</si>
  <si>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</si>
  <si>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</si>
  <si>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</si>
  <si>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</si>
  <si>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</si>
  <si>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</si>
  <si>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</si>
  <si>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</si>
  <si>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</si>
  <si>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</si>
  <si>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</si>
  <si>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</si>
  <si>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</si>
  <si>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</si>
  <si>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</si>
  <si>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</si>
  <si>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</si>
  <si>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</si>
  <si>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</si>
  <si>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</si>
  <si>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</si>
  <si>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</si>
  <si>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</si>
  <si>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</si>
  <si>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</si>
  <si>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</si>
  <si>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</si>
  <si>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</si>
  <si>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</si>
  <si>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</si>
  <si>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</si>
  <si>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</si>
  <si>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</si>
  <si>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</si>
  <si>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</si>
  <si>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</si>
  <si>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</si>
  <si>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</si>
  <si>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</si>
  <si>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</si>
  <si>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</si>
  <si>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</si>
  <si>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</si>
  <si>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</si>
  <si>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</si>
  <si>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</si>
  <si>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</si>
  <si>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</si>
  <si>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</si>
  <si>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</si>
  <si>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</si>
  <si>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</si>
  <si>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</si>
  <si>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</si>
  <si>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</si>
  <si>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</si>
  <si>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</si>
  <si>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</si>
  <si>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</si>
  <si>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</si>
  <si>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</si>
  <si>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</si>
  <si>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</si>
  <si>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</si>
  <si>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</si>
  <si>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</si>
  <si>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</si>
  <si>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</si>
  <si>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</si>
  <si>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</si>
  <si>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</si>
  <si>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</si>
  <si>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</si>
  <si>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</si>
  <si>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</si>
  <si>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</si>
  <si>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</si>
  <si>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</si>
  <si>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</si>
  <si>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</si>
  <si>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</si>
  <si>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</si>
  <si>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</si>
  <si>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</si>
  <si>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</si>
  <si>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</si>
  <si>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</si>
  <si>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</si>
  <si>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</si>
  <si>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</si>
  <si>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</si>
  <si>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</si>
  <si>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</si>
  <si>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</si>
  <si>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</si>
  <si>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</si>
  <si>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</si>
  <si>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</si>
  <si>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</si>
  <si>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</si>
  <si>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</si>
  <si>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</si>
  <si>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</si>
  <si>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</si>
  <si>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</si>
  <si>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</si>
  <si>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</si>
  <si>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</si>
  <si>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</si>
  <si>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</si>
  <si>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</si>
  <si>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</si>
  <si>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</si>
  <si>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</si>
  <si>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</si>
  <si>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</si>
  <si>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</si>
  <si>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</si>
  <si>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</si>
  <si>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</si>
  <si>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</si>
  <si>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</si>
  <si>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</si>
  <si>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</si>
  <si>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</si>
  <si>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</si>
  <si>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</si>
  <si>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</si>
  <si>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</si>
  <si>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OA.S - 038-18 / REV : 1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</si>
  <si>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</si>
  <si>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</si>
  <si>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</si>
  <si>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</si>
  <si>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</si>
  <si>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</si>
  <si>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</si>
  <si>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</si>
  <si>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</si>
  <si>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</si>
  <si>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</si>
  <si>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</si>
  <si>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</si>
  <si>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</si>
  <si>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</si>
  <si>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</si>
  <si>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</si>
  <si>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</si>
  <si>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</si>
  <si>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</si>
  <si>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</si>
  <si>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</si>
  <si>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</si>
  <si>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</si>
  <si>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</si>
  <si>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</si>
  <si>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</si>
  <si>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</si>
  <si>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</si>
  <si>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</si>
  <si>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</si>
  <si>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</si>
  <si>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</si>
  <si>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</si>
  <si>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</si>
  <si>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</si>
  <si>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</si>
  <si>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</si>
  <si>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</si>
  <si>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</si>
  <si>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</si>
  <si>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</si>
  <si>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</si>
  <si>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</si>
  <si>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</si>
  <si>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</si>
  <si>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</si>
  <si>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</si>
  <si>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</si>
  <si>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</si>
  <si>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</si>
  <si>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</si>
  <si>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</si>
  <si>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</si>
  <si>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</si>
  <si>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</si>
  <si>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</si>
  <si>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</si>
  <si>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</si>
  <si>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</si>
  <si>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</si>
  <si>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</si>
  <si>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</si>
  <si>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</si>
  <si>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</si>
  <si>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</si>
  <si>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</si>
  <si>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</si>
  <si>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</si>
  <si>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</si>
  <si>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</si>
  <si>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</si>
  <si>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</si>
  <si>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</si>
  <si>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</si>
  <si>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</si>
  <si>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</si>
  <si>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</si>
  <si>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</si>
  <si>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</si>
  <si>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</si>
  <si>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</si>
  <si>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</si>
  <si>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</si>
  <si>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</si>
  <si>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</si>
  <si>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</si>
  <si>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</si>
  <si>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SD700/A.100609</t>
  </si>
  <si>
    <t>KOREKSI Extech SD700/A.100605</t>
  </si>
  <si>
    <t>KOREKSI Extech SD700/A.100611</t>
  </si>
  <si>
    <t>KOREKSI Extech SD700/A.100616</t>
  </si>
  <si>
    <t>KOREKSI Extech SD700/A.100617</t>
  </si>
  <si>
    <t>KOREKSI Extech SD700/A.100618</t>
  </si>
  <si>
    <t>KOREKSI Extech SD700/A.100586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</si>
  <si>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</si>
  <si>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</si>
  <si>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</si>
  <si>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</si>
  <si>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</si>
  <si>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</si>
  <si>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</si>
  <si>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</si>
  <si>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</si>
  <si>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</si>
  <si>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SUHU</t>
  </si>
  <si>
    <t>INTERPOLASI KOREKSI KELEMBABAN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</si>
  <si>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</si>
  <si>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</si>
  <si>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</si>
  <si>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</si>
  <si>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</si>
  <si>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</si>
  <si>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</si>
  <si>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Digital Thermohygro Barometer : EXTECH, SD700, SN : A.100609</t>
  </si>
  <si>
    <t>Digital Thermohygro Barometer : EXTECH, SD700, SN : A.100605</t>
  </si>
  <si>
    <t>Digital Thermohygro Barometer : EXTECH, SD700, SN : A.100611</t>
  </si>
  <si>
    <t>Digital Thermohygro Barometer : EXTECH, SD700, SN : A.100616</t>
  </si>
  <si>
    <t>Digital Thermohygro Barometer : EXTECH, SD700, SN : A.100617</t>
  </si>
  <si>
    <t>Digital Thermohygro Barometer : EXTECH, SD700, SN : A.100618</t>
  </si>
  <si>
    <t>≤ 500 µA</t>
  </si>
  <si>
    <t>Arus bocor peralatan untuk peralatan elektromedik kelas II</t>
  </si>
  <si>
    <t>≤ 100 µA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</si>
  <si>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</si>
  <si>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</si>
  <si>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</si>
  <si>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2. Electical Safety Analyzer, Merek : Fluke, Model : ESA 615 (2853078)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</si>
  <si>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</si>
  <si>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</si>
  <si>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</si>
  <si>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>Dany Firmanto</t>
  </si>
  <si>
    <t>Choirul Huda</t>
  </si>
  <si>
    <t>Rangga Setya Hantoko</t>
  </si>
  <si>
    <t>Muhammad Zaenuri Sugiasmoro</t>
  </si>
  <si>
    <t>Muhammad Arrizal Septiawan</t>
  </si>
  <si>
    <t>Supriyanto</t>
  </si>
  <si>
    <t>Hary Ernanto</t>
  </si>
  <si>
    <t>Hamdan Syarif</t>
  </si>
  <si>
    <t xml:space="preserve">Alat yang di kalibrasi dalam batas toleransi dan dinyatakan LAIK PAKAI </t>
  </si>
  <si>
    <t xml:space="preserve">Alat yang di kalibrasi melebihi batas toleransi dan dinyatakan TIDAK LAIK PAKAI </t>
  </si>
  <si>
    <t>Ketidakpastian pengukuran diperoleh dari sumber ketidakpastian tipe A dan tipe B</t>
  </si>
  <si>
    <t>1. Ketidakpastian pengukuran diperoleh dari sumber ketidakpastian tipe A dan tipe B</t>
  </si>
  <si>
    <t>Tidak Baik</t>
  </si>
  <si>
    <t>Hasil pengukuran keselamatan listrik tertelusur ke Satuan Internasional ( SI ) melalui CALTEK PTE LTD</t>
  </si>
  <si>
    <t>2. Electical Safety Analyzer, Merek : Fluke, Model : ESA 620 (1834020)</t>
  </si>
  <si>
    <t>Hasil pengukuran keselamatan listrik tertelusur ke Satuan Internasional ( SI ) melalui PT. KALIMAN ( LK - 032 - IDN )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</si>
  <si>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</si>
  <si>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</si>
  <si>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</si>
  <si>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</si>
  <si>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</si>
  <si>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</si>
  <si>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</si>
  <si>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</si>
  <si>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2. Tidak terdapat grounding</t>
  </si>
  <si>
    <t>2. Catu daya menngunakan Baterai</t>
  </si>
  <si>
    <t>3. Tidak terdapat grounding</t>
  </si>
  <si>
    <t>3. Catu daya menngunakan Baterai</t>
  </si>
  <si>
    <t>Hasil pengujian kinerja spectral radiance tertelusur ke Satuan Internasional ( SI ) melalui FLUKE</t>
  </si>
  <si>
    <t xml:space="preserve">Dibuat Oleh : </t>
  </si>
  <si>
    <t xml:space="preserve">2. Electical Safety Analyzer, Merek : Fluke, Model : ESA 615 (,,,,,) </t>
  </si>
  <si>
    <t xml:space="preserve">2. Electical Safety Analyzer, Merek : Fluke, Model : ESA 615 (,,,,) 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</si>
  <si>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</si>
  <si>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</si>
  <si>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</si>
  <si>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</si>
  <si>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</si>
  <si>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</si>
  <si>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</si>
  <si>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</si>
  <si>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</si>
  <si>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Achmad Fauzan Adzim</t>
  </si>
  <si>
    <t>Ahmad Ghazali</t>
  </si>
  <si>
    <t>Ryan Rama Chaesar R</t>
  </si>
  <si>
    <t>Siti Fathul Jannah</t>
  </si>
  <si>
    <t>Vikki Akhsanudin Nurkholis</t>
  </si>
  <si>
    <t>Dewi Nofitasari</t>
  </si>
  <si>
    <t>Kesimpulan :</t>
  </si>
  <si>
    <t>KESIMPULAN</t>
  </si>
  <si>
    <t>SIMBOL</t>
  </si>
  <si>
    <t>Nomor Sertifikat : 41 /</t>
  </si>
  <si>
    <t>Alat yang diuji dalam batas toleransi dan dinyatakan LAIK PAKAI, dimana hasil atau skor akhir sama dengan atau melampaui 70 % berdasarkan Keputusan Direktur Jenderal Pelayanan Kesehatan No : HK.02.02/V/0412/2020</t>
  </si>
  <si>
    <t>Nomor Surat Keterangan : 41 / M -</t>
  </si>
  <si>
    <t>Alat yang diuji melebihi batas toleransi dan dinyatakan TIDAK LAIK PAKAI,  dimana hasil atau skor akhir dibawah 70 % berdasarkan Keputusan Direktur Jenderal Pelayanan Kesehatan No : HK.02.02/V/0412/2020</t>
  </si>
  <si>
    <t>PHOTOTHERAPY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</si>
  <si>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</si>
  <si>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</si>
  <si>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</si>
  <si>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</si>
  <si>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</si>
  <si>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</si>
  <si>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</si>
  <si>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</si>
  <si>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</si>
  <si>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</si>
  <si>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</si>
  <si>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</si>
  <si>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</si>
  <si>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</si>
  <si>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±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</si>
  <si>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</si>
  <si>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</si>
  <si>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</si>
  <si>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</si>
  <si>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</si>
  <si>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</si>
  <si>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</si>
  <si>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</si>
  <si>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Nomor Sertifikat : 42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</si>
  <si>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</si>
  <si>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42 / M -</t>
  </si>
  <si>
    <t>Alat yang dikalibrasi melebihi batas toleransi dan dinyatakan TIDAK LAIK PAKAI,  dimana hasil atau skor akhir dibawah 70 % berdasarkan Keputusan Direktur Jenderal Pelayanan Kesehatan No : HK.02.02/V/0412/2020</t>
  </si>
  <si>
    <t>OL</t>
  </si>
  <si>
    <r>
      <rPr>
        <vertAlign val="superscript"/>
        <sz val="10"/>
        <rFont val="Arial"/>
        <family val="2"/>
      </rPr>
      <t>o</t>
    </r>
    <r>
      <rPr>
        <sz val="11"/>
        <rFont val="Arial"/>
        <family val="2"/>
      </rPr>
      <t>C</t>
    </r>
  </si>
  <si>
    <t>Arus bocor peralatan untuk peralatan elektromedik kelas I</t>
  </si>
  <si>
    <t>2. Electical Safety Analyzer, Merek : Fluke, Model : ESA 620 (1837056)</t>
  </si>
  <si>
    <t>2. Electical Safety Analyzer, Merek : Fluke, Model : ESA 615 (2853077)</t>
  </si>
  <si>
    <t>2. Electical Safety Analyzer, Merek : Fluke, Model : ESA 615 (3148908)</t>
  </si>
  <si>
    <t>2. Electical Safety Analyzer, Merek : Fluke, Model : ESA 615 (3699030)</t>
  </si>
  <si>
    <r>
      <t>( M</t>
    </r>
    <r>
      <rPr>
        <sz val="12"/>
        <rFont val="Arial"/>
        <family val="2"/>
      </rPr>
      <t>Ω</t>
    </r>
    <r>
      <rPr>
        <i/>
        <sz val="12"/>
        <rFont val="Arial"/>
        <family val="2"/>
      </rPr>
      <t xml:space="preserve"> )</t>
    </r>
  </si>
  <si>
    <r>
      <t xml:space="preserve">( </t>
    </r>
    <r>
      <rPr>
        <sz val="12"/>
        <rFont val="Arial"/>
        <family val="2"/>
      </rPr>
      <t>Ω</t>
    </r>
    <r>
      <rPr>
        <i/>
        <sz val="12"/>
        <rFont val="Arial"/>
        <family val="2"/>
      </rPr>
      <t xml:space="preserve"> )</t>
    </r>
  </si>
  <si>
    <t>ESA 615 (4669058)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</si>
  <si>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</si>
  <si>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</si>
  <si>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</si>
  <si>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</si>
  <si>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</si>
  <si>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</si>
  <si>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</si>
  <si>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</si>
  <si>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</si>
  <si>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</si>
  <si>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 xml:space="preserve"> Volt</t>
  </si>
  <si>
    <t>Hasil pengukuran keselamatan listrik tertelusur ke Satuan Internasional ( SI ) melalui PT. Kaliman (LK-032-IDN)</t>
  </si>
  <si>
    <t>Electrical Safety Analyzer, Merek : Fluke, Model : ESA 615, SN : --</t>
  </si>
  <si>
    <t>Electrical Safety Analyzer 11</t>
  </si>
  <si>
    <t>Electrical Safety Analyzer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</si>
</sst>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"/>
    <numFmt numFmtId="166" formatCode="0.0000"/>
    <numFmt numFmtId="167" formatCode="0.0;[Red]0.0"/>
    <numFmt numFmtId="168" formatCode="0.0\ \ \°\C"/>
    <numFmt numFmtId="169" formatCode="0.0\ \µ\A"/>
    <numFmt numFmtId="170" formatCode="0.00000000"/>
    <numFmt numFmtId="171" formatCode="0.000000000"/>
    <numFmt numFmtId="172" formatCode="0.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[$-421]dd\ mmmm\ yyyy;@"/>
    <numFmt numFmtId="179" formatCode="0\ &quot;BPM&quot;"/>
    <numFmt numFmtId="180" formatCode="[$-C09]d\ mmmm\ yyyy;@"/>
    <numFmt numFmtId="181" formatCode="[$-F800]dddd\,\ mmmm\ dd\,\ yyyy"/>
    <numFmt numFmtId="182" formatCode="\±\ 0.0"/>
    <numFmt numFmtId="183" formatCode="0.000000"/>
  </numFmts>
  <fonts count="99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u/>
      <sz val="8"/>
      <name val="Arial"/>
      <family val="2"/>
    </font>
    <font>
      <sz val="6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Symbol"/>
      <family val="1"/>
      <charset val="2"/>
    </font>
    <font>
      <b/>
      <i/>
      <sz val="10"/>
      <name val="Arial"/>
      <family val="2"/>
    </font>
    <font>
      <sz val="14"/>
      <name val="Arial"/>
      <family val="2"/>
    </font>
    <font>
      <b/>
      <sz val="8"/>
      <name val="Times New Roman"/>
      <family val="1"/>
    </font>
    <font>
      <b/>
      <sz val="12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sz val="12"/>
      <name val="Arial"/>
      <family val="2"/>
    </font>
    <font>
      <b/>
      <sz val="12"/>
      <name val="Symbol"/>
      <family val="1"/>
      <charset val="2"/>
    </font>
    <font>
      <sz val="12"/>
      <name val="Symbol"/>
      <family val="1"/>
      <charset val="2"/>
    </font>
    <font>
      <u/>
      <sz val="12"/>
      <name val="Arial"/>
      <family val="2"/>
    </font>
    <font>
      <sz val="11"/>
      <name val="Times New Roman"/>
      <family val="1"/>
    </font>
    <font>
      <sz val="10"/>
      <color theme="0" tint="-0.249977111117893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Calibri"/>
      <family val="2"/>
      <scheme val="minor"/>
    </font>
    <font>
      <sz val="13"/>
      <name val="Calibri"/>
      <family val="2"/>
      <scheme val="minor"/>
    </font>
    <font>
      <sz val="13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4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vertAlign val="superscript"/>
      <sz val="11"/>
      <color rgb="FFFF000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0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sz val="11"/>
      <color indexed="10"/>
      <name val="Arial"/>
      <family val="2"/>
    </font>
    <font>
      <u/>
      <sz val="11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i/>
      <sz val="1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8"/>
      <color rgb="FFFF0000"/>
      <name val="Arial"/>
      <family val="2"/>
    </font>
    <font>
      <sz val="7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sz val="11"/>
      <name val="Calibri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vertAlign val="superscript"/>
      <sz val="10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94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29" fillId="2" borderId="0" xfId="0" applyFont="1" applyFill="1"/>
    <xf numFmtId="164" fontId="29" fillId="2" borderId="0" xfId="0" applyNumberFormat="1" applyFont="1" applyFill="1" applyAlignment="1">
      <alignment vertical="center"/>
    </xf>
    <xf numFmtId="0" fontId="27" fillId="2" borderId="0" xfId="0" quotePrefix="1" applyFont="1" applyFill="1" applyAlignment="1">
      <alignment vertical="center"/>
    </xf>
    <xf numFmtId="0" fontId="29" fillId="0" borderId="0" xfId="0" applyFont="1"/>
    <xf numFmtId="0" fontId="10" fillId="0" borderId="0" xfId="0" quotePrefix="1" applyFont="1"/>
    <xf numFmtId="0" fontId="0" fillId="0" borderId="0" xfId="0" applyAlignment="1">
      <alignment wrapText="1"/>
    </xf>
    <xf numFmtId="0" fontId="26" fillId="0" borderId="0" xfId="0" applyFont="1"/>
    <xf numFmtId="0" fontId="2" fillId="0" borderId="7" xfId="0" applyFont="1" applyBorder="1" applyAlignment="1" applyProtection="1">
      <alignment horizontal="center"/>
      <protection hidden="1"/>
    </xf>
    <xf numFmtId="0" fontId="29" fillId="2" borderId="16" xfId="0" applyFont="1" applyFill="1" applyBorder="1" applyAlignment="1" applyProtection="1">
      <alignment horizontal="left" vertical="top" wrapText="1"/>
      <protection hidden="1"/>
    </xf>
    <xf numFmtId="0" fontId="29" fillId="5" borderId="7" xfId="0" applyFont="1" applyFill="1" applyBorder="1" applyAlignment="1" applyProtection="1">
      <alignment horizontal="left" vertical="top" wrapText="1"/>
      <protection hidden="1"/>
    </xf>
    <xf numFmtId="0" fontId="29" fillId="2" borderId="11" xfId="0" applyFont="1" applyFill="1" applyBorder="1" applyAlignment="1" applyProtection="1">
      <alignment horizontal="left" vertical="top"/>
      <protection hidden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6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1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7" fillId="2" borderId="0" xfId="0" quotePrefix="1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164" fontId="29" fillId="2" borderId="0" xfId="0" applyNumberFormat="1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7" fontId="4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0" fontId="13" fillId="2" borderId="34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2" fontId="0" fillId="2" borderId="7" xfId="0" applyNumberFormat="1" applyFill="1" applyBorder="1" applyAlignment="1">
      <alignment horizontal="center" vertical="center"/>
    </xf>
    <xf numFmtId="2" fontId="10" fillId="2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vertical="center"/>
    </xf>
    <xf numFmtId="165" fontId="10" fillId="2" borderId="0" xfId="0" applyNumberFormat="1" applyFont="1" applyFill="1" applyAlignment="1">
      <alignment vertical="center"/>
    </xf>
    <xf numFmtId="164" fontId="25" fillId="2" borderId="11" xfId="0" applyNumberFormat="1" applyFont="1" applyFill="1" applyBorder="1" applyAlignment="1">
      <alignment horizontal="left" vertical="center"/>
    </xf>
    <xf numFmtId="0" fontId="33" fillId="2" borderId="0" xfId="0" quotePrefix="1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164" fontId="19" fillId="2" borderId="0" xfId="0" applyNumberFormat="1" applyFont="1" applyFill="1" applyAlignment="1" applyProtection="1">
      <alignment vertical="center"/>
      <protection locked="0"/>
    </xf>
    <xf numFmtId="164" fontId="16" fillId="2" borderId="0" xfId="0" applyNumberFormat="1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horizontal="left" vertical="center"/>
      <protection locked="0"/>
    </xf>
    <xf numFmtId="0" fontId="2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19" fillId="2" borderId="0" xfId="0" applyNumberFormat="1" applyFont="1" applyFill="1" applyAlignment="1" applyProtection="1">
      <alignment horizontal="center" vertical="center"/>
      <protection locked="0"/>
    </xf>
    <xf numFmtId="164" fontId="26" fillId="2" borderId="0" xfId="0" applyNumberFormat="1" applyFont="1" applyFill="1" applyAlignment="1" applyProtection="1">
      <alignment horizontal="center" vertical="center"/>
      <protection locked="0"/>
    </xf>
    <xf numFmtId="166" fontId="26" fillId="2" borderId="0" xfId="0" applyNumberFormat="1" applyFont="1" applyFill="1" applyAlignment="1" applyProtection="1">
      <alignment horizontal="center" vertical="center"/>
      <protection locked="0"/>
    </xf>
    <xf numFmtId="164" fontId="26" fillId="2" borderId="0" xfId="0" applyNumberFormat="1" applyFont="1" applyFill="1" applyAlignment="1" applyProtection="1">
      <alignment vertical="center"/>
      <protection locked="0"/>
    </xf>
    <xf numFmtId="0" fontId="32" fillId="2" borderId="0" xfId="0" applyFont="1" applyFill="1" applyAlignment="1" applyProtection="1">
      <alignment horizontal="righ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0" fillId="2" borderId="7" xfId="0" applyNumberFormat="1" applyFill="1" applyBorder="1" applyAlignment="1">
      <alignment horizontal="right" vertical="center"/>
    </xf>
    <xf numFmtId="0" fontId="39" fillId="0" borderId="0" xfId="0" applyFont="1" applyProtection="1">
      <protection locked="0"/>
    </xf>
    <xf numFmtId="0" fontId="39" fillId="0" borderId="36" xfId="0" applyFont="1" applyBorder="1" applyAlignment="1">
      <alignment horizontal="center" vertical="center"/>
    </xf>
    <xf numFmtId="0" fontId="39" fillId="0" borderId="0" xfId="2" applyFont="1" applyAlignment="1">
      <alignment horizontal="center" vertical="center"/>
    </xf>
    <xf numFmtId="0" fontId="10" fillId="0" borderId="7" xfId="0" applyFont="1" applyBorder="1"/>
    <xf numFmtId="169" fontId="29" fillId="2" borderId="0" xfId="0" quotePrefix="1" applyNumberFormat="1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45" fillId="2" borderId="7" xfId="0" applyFont="1" applyFill="1" applyBorder="1" applyAlignment="1">
      <alignment vertical="center"/>
    </xf>
    <xf numFmtId="0" fontId="45" fillId="2" borderId="8" xfId="0" applyFont="1" applyFill="1" applyBorder="1" applyAlignment="1">
      <alignment vertical="center"/>
    </xf>
    <xf numFmtId="166" fontId="45" fillId="2" borderId="8" xfId="0" applyNumberFormat="1" applyFont="1" applyFill="1" applyBorder="1" applyAlignment="1">
      <alignment vertical="center"/>
    </xf>
    <xf numFmtId="0" fontId="47" fillId="2" borderId="34" xfId="0" applyFont="1" applyFill="1" applyBorder="1" applyAlignment="1">
      <alignment horizontal="center" vertical="center"/>
    </xf>
    <xf numFmtId="0" fontId="47" fillId="2" borderId="28" xfId="0" applyFont="1" applyFill="1" applyBorder="1" applyAlignment="1">
      <alignment horizontal="center" vertical="center"/>
    </xf>
    <xf numFmtId="0" fontId="47" fillId="2" borderId="35" xfId="0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vertical="center"/>
    </xf>
    <xf numFmtId="2" fontId="45" fillId="2" borderId="7" xfId="0" applyNumberFormat="1" applyFont="1" applyFill="1" applyBorder="1" applyAlignment="1">
      <alignment horizontal="center" vertical="center"/>
    </xf>
    <xf numFmtId="171" fontId="45" fillId="2" borderId="7" xfId="0" applyNumberFormat="1" applyFont="1" applyFill="1" applyBorder="1" applyAlignment="1">
      <alignment horizontal="right" vertical="center"/>
    </xf>
    <xf numFmtId="170" fontId="45" fillId="2" borderId="7" xfId="0" applyNumberFormat="1" applyFont="1" applyFill="1" applyBorder="1" applyAlignment="1">
      <alignment vertical="center"/>
    </xf>
    <xf numFmtId="2" fontId="45" fillId="2" borderId="7" xfId="0" applyNumberFormat="1" applyFont="1" applyFill="1" applyBorder="1" applyAlignment="1">
      <alignment vertical="center"/>
    </xf>
    <xf numFmtId="0" fontId="45" fillId="2" borderId="29" xfId="0" applyFont="1" applyFill="1" applyBorder="1" applyAlignment="1">
      <alignment vertical="center"/>
    </xf>
    <xf numFmtId="0" fontId="45" fillId="2" borderId="31" xfId="0" applyFont="1" applyFill="1" applyBorder="1" applyAlignment="1">
      <alignment vertical="center"/>
    </xf>
    <xf numFmtId="0" fontId="42" fillId="2" borderId="0" xfId="1" applyFont="1" applyFill="1"/>
    <xf numFmtId="0" fontId="10" fillId="2" borderId="0" xfId="1" applyFill="1"/>
    <xf numFmtId="0" fontId="10" fillId="2" borderId="0" xfId="1" applyFill="1" applyProtection="1">
      <protection locked="0"/>
    </xf>
    <xf numFmtId="165" fontId="2" fillId="6" borderId="7" xfId="1" applyNumberFormat="1" applyFont="1" applyFill="1" applyBorder="1" applyAlignment="1" applyProtection="1">
      <alignment horizontal="center" vertical="center"/>
      <protection locked="0"/>
    </xf>
    <xf numFmtId="0" fontId="13" fillId="6" borderId="7" xfId="1" applyFont="1" applyFill="1" applyBorder="1" applyAlignment="1" applyProtection="1">
      <alignment horizontal="center" vertical="center"/>
      <protection locked="0"/>
    </xf>
    <xf numFmtId="165" fontId="10" fillId="6" borderId="7" xfId="1" applyNumberFormat="1" applyFill="1" applyBorder="1" applyAlignment="1" applyProtection="1">
      <alignment horizontal="center" vertical="center"/>
      <protection locked="0"/>
    </xf>
    <xf numFmtId="0" fontId="10" fillId="6" borderId="0" xfId="1" applyFill="1"/>
    <xf numFmtId="165" fontId="10" fillId="6" borderId="7" xfId="1" applyNumberFormat="1" applyFill="1" applyBorder="1" applyAlignment="1" applyProtection="1">
      <alignment horizontal="center"/>
      <protection locked="0"/>
    </xf>
    <xf numFmtId="0" fontId="2" fillId="6" borderId="7" xfId="1" applyFont="1" applyFill="1" applyBorder="1" applyAlignment="1" applyProtection="1">
      <alignment horizontal="center" vertical="center"/>
      <protection locked="0"/>
    </xf>
    <xf numFmtId="0" fontId="2" fillId="6" borderId="35" xfId="1" applyFont="1" applyFill="1" applyBorder="1" applyAlignment="1" applyProtection="1">
      <alignment horizontal="center" vertical="center"/>
      <protection locked="0"/>
    </xf>
    <xf numFmtId="0" fontId="13" fillId="6" borderId="52" xfId="1" applyFont="1" applyFill="1" applyBorder="1" applyAlignment="1" applyProtection="1">
      <alignment horizontal="center" vertical="center"/>
      <protection locked="0"/>
    </xf>
    <xf numFmtId="0" fontId="2" fillId="6" borderId="31" xfId="1" applyFont="1" applyFill="1" applyBorder="1" applyAlignment="1" applyProtection="1">
      <alignment horizontal="center" vertical="center"/>
      <protection locked="0"/>
    </xf>
    <xf numFmtId="165" fontId="10" fillId="6" borderId="55" xfId="1" applyNumberFormat="1" applyFill="1" applyBorder="1" applyAlignment="1" applyProtection="1">
      <alignment horizontal="center" vertical="center"/>
      <protection locked="0"/>
    </xf>
    <xf numFmtId="165" fontId="10" fillId="6" borderId="14" xfId="1" applyNumberFormat="1" applyFill="1" applyBorder="1" applyAlignment="1" applyProtection="1">
      <alignment horizontal="center" vertical="center"/>
      <protection locked="0"/>
    </xf>
    <xf numFmtId="165" fontId="10" fillId="6" borderId="6" xfId="1" applyNumberFormat="1" applyFill="1" applyBorder="1" applyAlignment="1" applyProtection="1">
      <alignment horizontal="center" vertical="center"/>
      <protection locked="0"/>
    </xf>
    <xf numFmtId="165" fontId="10" fillId="6" borderId="24" xfId="1" applyNumberFormat="1" applyFill="1" applyBorder="1" applyAlignment="1" applyProtection="1">
      <alignment horizontal="center"/>
      <protection locked="0"/>
    </xf>
    <xf numFmtId="165" fontId="10" fillId="6" borderId="25" xfId="1" applyNumberFormat="1" applyFill="1" applyBorder="1" applyAlignment="1" applyProtection="1">
      <alignment horizontal="center"/>
      <protection locked="0"/>
    </xf>
    <xf numFmtId="165" fontId="10" fillId="6" borderId="29" xfId="1" applyNumberFormat="1" applyFill="1" applyBorder="1" applyAlignment="1" applyProtection="1">
      <alignment horizontal="center"/>
      <protection locked="0"/>
    </xf>
    <xf numFmtId="165" fontId="10" fillId="2" borderId="0" xfId="1" applyNumberFormat="1" applyFill="1" applyAlignment="1" applyProtection="1">
      <alignment horizontal="center"/>
      <protection locked="0"/>
    </xf>
    <xf numFmtId="165" fontId="2" fillId="6" borderId="31" xfId="1" applyNumberFormat="1" applyFont="1" applyFill="1" applyBorder="1" applyAlignment="1" applyProtection="1">
      <alignment horizontal="center" vertical="center"/>
      <protection locked="0"/>
    </xf>
    <xf numFmtId="165" fontId="2" fillId="6" borderId="35" xfId="1" applyNumberFormat="1" applyFont="1" applyFill="1" applyBorder="1" applyAlignment="1" applyProtection="1">
      <alignment horizontal="center" vertical="center"/>
      <protection locked="0"/>
    </xf>
    <xf numFmtId="0" fontId="15" fillId="2" borderId="20" xfId="1" applyFont="1" applyFill="1" applyBorder="1" applyAlignment="1">
      <alignment vertical="center"/>
    </xf>
    <xf numFmtId="0" fontId="15" fillId="2" borderId="20" xfId="1" applyFont="1" applyFill="1" applyBorder="1" applyAlignment="1">
      <alignment horizontal="center" vertical="center"/>
    </xf>
    <xf numFmtId="2" fontId="42" fillId="2" borderId="7" xfId="1" applyNumberFormat="1" applyFont="1" applyFill="1" applyBorder="1" applyAlignment="1">
      <alignment horizontal="center"/>
    </xf>
    <xf numFmtId="0" fontId="42" fillId="2" borderId="57" xfId="1" applyFont="1" applyFill="1" applyBorder="1" applyAlignment="1">
      <alignment horizontal="center" vertical="center"/>
    </xf>
    <xf numFmtId="0" fontId="42" fillId="2" borderId="58" xfId="1" applyFont="1" applyFill="1" applyBorder="1" applyAlignment="1">
      <alignment horizontal="center" vertical="center"/>
    </xf>
    <xf numFmtId="2" fontId="42" fillId="2" borderId="59" xfId="1" applyNumberFormat="1" applyFont="1" applyFill="1" applyBorder="1" applyAlignment="1">
      <alignment horizontal="center"/>
    </xf>
    <xf numFmtId="2" fontId="42" fillId="2" borderId="1" xfId="1" applyNumberFormat="1" applyFont="1" applyFill="1" applyBorder="1" applyAlignment="1">
      <alignment horizontal="center"/>
    </xf>
    <xf numFmtId="2" fontId="42" fillId="2" borderId="16" xfId="1" applyNumberFormat="1" applyFont="1" applyFill="1" applyBorder="1" applyAlignment="1">
      <alignment horizontal="center" vertical="center"/>
    </xf>
    <xf numFmtId="2" fontId="42" fillId="2" borderId="47" xfId="1" applyNumberFormat="1" applyFont="1" applyFill="1" applyBorder="1" applyAlignment="1">
      <alignment horizontal="center" vertical="center"/>
    </xf>
    <xf numFmtId="0" fontId="42" fillId="2" borderId="59" xfId="1" applyFont="1" applyFill="1" applyBorder="1" applyAlignment="1">
      <alignment horizontal="center" vertical="center"/>
    </xf>
    <xf numFmtId="0" fontId="42" fillId="2" borderId="2" xfId="1" applyFont="1" applyFill="1" applyBorder="1" applyAlignment="1">
      <alignment horizontal="center" vertical="center"/>
    </xf>
    <xf numFmtId="0" fontId="42" fillId="2" borderId="0" xfId="1" applyFont="1" applyFill="1" applyAlignment="1">
      <alignment horizontal="center" vertical="center"/>
    </xf>
    <xf numFmtId="0" fontId="15" fillId="2" borderId="20" xfId="1" applyFont="1" applyFill="1" applyBorder="1" applyAlignment="1">
      <alignment horizontal="left" vertical="center" wrapText="1"/>
    </xf>
    <xf numFmtId="0" fontId="55" fillId="2" borderId="6" xfId="1" applyFont="1" applyFill="1" applyBorder="1" applyAlignment="1">
      <alignment horizontal="center" vertical="center"/>
    </xf>
    <xf numFmtId="0" fontId="35" fillId="2" borderId="6" xfId="1" applyFont="1" applyFill="1" applyBorder="1" applyAlignment="1">
      <alignment horizontal="center" vertical="center"/>
    </xf>
    <xf numFmtId="0" fontId="41" fillId="2" borderId="6" xfId="1" applyFont="1" applyFill="1" applyBorder="1" applyAlignment="1">
      <alignment horizontal="center" vertical="center"/>
    </xf>
    <xf numFmtId="165" fontId="42" fillId="2" borderId="6" xfId="1" applyNumberFormat="1" applyFont="1" applyFill="1" applyBorder="1" applyAlignment="1">
      <alignment horizontal="center" vertical="center"/>
    </xf>
    <xf numFmtId="165" fontId="42" fillId="2" borderId="7" xfId="1" applyNumberFormat="1" applyFont="1" applyFill="1" applyBorder="1" applyAlignment="1">
      <alignment horizontal="center" vertical="center"/>
    </xf>
    <xf numFmtId="165" fontId="42" fillId="2" borderId="8" xfId="1" applyNumberFormat="1" applyFont="1" applyFill="1" applyBorder="1" applyAlignment="1">
      <alignment horizontal="center" vertical="center"/>
    </xf>
    <xf numFmtId="166" fontId="42" fillId="2" borderId="1" xfId="1" applyNumberFormat="1" applyFont="1" applyFill="1" applyBorder="1" applyAlignment="1">
      <alignment horizontal="center"/>
    </xf>
    <xf numFmtId="0" fontId="54" fillId="2" borderId="1" xfId="1" applyFont="1" applyFill="1" applyBorder="1"/>
    <xf numFmtId="0" fontId="41" fillId="2" borderId="1" xfId="1" applyFont="1" applyFill="1" applyBorder="1"/>
    <xf numFmtId="165" fontId="42" fillId="2" borderId="30" xfId="1" applyNumberFormat="1" applyFont="1" applyFill="1" applyBorder="1" applyAlignment="1">
      <alignment horizontal="center" vertical="center"/>
    </xf>
    <xf numFmtId="165" fontId="42" fillId="2" borderId="29" xfId="1" applyNumberFormat="1" applyFont="1" applyFill="1" applyBorder="1" applyAlignment="1">
      <alignment horizontal="center" vertical="center"/>
    </xf>
    <xf numFmtId="165" fontId="42" fillId="2" borderId="31" xfId="1" applyNumberFormat="1" applyFont="1" applyFill="1" applyBorder="1" applyAlignment="1">
      <alignment horizontal="center" vertical="center"/>
    </xf>
    <xf numFmtId="0" fontId="42" fillId="2" borderId="2" xfId="1" applyFont="1" applyFill="1" applyBorder="1"/>
    <xf numFmtId="165" fontId="15" fillId="2" borderId="28" xfId="1" applyNumberFormat="1" applyFont="1" applyFill="1" applyBorder="1" applyAlignment="1">
      <alignment horizontal="center"/>
    </xf>
    <xf numFmtId="165" fontId="15" fillId="2" borderId="35" xfId="1" applyNumberFormat="1" applyFont="1" applyFill="1" applyBorder="1" applyAlignment="1">
      <alignment horizontal="center"/>
    </xf>
    <xf numFmtId="0" fontId="15" fillId="2" borderId="55" xfId="1" applyFont="1" applyFill="1" applyBorder="1" applyAlignment="1">
      <alignment horizontal="center" vertical="center"/>
    </xf>
    <xf numFmtId="0" fontId="42" fillId="2" borderId="1" xfId="1" applyFont="1" applyFill="1" applyBorder="1"/>
    <xf numFmtId="165" fontId="15" fillId="2" borderId="6" xfId="1" applyNumberFormat="1" applyFont="1" applyFill="1" applyBorder="1" applyAlignment="1">
      <alignment horizontal="center" vertical="center"/>
    </xf>
    <xf numFmtId="165" fontId="15" fillId="2" borderId="7" xfId="1" applyNumberFormat="1" applyFont="1" applyFill="1" applyBorder="1" applyAlignment="1">
      <alignment horizontal="center"/>
    </xf>
    <xf numFmtId="165" fontId="15" fillId="2" borderId="8" xfId="1" applyNumberFormat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 vertical="center"/>
    </xf>
    <xf numFmtId="165" fontId="15" fillId="2" borderId="56" xfId="1" applyNumberFormat="1" applyFont="1" applyFill="1" applyBorder="1" applyAlignment="1">
      <alignment horizontal="center"/>
    </xf>
    <xf numFmtId="165" fontId="15" fillId="2" borderId="29" xfId="1" applyNumberFormat="1" applyFont="1" applyFill="1" applyBorder="1" applyAlignment="1">
      <alignment horizontal="center"/>
    </xf>
    <xf numFmtId="165" fontId="15" fillId="2" borderId="45" xfId="1" applyNumberFormat="1" applyFont="1" applyFill="1" applyBorder="1" applyAlignment="1">
      <alignment horizontal="center"/>
    </xf>
    <xf numFmtId="164" fontId="42" fillId="2" borderId="4" xfId="1" applyNumberFormat="1" applyFont="1" applyFill="1" applyBorder="1" applyAlignment="1">
      <alignment horizontal="center"/>
    </xf>
    <xf numFmtId="0" fontId="42" fillId="2" borderId="4" xfId="1" applyFont="1" applyFill="1" applyBorder="1"/>
    <xf numFmtId="0" fontId="42" fillId="2" borderId="5" xfId="1" applyFont="1" applyFill="1" applyBorder="1"/>
    <xf numFmtId="0" fontId="23" fillId="2" borderId="7" xfId="1" applyFont="1" applyFill="1" applyBorder="1" applyAlignment="1">
      <alignment horizontal="center" vertical="center"/>
    </xf>
    <xf numFmtId="0" fontId="42" fillId="2" borderId="7" xfId="1" applyFont="1" applyFill="1" applyBorder="1"/>
    <xf numFmtId="0" fontId="41" fillId="2" borderId="0" xfId="1" applyFont="1" applyFill="1"/>
    <xf numFmtId="0" fontId="58" fillId="2" borderId="11" xfId="0" applyFont="1" applyFill="1" applyBorder="1" applyAlignment="1">
      <alignment vertical="center"/>
    </xf>
    <xf numFmtId="0" fontId="58" fillId="2" borderId="9" xfId="0" applyFont="1" applyFill="1" applyBorder="1" applyAlignment="1">
      <alignment vertical="center"/>
    </xf>
    <xf numFmtId="173" fontId="58" fillId="2" borderId="7" xfId="0" applyNumberFormat="1" applyFont="1" applyFill="1" applyBorder="1" applyAlignment="1">
      <alignment horizontal="center" vertical="center" wrapText="1"/>
    </xf>
    <xf numFmtId="174" fontId="58" fillId="2" borderId="7" xfId="0" applyNumberFormat="1" applyFont="1" applyFill="1" applyBorder="1" applyAlignment="1">
      <alignment horizontal="center" vertical="center" wrapText="1"/>
    </xf>
    <xf numFmtId="175" fontId="58" fillId="2" borderId="7" xfId="0" applyNumberFormat="1" applyFont="1" applyFill="1" applyBorder="1" applyAlignment="1">
      <alignment horizontal="center" vertical="center" wrapText="1"/>
    </xf>
    <xf numFmtId="0" fontId="58" fillId="2" borderId="0" xfId="0" applyFont="1" applyFill="1" applyAlignment="1">
      <alignment vertical="center"/>
    </xf>
    <xf numFmtId="164" fontId="58" fillId="2" borderId="0" xfId="0" applyNumberFormat="1" applyFont="1" applyFill="1" applyAlignment="1">
      <alignment horizontal="center" vertical="center"/>
    </xf>
    <xf numFmtId="166" fontId="58" fillId="2" borderId="0" xfId="0" applyNumberFormat="1" applyFont="1" applyFill="1" applyAlignment="1">
      <alignment horizontal="center" vertical="center"/>
    </xf>
    <xf numFmtId="164" fontId="58" fillId="2" borderId="0" xfId="0" applyNumberFormat="1" applyFont="1" applyFill="1" applyAlignment="1">
      <alignment vertical="center"/>
    </xf>
    <xf numFmtId="0" fontId="59" fillId="2" borderId="0" xfId="0" applyFont="1" applyFill="1" applyAlignment="1">
      <alignment vertical="center"/>
    </xf>
    <xf numFmtId="0" fontId="59" fillId="2" borderId="7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/>
    </xf>
    <xf numFmtId="0" fontId="60" fillId="2" borderId="0" xfId="0" applyFont="1" applyFill="1" applyAlignment="1">
      <alignment vertical="center"/>
    </xf>
    <xf numFmtId="0" fontId="58" fillId="2" borderId="13" xfId="0" applyFont="1" applyFill="1" applyBorder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167" fontId="58" fillId="2" borderId="0" xfId="0" applyNumberFormat="1" applyFont="1" applyFill="1" applyAlignment="1">
      <alignment horizontal="left" vertical="center"/>
    </xf>
    <xf numFmtId="0" fontId="59" fillId="2" borderId="13" xfId="0" applyFont="1" applyFill="1" applyBorder="1" applyAlignment="1">
      <alignment horizontal="center" vertical="center"/>
    </xf>
    <xf numFmtId="0" fontId="59" fillId="2" borderId="14" xfId="0" applyFont="1" applyFill="1" applyBorder="1" applyAlignment="1">
      <alignment horizontal="center" vertical="center"/>
    </xf>
    <xf numFmtId="0" fontId="58" fillId="2" borderId="9" xfId="0" applyFont="1" applyFill="1" applyBorder="1" applyAlignment="1">
      <alignment horizontal="center" vertical="center"/>
    </xf>
    <xf numFmtId="0" fontId="58" fillId="2" borderId="10" xfId="0" applyFont="1" applyFill="1" applyBorder="1" applyAlignment="1">
      <alignment horizontal="center" vertical="center"/>
    </xf>
    <xf numFmtId="0" fontId="58" fillId="2" borderId="11" xfId="0" applyFont="1" applyFill="1" applyBorder="1" applyAlignment="1">
      <alignment horizontal="center" vertical="center"/>
    </xf>
    <xf numFmtId="0" fontId="58" fillId="2" borderId="15" xfId="0" applyFont="1" applyFill="1" applyBorder="1" applyAlignment="1">
      <alignment horizontal="center" vertical="center"/>
    </xf>
    <xf numFmtId="0" fontId="58" fillId="2" borderId="12" xfId="0" applyFont="1" applyFill="1" applyBorder="1" applyAlignment="1">
      <alignment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 applyAlignment="1">
      <alignment horizontal="left" vertical="center"/>
    </xf>
    <xf numFmtId="0" fontId="58" fillId="2" borderId="7" xfId="0" applyFont="1" applyFill="1" applyBorder="1" applyAlignment="1">
      <alignment horizontal="center" vertical="center" wrapText="1"/>
    </xf>
    <xf numFmtId="2" fontId="58" fillId="2" borderId="7" xfId="0" applyNumberFormat="1" applyFont="1" applyFill="1" applyBorder="1" applyAlignment="1">
      <alignment horizontal="center" vertical="center"/>
    </xf>
    <xf numFmtId="9" fontId="58" fillId="2" borderId="7" xfId="0" quotePrefix="1" applyNumberFormat="1" applyFont="1" applyFill="1" applyBorder="1" applyAlignment="1">
      <alignment horizontal="center" vertical="center" wrapText="1"/>
    </xf>
    <xf numFmtId="0" fontId="58" fillId="2" borderId="7" xfId="0" applyFont="1" applyFill="1" applyBorder="1" applyAlignment="1">
      <alignment vertical="center"/>
    </xf>
    <xf numFmtId="165" fontId="58" fillId="0" borderId="0" xfId="0" applyNumberFormat="1" applyFont="1" applyAlignment="1">
      <alignment vertical="center"/>
    </xf>
    <xf numFmtId="0" fontId="58" fillId="2" borderId="0" xfId="0" applyFont="1" applyFill="1" applyProtection="1">
      <protection hidden="1"/>
    </xf>
    <xf numFmtId="0" fontId="58" fillId="2" borderId="38" xfId="0" applyFont="1" applyFill="1" applyBorder="1" applyAlignment="1">
      <alignment vertical="center"/>
    </xf>
    <xf numFmtId="2" fontId="58" fillId="2" borderId="0" xfId="0" applyNumberFormat="1" applyFont="1" applyFill="1" applyAlignment="1">
      <alignment vertical="center"/>
    </xf>
    <xf numFmtId="0" fontId="58" fillId="0" borderId="0" xfId="0" applyFont="1" applyAlignment="1">
      <alignment vertical="center"/>
    </xf>
    <xf numFmtId="164" fontId="58" fillId="0" borderId="0" xfId="0" applyNumberFormat="1" applyFont="1" applyAlignment="1">
      <alignment horizontal="center" vertical="center"/>
    </xf>
    <xf numFmtId="166" fontId="58" fillId="0" borderId="0" xfId="0" applyNumberFormat="1" applyFont="1" applyAlignment="1">
      <alignment horizontal="center" vertical="center"/>
    </xf>
    <xf numFmtId="0" fontId="10" fillId="2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8" fillId="2" borderId="0" xfId="0" applyFont="1" applyFill="1" applyAlignment="1" applyProtection="1">
      <alignment vertical="center"/>
      <protection locked="0"/>
    </xf>
    <xf numFmtId="164" fontId="58" fillId="2" borderId="0" xfId="0" applyNumberFormat="1" applyFont="1" applyFill="1" applyAlignment="1" applyProtection="1">
      <alignment vertical="center"/>
      <protection locked="0"/>
    </xf>
    <xf numFmtId="0" fontId="59" fillId="2" borderId="0" xfId="0" applyFont="1" applyFill="1" applyAlignment="1" applyProtection="1">
      <alignment vertical="center"/>
      <protection locked="0"/>
    </xf>
    <xf numFmtId="165" fontId="58" fillId="2" borderId="7" xfId="0" applyNumberFormat="1" applyFont="1" applyFill="1" applyBorder="1" applyAlignment="1">
      <alignment horizontal="center" vertical="center"/>
    </xf>
    <xf numFmtId="0" fontId="58" fillId="0" borderId="0" xfId="0" applyFont="1" applyAlignment="1" applyProtection="1">
      <alignment vertical="center"/>
      <protection locked="0"/>
    </xf>
    <xf numFmtId="0" fontId="58" fillId="2" borderId="0" xfId="0" applyFont="1" applyFill="1" applyAlignment="1" applyProtection="1">
      <alignment horizontal="center" vertical="center"/>
      <protection locked="0"/>
    </xf>
    <xf numFmtId="0" fontId="58" fillId="2" borderId="0" xfId="0" applyFont="1" applyFill="1" applyAlignment="1" applyProtection="1">
      <alignment horizontal="left" vertical="center"/>
      <protection locked="0"/>
    </xf>
    <xf numFmtId="164" fontId="58" fillId="2" borderId="0" xfId="0" applyNumberFormat="1" applyFont="1" applyFill="1" applyAlignment="1" applyProtection="1">
      <alignment horizontal="center" vertical="center"/>
      <protection locked="0"/>
    </xf>
    <xf numFmtId="0" fontId="59" fillId="2" borderId="0" xfId="0" applyFont="1" applyFill="1" applyAlignment="1" applyProtection="1">
      <alignment horizontal="left" vertical="center"/>
      <protection locked="0"/>
    </xf>
    <xf numFmtId="0" fontId="59" fillId="2" borderId="0" xfId="0" applyFont="1" applyFill="1" applyAlignment="1" applyProtection="1">
      <alignment horizontal="center" vertical="center"/>
      <protection locked="0"/>
    </xf>
    <xf numFmtId="0" fontId="61" fillId="2" borderId="0" xfId="0" applyFont="1" applyFill="1" applyAlignment="1" applyProtection="1">
      <alignment horizontal="center" vertical="center"/>
      <protection locked="0"/>
    </xf>
    <xf numFmtId="164" fontId="58" fillId="2" borderId="0" xfId="0" applyNumberFormat="1" applyFont="1" applyFill="1" applyAlignment="1" applyProtection="1">
      <alignment horizontal="left" vertical="center"/>
      <protection locked="0"/>
    </xf>
    <xf numFmtId="166" fontId="58" fillId="2" borderId="0" xfId="0" applyNumberFormat="1" applyFont="1" applyFill="1" applyAlignment="1" applyProtection="1">
      <alignment horizontal="center" vertical="center"/>
      <protection locked="0"/>
    </xf>
    <xf numFmtId="164" fontId="44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vertical="center"/>
    </xf>
    <xf numFmtId="0" fontId="58" fillId="2" borderId="0" xfId="0" applyFont="1" applyFill="1" applyAlignment="1">
      <alignment horizontal="right" vertical="center"/>
    </xf>
    <xf numFmtId="49" fontId="58" fillId="2" borderId="0" xfId="0" applyNumberFormat="1" applyFont="1" applyFill="1" applyAlignment="1">
      <alignment vertical="center"/>
    </xf>
    <xf numFmtId="0" fontId="59" fillId="2" borderId="17" xfId="0" applyFont="1" applyFill="1" applyBorder="1" applyAlignment="1">
      <alignment horizontal="center" vertical="center"/>
    </xf>
    <xf numFmtId="0" fontId="58" fillId="2" borderId="16" xfId="0" applyFont="1" applyFill="1" applyBorder="1" applyAlignment="1" applyProtection="1">
      <alignment vertical="center"/>
      <protection locked="0"/>
    </xf>
    <xf numFmtId="0" fontId="59" fillId="2" borderId="9" xfId="0" applyFont="1" applyFill="1" applyBorder="1" applyAlignment="1">
      <alignment horizontal="center" vertical="center"/>
    </xf>
    <xf numFmtId="0" fontId="58" fillId="2" borderId="9" xfId="0" applyFont="1" applyFill="1" applyBorder="1" applyAlignment="1">
      <alignment horizontal="left" vertical="center"/>
    </xf>
    <xf numFmtId="0" fontId="58" fillId="2" borderId="16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vertical="center"/>
    </xf>
    <xf numFmtId="2" fontId="58" fillId="2" borderId="0" xfId="0" applyNumberFormat="1" applyFont="1" applyFill="1" applyAlignment="1" applyProtection="1">
      <alignment horizontal="center" vertical="center"/>
      <protection locked="0"/>
    </xf>
    <xf numFmtId="2" fontId="58" fillId="2" borderId="0" xfId="0" applyNumberFormat="1" applyFont="1" applyFill="1" applyAlignment="1" applyProtection="1">
      <alignment vertical="center"/>
      <protection locked="0"/>
    </xf>
    <xf numFmtId="0" fontId="62" fillId="2" borderId="0" xfId="0" applyFont="1" applyFill="1" applyAlignment="1" applyProtection="1">
      <alignment horizontal="left" vertical="center"/>
      <protection locked="0"/>
    </xf>
    <xf numFmtId="166" fontId="59" fillId="2" borderId="7" xfId="0" applyNumberFormat="1" applyFont="1" applyFill="1" applyBorder="1" applyAlignment="1" applyProtection="1">
      <alignment horizontal="center" vertical="center"/>
      <protection locked="0"/>
    </xf>
    <xf numFmtId="166" fontId="63" fillId="2" borderId="7" xfId="0" applyNumberFormat="1" applyFont="1" applyFill="1" applyBorder="1" applyAlignment="1" applyProtection="1">
      <alignment horizontal="center" vertical="center"/>
      <protection locked="0"/>
    </xf>
    <xf numFmtId="164" fontId="58" fillId="2" borderId="7" xfId="0" applyNumberFormat="1" applyFont="1" applyFill="1" applyBorder="1" applyAlignment="1" applyProtection="1">
      <alignment horizontal="center" vertical="center"/>
      <protection locked="0"/>
    </xf>
    <xf numFmtId="164" fontId="58" fillId="2" borderId="15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horizontal="center"/>
    </xf>
    <xf numFmtId="0" fontId="29" fillId="2" borderId="0" xfId="0" applyFont="1" applyFill="1" applyAlignment="1">
      <alignment horizontal="left" vertical="center"/>
    </xf>
    <xf numFmtId="165" fontId="29" fillId="2" borderId="0" xfId="0" quotePrefix="1" applyNumberFormat="1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58" fillId="2" borderId="0" xfId="2" applyFont="1" applyFill="1" applyAlignment="1" applyProtection="1">
      <alignment vertical="center"/>
      <protection locked="0"/>
    </xf>
    <xf numFmtId="0" fontId="59" fillId="2" borderId="0" xfId="2" applyFont="1" applyFill="1" applyAlignment="1" applyProtection="1">
      <alignment vertical="center"/>
      <protection locked="0"/>
    </xf>
    <xf numFmtId="0" fontId="13" fillId="6" borderId="52" xfId="1" quotePrefix="1" applyFont="1" applyFill="1" applyBorder="1" applyAlignment="1" applyProtection="1">
      <alignment horizontal="center" vertical="center"/>
      <protection locked="0"/>
    </xf>
    <xf numFmtId="0" fontId="58" fillId="0" borderId="0" xfId="0" applyFont="1" applyAlignment="1">
      <alignment horizontal="right" vertical="center"/>
    </xf>
    <xf numFmtId="176" fontId="4" fillId="3" borderId="7" xfId="0" applyNumberFormat="1" applyFont="1" applyFill="1" applyBorder="1" applyAlignment="1">
      <alignment horizontal="center"/>
    </xf>
    <xf numFmtId="0" fontId="58" fillId="0" borderId="0" xfId="0" applyFont="1" applyAlignment="1" applyProtection="1">
      <alignment horizontal="right"/>
      <protection locked="0"/>
    </xf>
    <xf numFmtId="176" fontId="1" fillId="3" borderId="7" xfId="0" applyNumberFormat="1" applyFont="1" applyFill="1" applyBorder="1" applyAlignment="1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26" fillId="2" borderId="0" xfId="0" applyNumberFormat="1" applyFont="1" applyFill="1" applyAlignment="1" applyProtection="1">
      <alignment horizontal="center" vertical="center"/>
      <protection locked="0"/>
    </xf>
    <xf numFmtId="176" fontId="19" fillId="2" borderId="0" xfId="0" applyNumberFormat="1" applyFont="1" applyFill="1" applyAlignment="1" applyProtection="1">
      <alignment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58" fillId="2" borderId="11" xfId="0" applyFont="1" applyFill="1" applyBorder="1" applyAlignment="1">
      <alignment horizontal="center" vertical="center" wrapText="1"/>
    </xf>
    <xf numFmtId="0" fontId="58" fillId="2" borderId="0" xfId="0" applyFont="1" applyFill="1" applyAlignment="1" applyProtection="1">
      <alignment vertical="top" wrapText="1"/>
      <protection locked="0"/>
    </xf>
    <xf numFmtId="15" fontId="58" fillId="7" borderId="0" xfId="0" quotePrefix="1" applyNumberFormat="1" applyFont="1" applyFill="1" applyAlignment="1" applyProtection="1">
      <alignment vertical="center"/>
      <protection locked="0"/>
    </xf>
    <xf numFmtId="176" fontId="63" fillId="2" borderId="7" xfId="0" applyNumberFormat="1" applyFont="1" applyFill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58" fillId="2" borderId="7" xfId="0" applyFont="1" applyFill="1" applyBorder="1" applyAlignment="1" applyProtection="1">
      <alignment horizontal="center" vertical="center"/>
      <protection locked="0"/>
    </xf>
    <xf numFmtId="0" fontId="58" fillId="0" borderId="9" xfId="0" applyFont="1" applyBorder="1" applyAlignment="1" applyProtection="1">
      <alignment horizontal="right" vertical="center"/>
      <protection locked="0"/>
    </xf>
    <xf numFmtId="164" fontId="58" fillId="2" borderId="11" xfId="0" applyNumberFormat="1" applyFont="1" applyFill="1" applyBorder="1" applyAlignment="1" applyProtection="1">
      <alignment horizontal="right" vertical="center"/>
      <protection locked="0"/>
    </xf>
    <xf numFmtId="166" fontId="59" fillId="2" borderId="12" xfId="0" applyNumberFormat="1" applyFont="1" applyFill="1" applyBorder="1" applyAlignment="1" applyProtection="1">
      <alignment horizontal="left" vertical="center"/>
      <protection locked="0"/>
    </xf>
    <xf numFmtId="0" fontId="58" fillId="2" borderId="0" xfId="0" applyFont="1" applyFill="1"/>
    <xf numFmtId="0" fontId="19" fillId="0" borderId="0" xfId="0" applyFont="1" applyAlignment="1" applyProtection="1">
      <alignment vertical="center"/>
      <protection locked="0"/>
    </xf>
    <xf numFmtId="177" fontId="58" fillId="0" borderId="0" xfId="1" applyNumberFormat="1" applyFont="1" applyAlignment="1" applyProtection="1">
      <alignment vertical="center"/>
      <protection locked="0"/>
    </xf>
    <xf numFmtId="0" fontId="58" fillId="0" borderId="0" xfId="1" applyFont="1" applyAlignment="1" applyProtection="1">
      <alignment vertical="center"/>
      <protection locked="0"/>
    </xf>
    <xf numFmtId="0" fontId="58" fillId="0" borderId="0" xfId="1" applyFont="1" applyAlignment="1" applyProtection="1">
      <alignment horizontal="center" vertical="center"/>
      <protection locked="0"/>
    </xf>
    <xf numFmtId="0" fontId="29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9" fillId="2" borderId="7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29" fillId="2" borderId="7" xfId="0" quotePrefix="1" applyNumberFormat="1" applyFont="1" applyFill="1" applyBorder="1" applyAlignment="1">
      <alignment horizontal="center" vertical="center"/>
    </xf>
    <xf numFmtId="0" fontId="10" fillId="0" borderId="0" xfId="3"/>
    <xf numFmtId="0" fontId="55" fillId="2" borderId="7" xfId="1" applyFont="1" applyFill="1" applyBorder="1" applyAlignment="1">
      <alignment horizontal="center" vertical="center"/>
    </xf>
    <xf numFmtId="0" fontId="42" fillId="2" borderId="7" xfId="1" applyFont="1" applyFill="1" applyBorder="1" applyAlignment="1">
      <alignment horizontal="center" vertical="center"/>
    </xf>
    <xf numFmtId="0" fontId="10" fillId="2" borderId="2" xfId="1" applyFill="1" applyBorder="1" applyAlignment="1" applyProtection="1">
      <alignment horizontal="center" vertical="center"/>
      <protection locked="0"/>
    </xf>
    <xf numFmtId="0" fontId="15" fillId="2" borderId="34" xfId="1" applyFont="1" applyFill="1" applyBorder="1" applyAlignment="1">
      <alignment horizontal="center" vertical="center"/>
    </xf>
    <xf numFmtId="0" fontId="42" fillId="0" borderId="0" xfId="1" applyFont="1"/>
    <xf numFmtId="0" fontId="10" fillId="0" borderId="20" xfId="1" applyBorder="1" applyProtection="1">
      <protection locked="0"/>
    </xf>
    <xf numFmtId="0" fontId="10" fillId="0" borderId="0" xfId="1" applyProtection="1">
      <protection locked="0"/>
    </xf>
    <xf numFmtId="0" fontId="2" fillId="10" borderId="7" xfId="1" applyFont="1" applyFill="1" applyBorder="1" applyAlignment="1" applyProtection="1">
      <alignment horizontal="center" vertical="center"/>
      <protection locked="0"/>
    </xf>
    <xf numFmtId="0" fontId="13" fillId="10" borderId="7" xfId="1" applyFont="1" applyFill="1" applyBorder="1" applyAlignment="1" applyProtection="1">
      <alignment horizontal="center" vertical="center"/>
      <protection locked="0"/>
    </xf>
    <xf numFmtId="0" fontId="10" fillId="0" borderId="7" xfId="1" applyBorder="1" applyProtection="1">
      <protection locked="0"/>
    </xf>
    <xf numFmtId="2" fontId="10" fillId="10" borderId="7" xfId="1" applyNumberFormat="1" applyFill="1" applyBorder="1" applyAlignment="1" applyProtection="1">
      <alignment horizontal="center"/>
      <protection locked="0"/>
    </xf>
    <xf numFmtId="0" fontId="10" fillId="0" borderId="1" xfId="1" applyBorder="1" applyProtection="1">
      <protection locked="0"/>
    </xf>
    <xf numFmtId="0" fontId="10" fillId="6" borderId="7" xfId="1" quotePrefix="1" applyFill="1" applyBorder="1" applyAlignment="1" applyProtection="1">
      <alignment horizontal="center"/>
      <protection locked="0"/>
    </xf>
    <xf numFmtId="165" fontId="10" fillId="6" borderId="7" xfId="1" quotePrefix="1" applyNumberFormat="1" applyFill="1" applyBorder="1" applyAlignment="1" applyProtection="1">
      <alignment horizontal="center"/>
      <protection locked="0"/>
    </xf>
    <xf numFmtId="0" fontId="10" fillId="0" borderId="4" xfId="1" applyBorder="1" applyProtection="1">
      <protection locked="0"/>
    </xf>
    <xf numFmtId="0" fontId="10" fillId="0" borderId="5" xfId="1" applyBorder="1" applyProtection="1">
      <protection locked="0"/>
    </xf>
    <xf numFmtId="0" fontId="10" fillId="0" borderId="2" xfId="1" applyBorder="1" applyProtection="1">
      <protection locked="0"/>
    </xf>
    <xf numFmtId="0" fontId="10" fillId="6" borderId="0" xfId="1" applyFill="1" applyAlignment="1" applyProtection="1">
      <alignment horizontal="center"/>
      <protection locked="0"/>
    </xf>
    <xf numFmtId="0" fontId="2" fillId="10" borderId="34" xfId="1" applyFont="1" applyFill="1" applyBorder="1" applyAlignment="1" applyProtection="1">
      <alignment horizontal="center" vertical="center"/>
      <protection locked="0"/>
    </xf>
    <xf numFmtId="0" fontId="13" fillId="10" borderId="52" xfId="1" applyFont="1" applyFill="1" applyBorder="1" applyAlignment="1" applyProtection="1">
      <alignment horizontal="center" vertical="center"/>
      <protection locked="0"/>
    </xf>
    <xf numFmtId="0" fontId="2" fillId="10" borderId="30" xfId="1" applyFont="1" applyFill="1" applyBorder="1" applyAlignment="1" applyProtection="1">
      <alignment horizontal="center" vertical="center"/>
      <protection locked="0"/>
    </xf>
    <xf numFmtId="2" fontId="10" fillId="10" borderId="46" xfId="1" applyNumberFormat="1" applyFill="1" applyBorder="1" applyAlignment="1" applyProtection="1">
      <alignment horizontal="center"/>
      <protection locked="0"/>
    </xf>
    <xf numFmtId="2" fontId="10" fillId="10" borderId="8" xfId="1" applyNumberFormat="1" applyFill="1" applyBorder="1" applyAlignment="1" applyProtection="1">
      <alignment horizontal="center"/>
      <protection locked="0"/>
    </xf>
    <xf numFmtId="2" fontId="10" fillId="10" borderId="31" xfId="1" applyNumberFormat="1" applyFill="1" applyBorder="1" applyAlignment="1" applyProtection="1">
      <alignment horizontal="center"/>
      <protection locked="0"/>
    </xf>
    <xf numFmtId="0" fontId="10" fillId="0" borderId="3" xfId="1" applyBorder="1" applyProtection="1">
      <protection locked="0"/>
    </xf>
    <xf numFmtId="0" fontId="10" fillId="6" borderId="29" xfId="1" quotePrefix="1" applyFill="1" applyBorder="1" applyAlignment="1" applyProtection="1">
      <alignment horizontal="center"/>
      <protection locked="0"/>
    </xf>
    <xf numFmtId="0" fontId="10" fillId="2" borderId="0" xfId="1" quotePrefix="1" applyFill="1" applyAlignment="1" applyProtection="1">
      <alignment horizontal="center"/>
      <protection locked="0"/>
    </xf>
    <xf numFmtId="164" fontId="10" fillId="2" borderId="0" xfId="1" applyNumberFormat="1" applyFill="1" applyAlignment="1" applyProtection="1">
      <alignment horizontal="center"/>
      <protection locked="0"/>
    </xf>
    <xf numFmtId="1" fontId="10" fillId="6" borderId="55" xfId="1" applyNumberFormat="1" applyFill="1" applyBorder="1" applyAlignment="1" applyProtection="1">
      <alignment horizontal="center" vertical="center"/>
      <protection locked="0"/>
    </xf>
    <xf numFmtId="1" fontId="10" fillId="6" borderId="6" xfId="1" applyNumberFormat="1" applyFill="1" applyBorder="1" applyAlignment="1" applyProtection="1">
      <alignment horizontal="center" vertical="center"/>
      <protection locked="0"/>
    </xf>
    <xf numFmtId="1" fontId="10" fillId="6" borderId="24" xfId="1" applyNumberFormat="1" applyFill="1" applyBorder="1" applyAlignment="1" applyProtection="1">
      <alignment horizontal="center"/>
      <protection locked="0"/>
    </xf>
    <xf numFmtId="1" fontId="10" fillId="6" borderId="25" xfId="1" applyNumberFormat="1" applyFill="1" applyBorder="1" applyAlignment="1" applyProtection="1">
      <alignment horizontal="center"/>
      <protection locked="0"/>
    </xf>
    <xf numFmtId="2" fontId="10" fillId="2" borderId="0" xfId="1" applyNumberFormat="1" applyFill="1" applyAlignment="1" applyProtection="1">
      <alignment horizontal="center"/>
      <protection locked="0"/>
    </xf>
    <xf numFmtId="164" fontId="10" fillId="6" borderId="14" xfId="1" applyNumberFormat="1" applyFill="1" applyBorder="1" applyAlignment="1" applyProtection="1">
      <alignment horizontal="center" vertical="center"/>
      <protection locked="0"/>
    </xf>
    <xf numFmtId="164" fontId="10" fillId="6" borderId="7" xfId="1" applyNumberFormat="1" applyFill="1" applyBorder="1" applyAlignment="1" applyProtection="1">
      <alignment horizontal="center" vertical="center"/>
      <protection locked="0"/>
    </xf>
    <xf numFmtId="165" fontId="10" fillId="6" borderId="56" xfId="1" applyNumberFormat="1" applyFill="1" applyBorder="1" applyAlignment="1" applyProtection="1">
      <alignment horizontal="center" vertical="center"/>
      <protection locked="0"/>
    </xf>
    <xf numFmtId="165" fontId="10" fillId="6" borderId="25" xfId="1" applyNumberFormat="1" applyFill="1" applyBorder="1" applyAlignment="1" applyProtection="1">
      <alignment horizontal="center" vertical="center"/>
      <protection locked="0"/>
    </xf>
    <xf numFmtId="0" fontId="10" fillId="0" borderId="65" xfId="1" applyBorder="1" applyProtection="1"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165" fontId="10" fillId="6" borderId="0" xfId="1" applyNumberFormat="1" applyFill="1" applyAlignment="1" applyProtection="1">
      <alignment horizontal="center"/>
      <protection locked="0"/>
    </xf>
    <xf numFmtId="0" fontId="10" fillId="6" borderId="0" xfId="1" quotePrefix="1" applyFill="1" applyAlignment="1" applyProtection="1">
      <alignment horizontal="center"/>
      <protection locked="0"/>
    </xf>
    <xf numFmtId="2" fontId="10" fillId="10" borderId="0" xfId="1" applyNumberFormat="1" applyFill="1" applyAlignment="1" applyProtection="1">
      <alignment horizontal="center"/>
      <protection locked="0"/>
    </xf>
    <xf numFmtId="0" fontId="55" fillId="11" borderId="7" xfId="1" applyFont="1" applyFill="1" applyBorder="1" applyAlignment="1">
      <alignment horizontal="center" vertical="center"/>
    </xf>
    <xf numFmtId="0" fontId="35" fillId="11" borderId="7" xfId="1" applyFont="1" applyFill="1" applyBorder="1" applyAlignment="1">
      <alignment horizontal="center" vertical="center"/>
    </xf>
    <xf numFmtId="0" fontId="42" fillId="3" borderId="7" xfId="1" applyFont="1" applyFill="1" applyBorder="1" applyAlignment="1">
      <alignment horizontal="center" vertical="center"/>
    </xf>
    <xf numFmtId="165" fontId="54" fillId="3" borderId="8" xfId="1" applyNumberFormat="1" applyFont="1" applyFill="1" applyBorder="1" applyAlignment="1">
      <alignment horizontal="center" vertical="center"/>
    </xf>
    <xf numFmtId="0" fontId="42" fillId="11" borderId="7" xfId="1" applyFont="1" applyFill="1" applyBorder="1" applyAlignment="1">
      <alignment horizontal="center" vertical="center"/>
    </xf>
    <xf numFmtId="2" fontId="42" fillId="11" borderId="7" xfId="1" applyNumberFormat="1" applyFont="1" applyFill="1" applyBorder="1" applyAlignment="1">
      <alignment horizontal="center" vertical="center"/>
    </xf>
    <xf numFmtId="0" fontId="42" fillId="3" borderId="7" xfId="1" applyFont="1" applyFill="1" applyBorder="1" applyAlignment="1">
      <alignment horizontal="center"/>
    </xf>
    <xf numFmtId="0" fontId="54" fillId="3" borderId="8" xfId="1" applyFont="1" applyFill="1" applyBorder="1" applyAlignment="1">
      <alignment horizontal="center" vertical="center"/>
    </xf>
    <xf numFmtId="0" fontId="54" fillId="3" borderId="8" xfId="1" applyFont="1" applyFill="1" applyBorder="1" applyAlignment="1">
      <alignment horizontal="center"/>
    </xf>
    <xf numFmtId="2" fontId="42" fillId="11" borderId="7" xfId="1" applyNumberFormat="1" applyFont="1" applyFill="1" applyBorder="1" applyAlignment="1">
      <alignment horizontal="center"/>
    </xf>
    <xf numFmtId="0" fontId="10" fillId="0" borderId="0" xfId="1"/>
    <xf numFmtId="165" fontId="3" fillId="3" borderId="8" xfId="1" applyNumberFormat="1" applyFont="1" applyFill="1" applyBorder="1" applyAlignment="1">
      <alignment horizontal="center" vertical="center"/>
    </xf>
    <xf numFmtId="165" fontId="42" fillId="3" borderId="7" xfId="1" applyNumberFormat="1" applyFont="1" applyFill="1" applyBorder="1" applyAlignment="1">
      <alignment horizontal="center" vertical="center"/>
    </xf>
    <xf numFmtId="0" fontId="10" fillId="0" borderId="1" xfId="1" applyBorder="1"/>
    <xf numFmtId="0" fontId="42" fillId="0" borderId="1" xfId="1" applyFont="1" applyBorder="1"/>
    <xf numFmtId="2" fontId="42" fillId="11" borderId="13" xfId="1" applyNumberFormat="1" applyFont="1" applyFill="1" applyBorder="1" applyAlignment="1">
      <alignment horizontal="center" vertical="center"/>
    </xf>
    <xf numFmtId="2" fontId="42" fillId="11" borderId="11" xfId="1" applyNumberFormat="1" applyFont="1" applyFill="1" applyBorder="1" applyAlignment="1">
      <alignment horizontal="center" vertical="center"/>
    </xf>
    <xf numFmtId="2" fontId="42" fillId="11" borderId="0" xfId="1" applyNumberFormat="1" applyFont="1" applyFill="1" applyAlignment="1">
      <alignment horizontal="center" vertical="center"/>
    </xf>
    <xf numFmtId="2" fontId="42" fillId="11" borderId="14" xfId="1" applyNumberFormat="1" applyFont="1" applyFill="1" applyBorder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1" fontId="11" fillId="2" borderId="6" xfId="1" applyNumberFormat="1" applyFont="1" applyFill="1" applyBorder="1" applyAlignment="1">
      <alignment horizontal="center"/>
    </xf>
    <xf numFmtId="165" fontId="11" fillId="3" borderId="7" xfId="1" applyNumberFormat="1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165" fontId="11" fillId="2" borderId="8" xfId="1" applyNumberFormat="1" applyFont="1" applyFill="1" applyBorder="1" applyAlignment="1">
      <alignment horizontal="center"/>
    </xf>
    <xf numFmtId="11" fontId="42" fillId="2" borderId="1" xfId="1" applyNumberFormat="1" applyFont="1" applyFill="1" applyBorder="1" applyAlignment="1">
      <alignment horizontal="center"/>
    </xf>
    <xf numFmtId="1" fontId="11" fillId="2" borderId="30" xfId="1" applyNumberFormat="1" applyFont="1" applyFill="1" applyBorder="1" applyAlignment="1">
      <alignment horizontal="center"/>
    </xf>
    <xf numFmtId="165" fontId="11" fillId="3" borderId="29" xfId="1" applyNumberFormat="1" applyFont="1" applyFill="1" applyBorder="1" applyAlignment="1">
      <alignment horizontal="center"/>
    </xf>
    <xf numFmtId="165" fontId="11" fillId="2" borderId="29" xfId="1" applyNumberFormat="1" applyFont="1" applyFill="1" applyBorder="1" applyAlignment="1">
      <alignment horizontal="center"/>
    </xf>
    <xf numFmtId="165" fontId="11" fillId="2" borderId="31" xfId="1" applyNumberFormat="1" applyFont="1" applyFill="1" applyBorder="1" applyAlignment="1">
      <alignment horizontal="center"/>
    </xf>
    <xf numFmtId="0" fontId="42" fillId="2" borderId="0" xfId="1" applyFont="1" applyFill="1" applyAlignment="1">
      <alignment horizontal="center"/>
    </xf>
    <xf numFmtId="166" fontId="42" fillId="2" borderId="0" xfId="1" applyNumberFormat="1" applyFont="1" applyFill="1" applyAlignment="1">
      <alignment horizontal="center"/>
    </xf>
    <xf numFmtId="0" fontId="29" fillId="0" borderId="7" xfId="1" applyFont="1" applyBorder="1" applyAlignment="1">
      <alignment vertical="center"/>
    </xf>
    <xf numFmtId="172" fontId="23" fillId="2" borderId="1" xfId="1" applyNumberFormat="1" applyFont="1" applyFill="1" applyBorder="1" applyAlignment="1">
      <alignment horizontal="center"/>
    </xf>
    <xf numFmtId="2" fontId="29" fillId="0" borderId="7" xfId="1" applyNumberFormat="1" applyFont="1" applyBorder="1" applyAlignment="1">
      <alignment horizontal="center" vertical="center"/>
    </xf>
    <xf numFmtId="164" fontId="56" fillId="2" borderId="1" xfId="1" applyNumberFormat="1" applyFont="1" applyFill="1" applyBorder="1" applyAlignment="1">
      <alignment horizontal="center"/>
    </xf>
    <xf numFmtId="0" fontId="15" fillId="2" borderId="0" xfId="1" applyFont="1" applyFill="1" applyAlignment="1">
      <alignment vertical="center"/>
    </xf>
    <xf numFmtId="0" fontId="23" fillId="2" borderId="0" xfId="1" applyFont="1" applyFill="1"/>
    <xf numFmtId="166" fontId="41" fillId="2" borderId="1" xfId="1" applyNumberFormat="1" applyFont="1" applyFill="1" applyBorder="1" applyAlignment="1">
      <alignment horizontal="center"/>
    </xf>
    <xf numFmtId="0" fontId="55" fillId="2" borderId="0" xfId="1" applyFont="1" applyFill="1" applyAlignment="1">
      <alignment vertical="center"/>
    </xf>
    <xf numFmtId="2" fontId="35" fillId="2" borderId="1" xfId="1" applyNumberFormat="1" applyFont="1" applyFill="1" applyBorder="1" applyAlignment="1">
      <alignment horizontal="center"/>
    </xf>
    <xf numFmtId="2" fontId="42" fillId="2" borderId="5" xfId="1" applyNumberFormat="1" applyFont="1" applyFill="1" applyBorder="1" applyAlignment="1">
      <alignment horizontal="center"/>
    </xf>
    <xf numFmtId="0" fontId="42" fillId="11" borderId="24" xfId="1" applyFont="1" applyFill="1" applyBorder="1" applyAlignment="1" applyProtection="1">
      <alignment vertical="center"/>
      <protection locked="0"/>
    </xf>
    <xf numFmtId="0" fontId="42" fillId="11" borderId="12" xfId="1" applyFont="1" applyFill="1" applyBorder="1" applyAlignment="1" applyProtection="1">
      <alignment horizontal="center" vertical="center"/>
      <protection locked="0"/>
    </xf>
    <xf numFmtId="0" fontId="42" fillId="11" borderId="12" xfId="1" applyFont="1" applyFill="1" applyBorder="1" applyAlignment="1" applyProtection="1">
      <alignment vertical="center"/>
      <protection locked="0"/>
    </xf>
    <xf numFmtId="0" fontId="42" fillId="11" borderId="15" xfId="1" applyFont="1" applyFill="1" applyBorder="1" applyAlignment="1" applyProtection="1">
      <alignment vertical="center"/>
      <protection locked="0"/>
    </xf>
    <xf numFmtId="0" fontId="42" fillId="11" borderId="11" xfId="1" applyFont="1" applyFill="1" applyBorder="1" applyAlignment="1" applyProtection="1">
      <alignment vertical="center"/>
      <protection locked="0"/>
    </xf>
    <xf numFmtId="0" fontId="42" fillId="11" borderId="34" xfId="1" applyFont="1" applyFill="1" applyBorder="1" applyAlignment="1" applyProtection="1">
      <alignment horizontal="center" vertical="center"/>
      <protection locked="0"/>
    </xf>
    <xf numFmtId="0" fontId="42" fillId="11" borderId="35" xfId="1" applyFont="1" applyFill="1" applyBorder="1" applyAlignment="1" applyProtection="1">
      <alignment horizontal="center" vertical="center"/>
      <protection locked="0"/>
    </xf>
    <xf numFmtId="0" fontId="42" fillId="11" borderId="63" xfId="1" applyFont="1" applyFill="1" applyBorder="1" applyAlignment="1" applyProtection="1">
      <alignment horizontal="center" vertical="center"/>
      <protection locked="0"/>
    </xf>
    <xf numFmtId="0" fontId="42" fillId="11" borderId="6" xfId="1" applyFont="1" applyFill="1" applyBorder="1" applyAlignment="1" applyProtection="1">
      <alignment horizontal="center" vertical="center"/>
      <protection locked="0"/>
    </xf>
    <xf numFmtId="0" fontId="42" fillId="11" borderId="8" xfId="1" applyFont="1" applyFill="1" applyBorder="1" applyAlignment="1" applyProtection="1">
      <alignment horizontal="center" vertical="center"/>
      <protection locked="0"/>
    </xf>
    <xf numFmtId="0" fontId="42" fillId="11" borderId="62" xfId="1" applyFont="1" applyFill="1" applyBorder="1" applyAlignment="1" applyProtection="1">
      <alignment horizontal="center" vertical="center"/>
      <protection locked="0"/>
    </xf>
    <xf numFmtId="0" fontId="42" fillId="11" borderId="64" xfId="1" quotePrefix="1" applyFont="1" applyFill="1" applyBorder="1" applyAlignment="1" applyProtection="1">
      <alignment horizontal="center" vertical="center"/>
      <protection locked="0"/>
    </xf>
    <xf numFmtId="0" fontId="42" fillId="11" borderId="8" xfId="1" quotePrefix="1" applyFont="1" applyFill="1" applyBorder="1" applyAlignment="1" applyProtection="1">
      <alignment horizontal="center" vertical="center"/>
      <protection locked="0"/>
    </xf>
    <xf numFmtId="0" fontId="58" fillId="2" borderId="36" xfId="0" applyFont="1" applyFill="1" applyBorder="1"/>
    <xf numFmtId="0" fontId="68" fillId="0" borderId="7" xfId="0" applyFont="1" applyBorder="1" applyAlignment="1">
      <alignment horizontal="center" vertical="center"/>
    </xf>
    <xf numFmtId="178" fontId="10" fillId="0" borderId="7" xfId="0" applyNumberFormat="1" applyFont="1" applyBorder="1" applyAlignment="1">
      <alignment horizontal="center" vertical="center"/>
    </xf>
    <xf numFmtId="0" fontId="69" fillId="0" borderId="7" xfId="0" quotePrefix="1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178" fontId="68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68" fillId="0" borderId="7" xfId="0" quotePrefix="1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 wrapText="1"/>
    </xf>
    <xf numFmtId="0" fontId="68" fillId="0" borderId="13" xfId="0" applyFont="1" applyBorder="1" applyAlignment="1">
      <alignment horizontal="center" vertical="center" wrapText="1"/>
    </xf>
    <xf numFmtId="0" fontId="15" fillId="2" borderId="6" xfId="4" applyFont="1" applyFill="1" applyBorder="1" applyAlignment="1">
      <alignment horizontal="center" vertical="center"/>
    </xf>
    <xf numFmtId="0" fontId="15" fillId="2" borderId="7" xfId="4" applyFont="1" applyFill="1" applyBorder="1" applyAlignment="1">
      <alignment horizontal="center" vertical="center"/>
    </xf>
    <xf numFmtId="2" fontId="15" fillId="2" borderId="8" xfId="4" applyNumberFormat="1" applyFont="1" applyFill="1" applyBorder="1" applyAlignment="1">
      <alignment horizontal="center" vertical="center"/>
    </xf>
    <xf numFmtId="2" fontId="15" fillId="2" borderId="6" xfId="4" applyNumberFormat="1" applyFont="1" applyFill="1" applyBorder="1" applyAlignment="1">
      <alignment horizontal="center" vertical="center"/>
    </xf>
    <xf numFmtId="164" fontId="15" fillId="2" borderId="7" xfId="4" applyNumberFormat="1" applyFont="1" applyFill="1" applyBorder="1" applyAlignment="1">
      <alignment horizontal="center" vertical="center"/>
    </xf>
    <xf numFmtId="2" fontId="15" fillId="2" borderId="7" xfId="4" applyNumberFormat="1" applyFont="1" applyFill="1" applyBorder="1" applyAlignment="1">
      <alignment horizontal="center" vertical="center"/>
    </xf>
    <xf numFmtId="0" fontId="19" fillId="2" borderId="0" xfId="0" applyFont="1" applyFill="1" applyProtection="1">
      <protection hidden="1"/>
    </xf>
    <xf numFmtId="0" fontId="19" fillId="0" borderId="0" xfId="0" applyFont="1" applyAlignment="1" applyProtection="1">
      <alignment horizontal="right" vertical="center"/>
      <protection locked="0"/>
    </xf>
    <xf numFmtId="0" fontId="0" fillId="0" borderId="7" xfId="0" applyBorder="1"/>
    <xf numFmtId="0" fontId="24" fillId="0" borderId="0" xfId="0" applyFont="1"/>
    <xf numFmtId="2" fontId="58" fillId="2" borderId="0" xfId="0" applyNumberFormat="1" applyFont="1" applyFill="1" applyAlignment="1">
      <alignment horizontal="center" vertical="center"/>
    </xf>
    <xf numFmtId="0" fontId="59" fillId="2" borderId="0" xfId="0" applyFont="1" applyFill="1" applyAlignment="1">
      <alignment horizontal="left" vertical="center"/>
    </xf>
    <xf numFmtId="166" fontId="59" fillId="2" borderId="0" xfId="0" applyNumberFormat="1" applyFont="1" applyFill="1" applyAlignment="1">
      <alignment horizontal="center" vertical="center"/>
    </xf>
    <xf numFmtId="164" fontId="58" fillId="2" borderId="0" xfId="0" applyNumberFormat="1" applyFont="1" applyFill="1" applyAlignment="1">
      <alignment horizontal="left" vertical="center"/>
    </xf>
    <xf numFmtId="0" fontId="59" fillId="2" borderId="0" xfId="2" applyFont="1" applyFill="1" applyAlignment="1">
      <alignment vertical="center"/>
    </xf>
    <xf numFmtId="0" fontId="58" fillId="2" borderId="0" xfId="2" applyFont="1" applyFill="1" applyAlignment="1">
      <alignment vertical="center"/>
    </xf>
    <xf numFmtId="0" fontId="19" fillId="2" borderId="0" xfId="0" applyFont="1" applyFill="1" applyAlignment="1">
      <alignment vertical="center"/>
    </xf>
    <xf numFmtId="164" fontId="19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4" fillId="2" borderId="0" xfId="0" applyFont="1" applyFill="1" applyAlignment="1">
      <alignment horizontal="right"/>
    </xf>
    <xf numFmtId="0" fontId="10" fillId="0" borderId="0" xfId="5"/>
    <xf numFmtId="0" fontId="10" fillId="0" borderId="0" xfId="5" applyProtection="1">
      <protection locked="0"/>
    </xf>
    <xf numFmtId="0" fontId="73" fillId="0" borderId="0" xfId="5" applyFont="1" applyAlignment="1">
      <alignment horizontal="center" vertical="center" wrapText="1"/>
    </xf>
    <xf numFmtId="0" fontId="41" fillId="0" borderId="11" xfId="5" applyFont="1" applyBorder="1" applyAlignment="1">
      <alignment horizontal="left" vertical="top" wrapText="1"/>
    </xf>
    <xf numFmtId="0" fontId="41" fillId="0" borderId="15" xfId="5" applyFont="1" applyBorder="1" applyAlignment="1">
      <alignment horizontal="left" vertical="top" wrapText="1"/>
    </xf>
    <xf numFmtId="0" fontId="10" fillId="0" borderId="0" xfId="5" applyAlignment="1">
      <alignment horizontal="left" vertical="top"/>
    </xf>
    <xf numFmtId="0" fontId="41" fillId="0" borderId="15" xfId="5" applyFont="1" applyBorder="1" applyAlignment="1">
      <alignment horizontal="left" vertical="top"/>
    </xf>
    <xf numFmtId="0" fontId="41" fillId="0" borderId="0" xfId="5" applyFont="1" applyAlignment="1">
      <alignment vertical="center" wrapText="1"/>
    </xf>
    <xf numFmtId="0" fontId="41" fillId="0" borderId="0" xfId="5" applyFont="1" applyAlignment="1">
      <alignment horizontal="center" vertical="center" wrapText="1"/>
    </xf>
    <xf numFmtId="0" fontId="76" fillId="0" borderId="0" xfId="5" applyFont="1"/>
    <xf numFmtId="0" fontId="41" fillId="0" borderId="0" xfId="5" applyFont="1" applyAlignment="1" applyProtection="1">
      <alignment horizontal="center" vertical="center" wrapText="1"/>
      <protection locked="0"/>
    </xf>
    <xf numFmtId="1" fontId="41" fillId="0" borderId="0" xfId="5" quotePrefix="1" applyNumberFormat="1" applyFont="1" applyAlignment="1" applyProtection="1">
      <alignment horizontal="left"/>
      <protection locked="0"/>
    </xf>
    <xf numFmtId="0" fontId="41" fillId="0" borderId="0" xfId="5" applyFont="1" applyProtection="1">
      <protection locked="0"/>
    </xf>
    <xf numFmtId="1" fontId="74" fillId="0" borderId="0" xfId="5" quotePrefix="1" applyNumberFormat="1" applyFont="1" applyProtection="1">
      <protection locked="0"/>
    </xf>
    <xf numFmtId="0" fontId="76" fillId="0" borderId="0" xfId="5" applyFont="1" applyProtection="1">
      <protection locked="0"/>
    </xf>
    <xf numFmtId="179" fontId="41" fillId="0" borderId="0" xfId="5" quotePrefix="1" applyNumberFormat="1" applyFont="1" applyAlignment="1" applyProtection="1">
      <alignment horizontal="left"/>
      <protection locked="0"/>
    </xf>
    <xf numFmtId="2" fontId="74" fillId="0" borderId="0" xfId="5" quotePrefix="1" applyNumberFormat="1" applyFont="1" applyProtection="1">
      <protection locked="0"/>
    </xf>
    <xf numFmtId="0" fontId="10" fillId="0" borderId="0" xfId="5" applyAlignment="1">
      <alignment vertical="top" wrapText="1"/>
    </xf>
    <xf numFmtId="0" fontId="41" fillId="0" borderId="11" xfId="5" applyFont="1" applyBorder="1" applyAlignment="1">
      <alignment vertical="top"/>
    </xf>
    <xf numFmtId="0" fontId="41" fillId="0" borderId="15" xfId="5" applyFont="1" applyBorder="1" applyAlignment="1" applyProtection="1">
      <alignment vertical="top" wrapText="1"/>
      <protection locked="0"/>
    </xf>
    <xf numFmtId="0" fontId="41" fillId="0" borderId="15" xfId="5" applyFont="1" applyBorder="1" applyAlignment="1" applyProtection="1">
      <alignment vertical="top"/>
      <protection locked="0"/>
    </xf>
    <xf numFmtId="0" fontId="77" fillId="0" borderId="0" xfId="5" applyFont="1" applyAlignment="1">
      <alignment vertical="top"/>
    </xf>
    <xf numFmtId="0" fontId="41" fillId="0" borderId="0" xfId="5" applyFont="1" applyAlignment="1" applyProtection="1">
      <alignment horizontal="center" vertical="top" wrapText="1"/>
      <protection locked="0"/>
    </xf>
    <xf numFmtId="0" fontId="73" fillId="0" borderId="0" xfId="5" applyFont="1" applyAlignment="1">
      <alignment wrapText="1"/>
    </xf>
    <xf numFmtId="0" fontId="70" fillId="0" borderId="0" xfId="5" applyFont="1" applyAlignment="1">
      <alignment horizontal="center"/>
    </xf>
    <xf numFmtId="0" fontId="40" fillId="0" borderId="0" xfId="5" applyFont="1"/>
    <xf numFmtId="0" fontId="41" fillId="0" borderId="0" xfId="5" applyFont="1" applyAlignment="1">
      <alignment horizontal="center" vertical="top" wrapText="1"/>
    </xf>
    <xf numFmtId="0" fontId="41" fillId="0" borderId="0" xfId="5" applyFont="1" applyAlignment="1">
      <alignment vertical="top" wrapText="1"/>
    </xf>
    <xf numFmtId="0" fontId="41" fillId="0" borderId="0" xfId="5" applyFont="1" applyAlignment="1">
      <alignment horizontal="justify" vertical="center" wrapText="1"/>
    </xf>
    <xf numFmtId="0" fontId="78" fillId="0" borderId="0" xfId="5" applyFont="1" applyAlignment="1">
      <alignment vertical="center"/>
    </xf>
    <xf numFmtId="0" fontId="79" fillId="0" borderId="0" xfId="5" applyFont="1" applyAlignment="1">
      <alignment horizontal="right"/>
    </xf>
    <xf numFmtId="0" fontId="57" fillId="0" borderId="0" xfId="5" applyFont="1" applyAlignment="1">
      <alignment horizontal="left" vertical="center" wrapText="1"/>
    </xf>
    <xf numFmtId="0" fontId="10" fillId="0" borderId="0" xfId="5" applyAlignment="1">
      <alignment horizontal="center" vertical="center" wrapText="1"/>
    </xf>
    <xf numFmtId="17" fontId="10" fillId="0" borderId="0" xfId="5" applyNumberFormat="1" applyAlignment="1">
      <alignment horizontal="center" vertical="center"/>
    </xf>
    <xf numFmtId="0" fontId="10" fillId="0" borderId="0" xfId="5" applyAlignment="1">
      <alignment horizontal="center" vertical="center"/>
    </xf>
    <xf numFmtId="0" fontId="10" fillId="0" borderId="0" xfId="5" applyAlignment="1" applyProtection="1">
      <alignment horizontal="center" vertical="center" wrapText="1"/>
      <protection locked="0"/>
    </xf>
    <xf numFmtId="0" fontId="10" fillId="0" borderId="0" xfId="5" applyAlignment="1" applyProtection="1">
      <alignment horizontal="center" vertical="center"/>
      <protection locked="0"/>
    </xf>
    <xf numFmtId="0" fontId="10" fillId="0" borderId="0" xfId="5" applyAlignment="1">
      <alignment horizontal="left" vertical="center"/>
    </xf>
    <xf numFmtId="0" fontId="10" fillId="0" borderId="0" xfId="5" quotePrefix="1" applyAlignment="1" applyProtection="1">
      <alignment horizontal="center" vertical="center"/>
      <protection locked="0"/>
    </xf>
    <xf numFmtId="0" fontId="82" fillId="0" borderId="0" xfId="5" applyFont="1" applyAlignment="1">
      <alignment horizontal="left" vertical="center" wrapText="1"/>
    </xf>
    <xf numFmtId="0" fontId="82" fillId="0" borderId="0" xfId="5" applyFont="1"/>
    <xf numFmtId="0" fontId="82" fillId="0" borderId="0" xfId="5" applyFont="1" applyAlignment="1">
      <alignment vertical="top"/>
    </xf>
    <xf numFmtId="0" fontId="82" fillId="0" borderId="0" xfId="5" applyFont="1" applyAlignment="1">
      <alignment vertical="center"/>
    </xf>
    <xf numFmtId="0" fontId="82" fillId="0" borderId="7" xfId="5" applyFont="1" applyBorder="1" applyAlignment="1">
      <alignment horizontal="center" vertical="center"/>
    </xf>
    <xf numFmtId="0" fontId="82" fillId="0" borderId="7" xfId="5" quotePrefix="1" applyFont="1" applyBorder="1" applyAlignment="1">
      <alignment horizontal="center" vertical="center"/>
    </xf>
    <xf numFmtId="0" fontId="82" fillId="0" borderId="15" xfId="5" applyFont="1" applyBorder="1" applyAlignment="1">
      <alignment horizontal="center" vertical="center" wrapText="1"/>
    </xf>
    <xf numFmtId="0" fontId="82" fillId="0" borderId="7" xfId="5" applyFont="1" applyBorder="1" applyAlignment="1">
      <alignment horizontal="center" vertical="center" wrapText="1"/>
    </xf>
    <xf numFmtId="0" fontId="82" fillId="0" borderId="0" xfId="5" quotePrefix="1" applyFont="1" applyAlignment="1">
      <alignment vertical="center"/>
    </xf>
    <xf numFmtId="0" fontId="10" fillId="0" borderId="0" xfId="5" applyAlignment="1">
      <alignment horizontal="center"/>
    </xf>
    <xf numFmtId="0" fontId="82" fillId="0" borderId="0" xfId="5" applyFont="1" applyAlignment="1">
      <alignment horizontal="left" vertical="center"/>
    </xf>
    <xf numFmtId="0" fontId="82" fillId="0" borderId="0" xfId="5" applyFont="1" applyAlignment="1">
      <alignment horizontal="right" vertical="center"/>
    </xf>
    <xf numFmtId="178" fontId="82" fillId="0" borderId="0" xfId="5" applyNumberFormat="1" applyFont="1" applyAlignment="1">
      <alignment horizontal="left" vertical="center"/>
    </xf>
    <xf numFmtId="0" fontId="23" fillId="12" borderId="7" xfId="5" applyFont="1" applyFill="1" applyBorder="1"/>
    <xf numFmtId="0" fontId="23" fillId="12" borderId="11" xfId="5" applyFont="1" applyFill="1" applyBorder="1"/>
    <xf numFmtId="0" fontId="23" fillId="0" borderId="0" xfId="5" applyFont="1"/>
    <xf numFmtId="0" fontId="23" fillId="13" borderId="68" xfId="5" applyFont="1" applyFill="1" applyBorder="1"/>
    <xf numFmtId="0" fontId="84" fillId="0" borderId="7" xfId="5" applyFont="1" applyBorder="1"/>
    <xf numFmtId="0" fontId="84" fillId="0" borderId="7" xfId="5" applyFont="1" applyBorder="1" applyAlignment="1">
      <alignment horizontal="left"/>
    </xf>
    <xf numFmtId="0" fontId="10" fillId="0" borderId="68" xfId="5" applyBorder="1"/>
    <xf numFmtId="17" fontId="10" fillId="0" borderId="0" xfId="5" quotePrefix="1" applyNumberFormat="1"/>
    <xf numFmtId="0" fontId="84" fillId="0" borderId="0" xfId="5" applyFont="1"/>
    <xf numFmtId="0" fontId="84" fillId="0" borderId="0" xfId="5" applyFont="1" applyAlignment="1">
      <alignment horizontal="left"/>
    </xf>
    <xf numFmtId="0" fontId="10" fillId="0" borderId="0" xfId="5" quotePrefix="1"/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0" borderId="7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2" borderId="29" xfId="0" applyNumberFormat="1" applyFill="1" applyBorder="1" applyAlignment="1">
      <alignment vertical="center"/>
    </xf>
    <xf numFmtId="0" fontId="29" fillId="2" borderId="7" xfId="0" applyFont="1" applyFill="1" applyBorder="1"/>
    <xf numFmtId="0" fontId="58" fillId="2" borderId="7" xfId="0" applyFont="1" applyFill="1" applyBorder="1" applyAlignment="1" applyProtection="1">
      <alignment vertical="center"/>
      <protection locked="0"/>
    </xf>
    <xf numFmtId="0" fontId="58" fillId="2" borderId="0" xfId="0" applyFont="1" applyFill="1" applyAlignment="1" applyProtection="1">
      <alignment vertical="top"/>
      <protection locked="0"/>
    </xf>
    <xf numFmtId="0" fontId="59" fillId="2" borderId="7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164" fontId="10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59" fillId="2" borderId="16" xfId="0" applyFont="1" applyFill="1" applyBorder="1" applyAlignment="1">
      <alignment vertical="center"/>
    </xf>
    <xf numFmtId="164" fontId="59" fillId="2" borderId="0" xfId="0" applyNumberFormat="1" applyFont="1" applyFill="1" applyAlignment="1">
      <alignment vertical="center"/>
    </xf>
    <xf numFmtId="0" fontId="59" fillId="2" borderId="15" xfId="0" applyFont="1" applyFill="1" applyBorder="1" applyAlignment="1">
      <alignment horizontal="center" vertical="center" wrapText="1"/>
    </xf>
    <xf numFmtId="0" fontId="58" fillId="0" borderId="7" xfId="2" applyFont="1" applyBorder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2" fontId="58" fillId="2" borderId="0" xfId="0" applyNumberFormat="1" applyFont="1" applyFill="1" applyAlignment="1">
      <alignment horizontal="left" vertical="center"/>
    </xf>
    <xf numFmtId="0" fontId="17" fillId="0" borderId="0" xfId="0" applyFont="1"/>
    <xf numFmtId="2" fontId="19" fillId="8" borderId="7" xfId="0" applyNumberFormat="1" applyFont="1" applyFill="1" applyBorder="1" applyAlignment="1">
      <alignment vertical="center"/>
    </xf>
    <xf numFmtId="0" fontId="58" fillId="0" borderId="0" xfId="0" applyFont="1"/>
    <xf numFmtId="2" fontId="19" fillId="8" borderId="7" xfId="0" quotePrefix="1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0" fontId="19" fillId="0" borderId="7" xfId="0" applyFont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1" fontId="19" fillId="0" borderId="0" xfId="0" applyNumberFormat="1" applyFont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66" xfId="0" applyFont="1" applyBorder="1" applyAlignment="1">
      <alignment horizontal="center" vertical="center"/>
    </xf>
    <xf numFmtId="0" fontId="19" fillId="0" borderId="20" xfId="0" quotePrefix="1" applyFont="1" applyBorder="1" applyAlignment="1">
      <alignment horizontal="center" vertical="center"/>
    </xf>
    <xf numFmtId="0" fontId="19" fillId="0" borderId="2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1" fontId="67" fillId="0" borderId="49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9" fillId="0" borderId="67" xfId="0" applyFont="1" applyBorder="1" applyAlignment="1">
      <alignment horizontal="center" vertical="center"/>
    </xf>
    <xf numFmtId="0" fontId="19" fillId="0" borderId="4" xfId="0" quotePrefix="1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164" fontId="2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0" fillId="0" borderId="0" xfId="0" quotePrefix="1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0" borderId="0" xfId="5" applyFont="1" applyProtection="1">
      <protection locked="0"/>
    </xf>
    <xf numFmtId="0" fontId="10" fillId="0" borderId="19" xfId="5" applyBorder="1"/>
    <xf numFmtId="0" fontId="90" fillId="0" borderId="21" xfId="5" applyFont="1" applyBorder="1"/>
    <xf numFmtId="0" fontId="10" fillId="0" borderId="2" xfId="5" applyBorder="1"/>
    <xf numFmtId="0" fontId="10" fillId="0" borderId="1" xfId="5" applyBorder="1"/>
    <xf numFmtId="0" fontId="10" fillId="0" borderId="2" xfId="5" applyBorder="1" applyAlignment="1">
      <alignment wrapText="1"/>
    </xf>
    <xf numFmtId="0" fontId="10" fillId="0" borderId="1" xfId="5" applyBorder="1" applyAlignment="1">
      <alignment wrapText="1"/>
    </xf>
    <xf numFmtId="0" fontId="90" fillId="0" borderId="1" xfId="5" applyFont="1" applyBorder="1"/>
    <xf numFmtId="0" fontId="84" fillId="0" borderId="1" xfId="5" applyFont="1" applyBorder="1" applyAlignment="1">
      <alignment horizontal="left" wrapText="1"/>
    </xf>
    <xf numFmtId="0" fontId="84" fillId="0" borderId="2" xfId="5" applyFont="1" applyBorder="1" applyAlignment="1">
      <alignment wrapText="1"/>
    </xf>
    <xf numFmtId="178" fontId="84" fillId="0" borderId="1" xfId="5" applyNumberFormat="1" applyFont="1" applyBorder="1" applyAlignment="1">
      <alignment horizontal="left"/>
    </xf>
    <xf numFmtId="178" fontId="10" fillId="0" borderId="1" xfId="5" applyNumberFormat="1" applyBorder="1"/>
    <xf numFmtId="0" fontId="91" fillId="0" borderId="1" xfId="5" applyFont="1" applyBorder="1" applyAlignment="1">
      <alignment horizontal="left" wrapText="1"/>
    </xf>
    <xf numFmtId="0" fontId="84" fillId="0" borderId="1" xfId="5" applyFont="1" applyBorder="1" applyAlignment="1">
      <alignment wrapText="1"/>
    </xf>
    <xf numFmtId="0" fontId="84" fillId="0" borderId="2" xfId="5" applyFont="1" applyBorder="1"/>
    <xf numFmtId="0" fontId="84" fillId="0" borderId="3" xfId="5" applyFont="1" applyBorder="1"/>
    <xf numFmtId="0" fontId="84" fillId="0" borderId="5" xfId="5" applyFont="1" applyBorder="1" applyAlignment="1">
      <alignment wrapText="1"/>
    </xf>
    <xf numFmtId="0" fontId="2" fillId="0" borderId="0" xfId="5" applyFont="1" applyAlignment="1" applyProtection="1">
      <alignment horizontal="center" wrapText="1"/>
      <protection hidden="1"/>
    </xf>
    <xf numFmtId="1" fontId="58" fillId="2" borderId="0" xfId="0" applyNumberFormat="1" applyFont="1" applyFill="1" applyAlignment="1">
      <alignment horizontal="left" vertical="center"/>
    </xf>
    <xf numFmtId="168" fontId="92" fillId="2" borderId="0" xfId="0" applyNumberFormat="1" applyFont="1" applyFill="1" applyAlignment="1">
      <alignment horizontal="left" vertical="center"/>
    </xf>
    <xf numFmtId="165" fontId="58" fillId="2" borderId="0" xfId="0" applyNumberFormat="1" applyFont="1" applyFill="1" applyAlignment="1">
      <alignment horizontal="left" vertical="center"/>
    </xf>
    <xf numFmtId="0" fontId="59" fillId="2" borderId="16" xfId="0" applyFont="1" applyFill="1" applyBorder="1" applyAlignment="1">
      <alignment horizontal="center" vertical="center" wrapText="1"/>
    </xf>
    <xf numFmtId="182" fontId="58" fillId="2" borderId="0" xfId="0" applyNumberFormat="1" applyFont="1" applyFill="1" applyAlignment="1">
      <alignment horizontal="center" vertical="center"/>
    </xf>
    <xf numFmtId="166" fontId="63" fillId="2" borderId="0" xfId="0" applyNumberFormat="1" applyFont="1" applyFill="1" applyAlignment="1" applyProtection="1">
      <alignment horizontal="center" vertical="center"/>
      <protection locked="0"/>
    </xf>
    <xf numFmtId="176" fontId="63" fillId="2" borderId="0" xfId="0" applyNumberFormat="1" applyFont="1" applyFill="1" applyAlignment="1" applyProtection="1">
      <alignment horizontal="center" vertical="center"/>
      <protection locked="0"/>
    </xf>
    <xf numFmtId="176" fontId="63" fillId="2" borderId="0" xfId="0" applyNumberFormat="1" applyFont="1" applyFill="1" applyAlignment="1" applyProtection="1">
      <alignment vertical="center"/>
      <protection locked="0"/>
    </xf>
    <xf numFmtId="0" fontId="58" fillId="2" borderId="0" xfId="0" applyFont="1" applyFill="1" applyAlignment="1">
      <alignment vertical="center" wrapText="1"/>
    </xf>
    <xf numFmtId="0" fontId="58" fillId="2" borderId="12" xfId="0" applyFont="1" applyFill="1" applyBorder="1" applyAlignment="1">
      <alignment horizontal="center" vertical="center"/>
    </xf>
    <xf numFmtId="0" fontId="10" fillId="7" borderId="0" xfId="0" applyFont="1" applyFill="1" applyAlignment="1" applyProtection="1">
      <alignment vertical="center"/>
      <protection locked="0"/>
    </xf>
    <xf numFmtId="9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vertical="center"/>
    </xf>
    <xf numFmtId="0" fontId="10" fillId="0" borderId="0" xfId="0" quotePrefix="1" applyFont="1" applyAlignment="1">
      <alignment horizontal="center" vertical="center"/>
    </xf>
    <xf numFmtId="0" fontId="93" fillId="0" borderId="0" xfId="0" quotePrefix="1" applyFont="1" applyAlignment="1" applyProtection="1">
      <alignment vertical="center"/>
      <protection locked="0"/>
    </xf>
    <xf numFmtId="165" fontId="94" fillId="4" borderId="7" xfId="0" applyNumberFormat="1" applyFont="1" applyFill="1" applyBorder="1" applyAlignment="1" applyProtection="1">
      <alignment horizontal="center" vertical="center"/>
      <protection locked="0"/>
    </xf>
    <xf numFmtId="165" fontId="94" fillId="4" borderId="13" xfId="0" applyNumberFormat="1" applyFont="1" applyFill="1" applyBorder="1" applyAlignment="1" applyProtection="1">
      <alignment horizontal="center" vertical="center"/>
      <protection locked="0"/>
    </xf>
    <xf numFmtId="165" fontId="94" fillId="4" borderId="18" xfId="0" applyNumberFormat="1" applyFont="1" applyFill="1" applyBorder="1" applyAlignment="1" applyProtection="1">
      <alignment horizontal="center" vertical="center"/>
      <protection locked="0"/>
    </xf>
    <xf numFmtId="0" fontId="94" fillId="2" borderId="9" xfId="0" applyFont="1" applyFill="1" applyBorder="1" applyAlignment="1">
      <alignment horizontal="left" vertical="center"/>
    </xf>
    <xf numFmtId="165" fontId="94" fillId="4" borderId="11" xfId="0" quotePrefix="1" applyNumberFormat="1" applyFont="1" applyFill="1" applyBorder="1" applyAlignment="1" applyProtection="1">
      <alignment horizontal="right" vertical="center"/>
      <protection locked="0"/>
    </xf>
    <xf numFmtId="164" fontId="94" fillId="4" borderId="11" xfId="0" quotePrefix="1" applyNumberFormat="1" applyFont="1" applyFill="1" applyBorder="1" applyAlignment="1" applyProtection="1">
      <alignment horizontal="right" vertical="center"/>
      <protection locked="0"/>
    </xf>
    <xf numFmtId="0" fontId="45" fillId="0" borderId="7" xfId="0" quotePrefix="1" applyFont="1" applyBorder="1" applyAlignment="1">
      <alignment horizontal="center" vertical="center"/>
    </xf>
    <xf numFmtId="164" fontId="94" fillId="2" borderId="0" xfId="0" applyNumberFormat="1" applyFont="1" applyFill="1" applyAlignment="1" applyProtection="1">
      <alignment vertical="center"/>
      <protection locked="0"/>
    </xf>
    <xf numFmtId="165" fontId="94" fillId="2" borderId="0" xfId="0" applyNumberFormat="1" applyFont="1" applyFill="1" applyAlignment="1">
      <alignment horizontal="left" vertical="center"/>
    </xf>
    <xf numFmtId="0" fontId="94" fillId="2" borderId="0" xfId="0" applyFont="1" applyFill="1" applyAlignment="1">
      <alignment vertical="center"/>
    </xf>
    <xf numFmtId="0" fontId="58" fillId="2" borderId="15" xfId="0" applyFont="1" applyFill="1" applyBorder="1" applyAlignment="1">
      <alignment horizontal="left" vertical="center"/>
    </xf>
    <xf numFmtId="0" fontId="92" fillId="2" borderId="11" xfId="0" applyFont="1" applyFill="1" applyBorder="1" applyAlignment="1">
      <alignment horizontal="right" vertical="center"/>
    </xf>
    <xf numFmtId="0" fontId="2" fillId="0" borderId="7" xfId="0" applyFont="1" applyBorder="1" applyAlignment="1" applyProtection="1">
      <alignment horizontal="center" wrapText="1"/>
      <protection hidden="1"/>
    </xf>
    <xf numFmtId="0" fontId="29" fillId="2" borderId="16" xfId="0" applyFont="1" applyFill="1" applyBorder="1" applyAlignment="1" applyProtection="1">
      <alignment horizontal="left" vertical="top"/>
      <protection hidden="1"/>
    </xf>
    <xf numFmtId="0" fontId="29" fillId="5" borderId="7" xfId="0" applyFont="1" applyFill="1" applyBorder="1" applyAlignment="1" applyProtection="1">
      <alignment horizontal="left" vertical="top"/>
      <protection hidden="1"/>
    </xf>
    <xf numFmtId="0" fontId="58" fillId="0" borderId="7" xfId="1" applyFont="1" applyBorder="1" applyAlignment="1" applyProtection="1">
      <alignment horizontal="center" vertical="center"/>
      <protection locked="0"/>
    </xf>
    <xf numFmtId="0" fontId="94" fillId="4" borderId="0" xfId="0" applyFont="1" applyFill="1" applyAlignment="1" applyProtection="1">
      <alignment vertical="center"/>
      <protection locked="0"/>
    </xf>
    <xf numFmtId="164" fontId="10" fillId="2" borderId="0" xfId="0" applyNumberFormat="1" applyFont="1" applyFill="1" applyAlignment="1" applyProtection="1">
      <alignment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165" fontId="92" fillId="2" borderId="0" xfId="0" applyNumberFormat="1" applyFont="1" applyFill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65" fontId="58" fillId="2" borderId="7" xfId="0" applyNumberFormat="1" applyFont="1" applyFill="1" applyBorder="1" applyAlignment="1" applyProtection="1">
      <alignment horizontal="center" vertical="center"/>
      <protection locked="0"/>
    </xf>
    <xf numFmtId="172" fontId="15" fillId="2" borderId="7" xfId="4" applyNumberFormat="1" applyFont="1" applyFill="1" applyBorder="1" applyAlignment="1">
      <alignment horizontal="center" vertical="center"/>
    </xf>
    <xf numFmtId="165" fontId="58" fillId="4" borderId="7" xfId="0" applyNumberFormat="1" applyFont="1" applyFill="1" applyBorder="1" applyAlignment="1" applyProtection="1">
      <alignment horizontal="center" vertical="center"/>
      <protection locked="0"/>
    </xf>
    <xf numFmtId="165" fontId="94" fillId="4" borderId="7" xfId="0" applyNumberFormat="1" applyFont="1" applyFill="1" applyBorder="1" applyAlignment="1" applyProtection="1">
      <alignment horizontal="left" vertical="center"/>
      <protection locked="0"/>
    </xf>
    <xf numFmtId="165" fontId="58" fillId="2" borderId="15" xfId="0" applyNumberFormat="1" applyFont="1" applyFill="1" applyBorder="1" applyAlignment="1">
      <alignment horizontal="left" vertical="center"/>
    </xf>
    <xf numFmtId="165" fontId="94" fillId="2" borderId="11" xfId="0" applyNumberFormat="1" applyFont="1" applyFill="1" applyBorder="1" applyAlignment="1">
      <alignment horizontal="right" vertical="center"/>
    </xf>
    <xf numFmtId="165" fontId="94" fillId="2" borderId="15" xfId="0" applyNumberFormat="1" applyFont="1" applyFill="1" applyBorder="1" applyAlignment="1">
      <alignment horizontal="left" vertical="center"/>
    </xf>
    <xf numFmtId="165" fontId="94" fillId="2" borderId="7" xfId="0" applyNumberFormat="1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9" fillId="2" borderId="0" xfId="0" quotePrefix="1" applyFont="1" applyFill="1" applyAlignment="1">
      <alignment horizontal="center" vertical="center"/>
    </xf>
    <xf numFmtId="0" fontId="59" fillId="2" borderId="13" xfId="0" applyFont="1" applyFill="1" applyBorder="1" applyAlignment="1">
      <alignment horizontal="center" vertical="center" wrapText="1"/>
    </xf>
    <xf numFmtId="0" fontId="59" fillId="2" borderId="14" xfId="0" applyFont="1" applyFill="1" applyBorder="1" applyAlignment="1">
      <alignment horizontal="center" vertical="center" wrapText="1"/>
    </xf>
    <xf numFmtId="0" fontId="59" fillId="2" borderId="7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horizontal="center" vertical="center" wrapText="1"/>
    </xf>
    <xf numFmtId="0" fontId="59" fillId="2" borderId="11" xfId="0" applyFont="1" applyFill="1" applyBorder="1" applyAlignment="1">
      <alignment horizontal="center" vertical="center"/>
    </xf>
    <xf numFmtId="0" fontId="59" fillId="2" borderId="15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/>
    </xf>
    <xf numFmtId="0" fontId="59" fillId="2" borderId="14" xfId="0" applyFont="1" applyFill="1" applyBorder="1" applyAlignment="1">
      <alignment horizontal="center" vertical="center"/>
    </xf>
    <xf numFmtId="0" fontId="58" fillId="2" borderId="37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59" fillId="0" borderId="17" xfId="2" applyFont="1" applyBorder="1" applyAlignment="1">
      <alignment horizontal="center" vertical="center" wrapText="1"/>
    </xf>
    <xf numFmtId="0" fontId="59" fillId="0" borderId="22" xfId="2" applyFont="1" applyBorder="1" applyAlignment="1">
      <alignment horizontal="center" vertical="center" wrapText="1"/>
    </xf>
    <xf numFmtId="0" fontId="59" fillId="0" borderId="9" xfId="2" applyFont="1" applyBorder="1" applyAlignment="1">
      <alignment horizontal="center" vertical="center" wrapText="1"/>
    </xf>
    <xf numFmtId="0" fontId="59" fillId="0" borderId="23" xfId="2" applyFont="1" applyBorder="1" applyAlignment="1">
      <alignment horizontal="center" vertical="center" wrapText="1"/>
    </xf>
    <xf numFmtId="0" fontId="59" fillId="2" borderId="17" xfId="0" applyFont="1" applyFill="1" applyBorder="1" applyAlignment="1">
      <alignment horizontal="center" vertical="center"/>
    </xf>
    <xf numFmtId="0" fontId="59" fillId="2" borderId="18" xfId="0" applyFont="1" applyFill="1" applyBorder="1" applyAlignment="1">
      <alignment horizontal="center" vertical="center"/>
    </xf>
    <xf numFmtId="0" fontId="59" fillId="2" borderId="9" xfId="0" applyFont="1" applyFill="1" applyBorder="1" applyAlignment="1">
      <alignment horizontal="center" vertical="center"/>
    </xf>
    <xf numFmtId="0" fontId="59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58" fillId="2" borderId="11" xfId="0" applyNumberFormat="1" applyFont="1" applyFill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58" xfId="0" applyFont="1" applyBorder="1" applyAlignment="1">
      <alignment horizontal="center" vertical="center"/>
    </xf>
    <xf numFmtId="0" fontId="68" fillId="0" borderId="14" xfId="0" applyFont="1" applyBorder="1" applyAlignment="1">
      <alignment horizontal="center" vertical="center"/>
    </xf>
    <xf numFmtId="0" fontId="59" fillId="2" borderId="22" xfId="0" applyFont="1" applyFill="1" applyBorder="1" applyAlignment="1">
      <alignment horizontal="center" vertical="center"/>
    </xf>
    <xf numFmtId="0" fontId="59" fillId="2" borderId="23" xfId="0" applyFont="1" applyFill="1" applyBorder="1" applyAlignment="1">
      <alignment horizontal="center" vertical="center"/>
    </xf>
    <xf numFmtId="0" fontId="59" fillId="2" borderId="16" xfId="0" applyFont="1" applyFill="1" applyBorder="1" applyAlignment="1">
      <alignment horizontal="center" vertical="center"/>
    </xf>
    <xf numFmtId="0" fontId="59" fillId="2" borderId="59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9" fillId="2" borderId="17" xfId="0" applyFont="1" applyFill="1" applyBorder="1" applyAlignment="1">
      <alignment horizontal="center" vertical="center" wrapText="1"/>
    </xf>
    <xf numFmtId="0" fontId="59" fillId="2" borderId="9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59" fillId="2" borderId="11" xfId="0" applyFont="1" applyFill="1" applyBorder="1" applyAlignment="1">
      <alignment horizontal="center" vertical="center" wrapText="1"/>
    </xf>
    <xf numFmtId="0" fontId="59" fillId="2" borderId="22" xfId="0" applyFont="1" applyFill="1" applyBorder="1" applyAlignment="1">
      <alignment horizontal="center" vertical="center" wrapText="1"/>
    </xf>
    <xf numFmtId="0" fontId="59" fillId="2" borderId="23" xfId="0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/>
      <protection locked="0"/>
    </xf>
    <xf numFmtId="0" fontId="59" fillId="2" borderId="0" xfId="0" applyFont="1" applyFill="1" applyAlignment="1" applyProtection="1">
      <alignment horizontal="center" vertical="center"/>
      <protection locked="0"/>
    </xf>
    <xf numFmtId="0" fontId="58" fillId="2" borderId="0" xfId="0" applyFont="1" applyFill="1" applyAlignment="1" applyProtection="1">
      <alignment horizontal="left" vertical="top" wrapText="1"/>
      <protection locked="0"/>
    </xf>
    <xf numFmtId="0" fontId="32" fillId="2" borderId="0" xfId="0" applyFont="1" applyFill="1" applyAlignment="1" applyProtection="1">
      <alignment horizontal="center" vertical="center"/>
      <protection locked="0"/>
    </xf>
    <xf numFmtId="166" fontId="59" fillId="2" borderId="0" xfId="0" applyNumberFormat="1" applyFont="1" applyFill="1" applyAlignment="1" applyProtection="1">
      <alignment horizontal="center" vertical="center"/>
      <protection locked="0"/>
    </xf>
    <xf numFmtId="166" fontId="59" fillId="2" borderId="7" xfId="0" applyNumberFormat="1" applyFont="1" applyFill="1" applyBorder="1" applyAlignment="1" applyProtection="1">
      <alignment horizontal="center" vertical="center"/>
      <protection locked="0"/>
    </xf>
    <xf numFmtId="166" fontId="58" fillId="2" borderId="12" xfId="0" applyNumberFormat="1" applyFont="1" applyFill="1" applyBorder="1" applyAlignment="1" applyProtection="1">
      <alignment horizontal="left" vertical="center"/>
      <protection locked="0"/>
    </xf>
    <xf numFmtId="166" fontId="58" fillId="2" borderId="15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>
      <alignment horizontal="center"/>
    </xf>
    <xf numFmtId="0" fontId="94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>
      <alignment horizontal="center" vertical="center"/>
    </xf>
    <xf numFmtId="0" fontId="58" fillId="2" borderId="0" xfId="0" applyFont="1" applyFill="1" applyAlignment="1" applyProtection="1">
      <alignment horizontal="left" vertical="center"/>
      <protection locked="0"/>
    </xf>
    <xf numFmtId="0" fontId="58" fillId="2" borderId="0" xfId="0" applyFont="1" applyFill="1" applyAlignment="1">
      <alignment horizontal="center" vertical="center" wrapText="1"/>
    </xf>
    <xf numFmtId="0" fontId="94" fillId="0" borderId="0" xfId="0" applyFont="1" applyAlignment="1" applyProtection="1">
      <alignment horizontal="left" vertical="top"/>
      <protection locked="0"/>
    </xf>
    <xf numFmtId="0" fontId="94" fillId="2" borderId="0" xfId="0" applyFont="1" applyFill="1" applyAlignment="1" applyProtection="1">
      <alignment horizontal="left" vertical="center"/>
      <protection locked="0"/>
    </xf>
    <xf numFmtId="0" fontId="58" fillId="4" borderId="0" xfId="0" applyFont="1" applyFill="1" applyAlignment="1" applyProtection="1">
      <alignment horizontal="left" vertical="top"/>
      <protection locked="0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0" fontId="58" fillId="4" borderId="0" xfId="0" applyFont="1" applyFill="1" applyAlignment="1" applyProtection="1">
      <alignment horizontal="left" vertical="center"/>
      <protection locked="0"/>
    </xf>
    <xf numFmtId="0" fontId="58" fillId="2" borderId="0" xfId="0" applyFont="1" applyFill="1" applyAlignment="1">
      <alignment horizontal="left" vertical="center"/>
    </xf>
    <xf numFmtId="0" fontId="59" fillId="2" borderId="12" xfId="0" applyFont="1" applyFill="1" applyBorder="1" applyAlignment="1">
      <alignment horizontal="center" vertical="center"/>
    </xf>
    <xf numFmtId="0" fontId="58" fillId="4" borderId="0" xfId="0" quotePrefix="1" applyFont="1" applyFill="1" applyAlignment="1" applyProtection="1">
      <alignment horizontal="left" vertical="center"/>
      <protection locked="0"/>
    </xf>
    <xf numFmtId="0" fontId="58" fillId="2" borderId="0" xfId="0" applyFont="1" applyFill="1" applyAlignment="1">
      <alignment horizontal="left" vertical="top" wrapText="1"/>
    </xf>
    <xf numFmtId="0" fontId="59" fillId="2" borderId="16" xfId="0" applyFont="1" applyFill="1" applyBorder="1" applyAlignment="1">
      <alignment horizontal="center" vertical="center" wrapText="1"/>
    </xf>
    <xf numFmtId="0" fontId="59" fillId="2" borderId="59" xfId="0" applyFont="1" applyFill="1" applyBorder="1" applyAlignment="1">
      <alignment horizontal="center" vertical="center" wrapText="1"/>
    </xf>
    <xf numFmtId="165" fontId="94" fillId="2" borderId="0" xfId="0" applyNumberFormat="1" applyFont="1" applyFill="1" applyAlignment="1">
      <alignment horizontal="center" vertical="center"/>
    </xf>
    <xf numFmtId="165" fontId="94" fillId="2" borderId="11" xfId="0" applyNumberFormat="1" applyFont="1" applyFill="1" applyBorder="1" applyAlignment="1">
      <alignment horizontal="center" vertical="center"/>
    </xf>
    <xf numFmtId="165" fontId="94" fillId="2" borderId="15" xfId="0" applyNumberFormat="1" applyFont="1" applyFill="1" applyBorder="1" applyAlignment="1">
      <alignment horizontal="center" vertical="center"/>
    </xf>
    <xf numFmtId="0" fontId="58" fillId="2" borderId="11" xfId="0" applyFont="1" applyFill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166" fontId="59" fillId="2" borderId="0" xfId="0" applyNumberFormat="1" applyFont="1" applyFill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15" fillId="0" borderId="34" xfId="4" applyFont="1" applyBorder="1" applyAlignment="1">
      <alignment horizontal="center" vertical="center"/>
    </xf>
    <xf numFmtId="0" fontId="15" fillId="0" borderId="28" xfId="4" applyFont="1" applyBorder="1" applyAlignment="1">
      <alignment horizontal="center" vertical="center"/>
    </xf>
    <xf numFmtId="0" fontId="15" fillId="0" borderId="35" xfId="4" applyFont="1" applyBorder="1" applyAlignment="1">
      <alignment horizontal="center" vertical="center"/>
    </xf>
    <xf numFmtId="0" fontId="10" fillId="0" borderId="7" xfId="0" applyFont="1" applyBorder="1" applyAlignment="1" applyProtection="1">
      <alignment horizontal="left" vertical="center"/>
      <protection locked="0"/>
    </xf>
    <xf numFmtId="0" fontId="45" fillId="0" borderId="11" xfId="0" applyFont="1" applyBorder="1" applyAlignment="1">
      <alignment horizontal="left"/>
    </xf>
    <xf numFmtId="0" fontId="45" fillId="0" borderId="12" xfId="0" applyFont="1" applyBorder="1" applyAlignment="1">
      <alignment horizontal="left"/>
    </xf>
    <xf numFmtId="0" fontId="45" fillId="0" borderId="15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69" xfId="4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29" fillId="3" borderId="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45" fillId="0" borderId="7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29" fillId="2" borderId="7" xfId="0" applyFont="1" applyFill="1" applyBorder="1" applyAlignment="1">
      <alignment horizontal="center" vertical="top" wrapText="1"/>
    </xf>
    <xf numFmtId="0" fontId="48" fillId="2" borderId="24" xfId="1" applyFont="1" applyFill="1" applyBorder="1" applyAlignment="1">
      <alignment horizontal="left" vertical="center"/>
    </xf>
    <xf numFmtId="0" fontId="48" fillId="2" borderId="12" xfId="1" applyFont="1" applyFill="1" applyBorder="1" applyAlignment="1">
      <alignment horizontal="left" vertical="center"/>
    </xf>
    <xf numFmtId="0" fontId="48" fillId="2" borderId="15" xfId="1" applyFont="1" applyFill="1" applyBorder="1" applyAlignment="1">
      <alignment horizontal="left" vertical="center"/>
    </xf>
    <xf numFmtId="0" fontId="50" fillId="2" borderId="11" xfId="1" applyFont="1" applyFill="1" applyBorder="1" applyAlignment="1">
      <alignment horizontal="left" vertical="center"/>
    </xf>
    <xf numFmtId="0" fontId="50" fillId="2" borderId="12" xfId="1" applyFont="1" applyFill="1" applyBorder="1" applyAlignment="1">
      <alignment horizontal="left" vertical="center"/>
    </xf>
    <xf numFmtId="0" fontId="50" fillId="2" borderId="15" xfId="1" applyFont="1" applyFill="1" applyBorder="1" applyAlignment="1">
      <alignment horizontal="left" vertical="center"/>
    </xf>
    <xf numFmtId="0" fontId="48" fillId="2" borderId="25" xfId="1" applyFont="1" applyFill="1" applyBorder="1" applyAlignment="1">
      <alignment horizontal="left" vertical="center"/>
    </xf>
    <xf numFmtId="0" fontId="48" fillId="2" borderId="39" xfId="1" applyFont="1" applyFill="1" applyBorder="1" applyAlignment="1">
      <alignment horizontal="left" vertical="center"/>
    </xf>
    <xf numFmtId="0" fontId="48" fillId="2" borderId="40" xfId="1" applyFont="1" applyFill="1" applyBorder="1" applyAlignment="1">
      <alignment horizontal="left" vertical="center"/>
    </xf>
    <xf numFmtId="0" fontId="50" fillId="2" borderId="41" xfId="1" applyFont="1" applyFill="1" applyBorder="1" applyAlignment="1">
      <alignment horizontal="left" vertical="center"/>
    </xf>
    <xf numFmtId="0" fontId="50" fillId="2" borderId="39" xfId="1" applyFont="1" applyFill="1" applyBorder="1" applyAlignment="1">
      <alignment horizontal="left" vertical="center"/>
    </xf>
    <xf numFmtId="0" fontId="50" fillId="2" borderId="40" xfId="1" applyFont="1" applyFill="1" applyBorder="1" applyAlignment="1">
      <alignment horizontal="left" vertical="center"/>
    </xf>
    <xf numFmtId="0" fontId="46" fillId="3" borderId="42" xfId="0" applyFont="1" applyFill="1" applyBorder="1" applyAlignment="1">
      <alignment horizontal="center" vertical="center"/>
    </xf>
    <xf numFmtId="0" fontId="46" fillId="3" borderId="43" xfId="0" applyFont="1" applyFill="1" applyBorder="1" applyAlignment="1">
      <alignment horizontal="center" vertical="center"/>
    </xf>
    <xf numFmtId="0" fontId="46" fillId="3" borderId="44" xfId="0" applyFont="1" applyFill="1" applyBorder="1" applyAlignment="1">
      <alignment horizontal="center" vertical="center"/>
    </xf>
    <xf numFmtId="0" fontId="49" fillId="2" borderId="11" xfId="1" applyFont="1" applyFill="1" applyBorder="1" applyAlignment="1">
      <alignment horizontal="left" vertical="center"/>
    </xf>
    <xf numFmtId="0" fontId="49" fillId="2" borderId="12" xfId="1" applyFont="1" applyFill="1" applyBorder="1" applyAlignment="1">
      <alignment horizontal="left" vertical="center"/>
    </xf>
    <xf numFmtId="0" fontId="49" fillId="2" borderId="15" xfId="1" applyFont="1" applyFill="1" applyBorder="1" applyAlignment="1">
      <alignment horizontal="left" vertical="center"/>
    </xf>
    <xf numFmtId="0" fontId="48" fillId="2" borderId="6" xfId="1" applyFont="1" applyFill="1" applyBorder="1" applyAlignment="1">
      <alignment horizontal="left" vertical="center"/>
    </xf>
    <xf numFmtId="0" fontId="48" fillId="2" borderId="7" xfId="1" applyFont="1" applyFill="1" applyBorder="1" applyAlignment="1">
      <alignment horizontal="left" vertical="center"/>
    </xf>
    <xf numFmtId="0" fontId="51" fillId="2" borderId="11" xfId="1" applyFont="1" applyFill="1" applyBorder="1" applyAlignment="1">
      <alignment horizontal="left" vertical="center"/>
    </xf>
    <xf numFmtId="0" fontId="51" fillId="2" borderId="12" xfId="1" applyFont="1" applyFill="1" applyBorder="1" applyAlignment="1">
      <alignment horizontal="left" vertical="center"/>
    </xf>
    <xf numFmtId="0" fontId="51" fillId="2" borderId="15" xfId="1" applyFont="1" applyFill="1" applyBorder="1" applyAlignment="1">
      <alignment horizontal="left" vertical="center"/>
    </xf>
    <xf numFmtId="0" fontId="35" fillId="2" borderId="25" xfId="1" applyFont="1" applyFill="1" applyBorder="1" applyAlignment="1">
      <alignment horizontal="left" vertical="center"/>
    </xf>
    <xf numFmtId="0" fontId="35" fillId="2" borderId="39" xfId="1" applyFont="1" applyFill="1" applyBorder="1" applyAlignment="1">
      <alignment horizontal="left" vertical="center"/>
    </xf>
    <xf numFmtId="0" fontId="35" fillId="2" borderId="40" xfId="1" applyFont="1" applyFill="1" applyBorder="1" applyAlignment="1">
      <alignment horizontal="left" vertical="center"/>
    </xf>
    <xf numFmtId="0" fontId="23" fillId="2" borderId="41" xfId="1" applyFont="1" applyFill="1" applyBorder="1" applyAlignment="1">
      <alignment horizontal="left" vertical="center"/>
    </xf>
    <xf numFmtId="0" fontId="23" fillId="2" borderId="39" xfId="1" applyFont="1" applyFill="1" applyBorder="1" applyAlignment="1">
      <alignment horizontal="left" vertical="center"/>
    </xf>
    <xf numFmtId="0" fontId="23" fillId="2" borderId="40" xfId="1" applyFont="1" applyFill="1" applyBorder="1" applyAlignment="1">
      <alignment horizontal="left" vertical="center"/>
    </xf>
    <xf numFmtId="0" fontId="35" fillId="2" borderId="24" xfId="1" applyFont="1" applyFill="1" applyBorder="1" applyAlignment="1">
      <alignment horizontal="left" vertical="center"/>
    </xf>
    <xf numFmtId="0" fontId="35" fillId="2" borderId="12" xfId="1" applyFont="1" applyFill="1" applyBorder="1" applyAlignment="1">
      <alignment horizontal="left" vertical="center"/>
    </xf>
    <xf numFmtId="0" fontId="35" fillId="2" borderId="15" xfId="1" applyFont="1" applyFill="1" applyBorder="1" applyAlignment="1">
      <alignment horizontal="left" vertical="center"/>
    </xf>
    <xf numFmtId="0" fontId="36" fillId="2" borderId="11" xfId="1" applyFont="1" applyFill="1" applyBorder="1" applyAlignment="1">
      <alignment horizontal="left" vertical="center"/>
    </xf>
    <xf numFmtId="0" fontId="36" fillId="2" borderId="12" xfId="1" applyFont="1" applyFill="1" applyBorder="1" applyAlignment="1">
      <alignment horizontal="left" vertical="center"/>
    </xf>
    <xf numFmtId="0" fontId="36" fillId="2" borderId="15" xfId="1" applyFont="1" applyFill="1" applyBorder="1" applyAlignment="1">
      <alignment horizontal="left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35" fillId="2" borderId="6" xfId="1" applyFont="1" applyFill="1" applyBorder="1" applyAlignment="1">
      <alignment horizontal="left" vertical="center"/>
    </xf>
    <xf numFmtId="0" fontId="35" fillId="2" borderId="7" xfId="1" applyFont="1" applyFill="1" applyBorder="1" applyAlignment="1">
      <alignment horizontal="left" vertical="center"/>
    </xf>
    <xf numFmtId="0" fontId="37" fillId="2" borderId="11" xfId="1" applyFont="1" applyFill="1" applyBorder="1" applyAlignment="1">
      <alignment horizontal="left" vertical="center"/>
    </xf>
    <xf numFmtId="0" fontId="37" fillId="2" borderId="12" xfId="1" applyFont="1" applyFill="1" applyBorder="1" applyAlignment="1">
      <alignment horizontal="left" vertical="center"/>
    </xf>
    <xf numFmtId="0" fontId="37" fillId="2" borderId="15" xfId="1" applyFont="1" applyFill="1" applyBorder="1" applyAlignment="1">
      <alignment horizontal="left" vertical="center"/>
    </xf>
    <xf numFmtId="0" fontId="23" fillId="2" borderId="11" xfId="1" applyFont="1" applyFill="1" applyBorder="1" applyAlignment="1">
      <alignment horizontal="left" vertical="center"/>
    </xf>
    <xf numFmtId="0" fontId="23" fillId="2" borderId="12" xfId="1" applyFont="1" applyFill="1" applyBorder="1" applyAlignment="1">
      <alignment horizontal="left" vertical="center"/>
    </xf>
    <xf numFmtId="0" fontId="23" fillId="2" borderId="15" xfId="1" applyFont="1" applyFill="1" applyBorder="1" applyAlignment="1">
      <alignment horizontal="left" vertical="center"/>
    </xf>
    <xf numFmtId="0" fontId="23" fillId="0" borderId="0" xfId="5" applyFont="1" applyAlignment="1">
      <alignment horizontal="left" vertical="center" wrapText="1"/>
    </xf>
    <xf numFmtId="0" fontId="41" fillId="0" borderId="0" xfId="5" applyFont="1" applyAlignment="1">
      <alignment horizontal="left" vertical="center" wrapText="1"/>
    </xf>
    <xf numFmtId="178" fontId="41" fillId="0" borderId="0" xfId="5" applyNumberFormat="1" applyFont="1" applyAlignment="1">
      <alignment horizontal="left" vertical="top" wrapText="1"/>
    </xf>
    <xf numFmtId="0" fontId="41" fillId="0" borderId="0" xfId="5" applyFont="1" applyAlignment="1">
      <alignment horizontal="left" vertical="top" wrapText="1"/>
    </xf>
    <xf numFmtId="0" fontId="41" fillId="3" borderId="0" xfId="5" applyFont="1" applyFill="1" applyAlignment="1">
      <alignment horizontal="justify" vertical="center" wrapText="1"/>
    </xf>
    <xf numFmtId="181" fontId="41" fillId="0" borderId="0" xfId="5" applyNumberFormat="1" applyFont="1" applyAlignment="1">
      <alignment horizontal="left" vertical="center" wrapText="1"/>
    </xf>
    <xf numFmtId="0" fontId="41" fillId="0" borderId="11" xfId="5" applyFont="1" applyBorder="1" applyAlignment="1">
      <alignment horizontal="left" vertical="top" wrapText="1"/>
    </xf>
    <xf numFmtId="0" fontId="41" fillId="0" borderId="12" xfId="5" applyFont="1" applyBorder="1" applyAlignment="1">
      <alignment horizontal="left" vertical="top" wrapText="1"/>
    </xf>
    <xf numFmtId="0" fontId="74" fillId="0" borderId="0" xfId="5" applyFont="1" applyAlignment="1" applyProtection="1">
      <alignment horizontal="left"/>
      <protection locked="0"/>
    </xf>
    <xf numFmtId="0" fontId="76" fillId="0" borderId="0" xfId="5" applyFont="1" applyAlignment="1" applyProtection="1">
      <alignment horizontal="left" vertical="center" wrapText="1"/>
      <protection locked="0"/>
    </xf>
    <xf numFmtId="0" fontId="41" fillId="0" borderId="0" xfId="5" applyFont="1" applyAlignment="1" applyProtection="1">
      <alignment horizontal="left" vertical="top" wrapText="1"/>
      <protection locked="0"/>
    </xf>
    <xf numFmtId="0" fontId="41" fillId="0" borderId="0" xfId="5" applyFont="1" applyAlignment="1" applyProtection="1">
      <alignment horizontal="justify" vertical="top" wrapText="1"/>
      <protection locked="0"/>
    </xf>
    <xf numFmtId="180" fontId="74" fillId="0" borderId="0" xfId="5" quotePrefix="1" applyNumberFormat="1" applyFont="1" applyAlignment="1" applyProtection="1">
      <alignment horizontal="left" vertical="center"/>
      <protection locked="0"/>
    </xf>
    <xf numFmtId="180" fontId="74" fillId="0" borderId="0" xfId="5" applyNumberFormat="1" applyFont="1" applyAlignment="1" applyProtection="1">
      <alignment horizontal="left" vertical="center"/>
      <protection locked="0"/>
    </xf>
    <xf numFmtId="0" fontId="70" fillId="0" borderId="0" xfId="5" applyFont="1" applyAlignment="1">
      <alignment horizontal="center"/>
    </xf>
    <xf numFmtId="0" fontId="74" fillId="0" borderId="0" xfId="5" quotePrefix="1" applyFont="1" applyAlignment="1" applyProtection="1">
      <alignment horizontal="left"/>
      <protection locked="0"/>
    </xf>
    <xf numFmtId="0" fontId="76" fillId="0" borderId="0" xfId="5" quotePrefix="1" applyFont="1" applyAlignment="1" applyProtection="1">
      <alignment horizontal="left" vertical="center" wrapText="1"/>
      <protection locked="0"/>
    </xf>
    <xf numFmtId="11" fontId="74" fillId="0" borderId="0" xfId="5" quotePrefix="1" applyNumberFormat="1" applyFont="1" applyAlignment="1" applyProtection="1">
      <alignment horizontal="left"/>
      <protection locked="0"/>
    </xf>
    <xf numFmtId="0" fontId="41" fillId="0" borderId="0" xfId="5" applyFont="1" applyAlignment="1" applyProtection="1">
      <alignment horizontal="left" vertical="center" wrapText="1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178" fontId="74" fillId="0" borderId="0" xfId="5" quotePrefix="1" applyNumberFormat="1" applyFont="1" applyAlignment="1" applyProtection="1">
      <alignment horizontal="center" vertical="center"/>
      <protection locked="0"/>
    </xf>
    <xf numFmtId="178" fontId="74" fillId="0" borderId="0" xfId="5" applyNumberFormat="1" applyFont="1" applyAlignment="1" applyProtection="1">
      <alignment horizontal="center" vertical="center"/>
      <protection locked="0"/>
    </xf>
    <xf numFmtId="0" fontId="41" fillId="0" borderId="0" xfId="5" applyFont="1" applyAlignment="1">
      <alignment horizontal="center"/>
    </xf>
    <xf numFmtId="0" fontId="75" fillId="0" borderId="0" xfId="5" applyFont="1" applyAlignment="1">
      <alignment horizontal="right" vertical="center"/>
    </xf>
    <xf numFmtId="0" fontId="71" fillId="0" borderId="0" xfId="5" applyFont="1" applyAlignment="1">
      <alignment horizontal="center"/>
    </xf>
    <xf numFmtId="0" fontId="82" fillId="0" borderId="0" xfId="5" applyFont="1" applyAlignment="1">
      <alignment horizontal="left" vertical="center"/>
    </xf>
    <xf numFmtId="0" fontId="82" fillId="0" borderId="0" xfId="5" applyFont="1" applyAlignment="1">
      <alignment horizontal="center"/>
    </xf>
    <xf numFmtId="0" fontId="81" fillId="0" borderId="0" xfId="5" applyFont="1" applyAlignment="1">
      <alignment horizontal="center"/>
    </xf>
    <xf numFmtId="0" fontId="82" fillId="0" borderId="0" xfId="5" applyFont="1" applyAlignment="1">
      <alignment horizontal="left" vertical="center" wrapText="1"/>
    </xf>
    <xf numFmtId="0" fontId="76" fillId="0" borderId="0" xfId="5" quotePrefix="1" applyFont="1" applyAlignment="1" applyProtection="1">
      <alignment horizontal="center" vertical="center" wrapText="1"/>
      <protection locked="0"/>
    </xf>
    <xf numFmtId="11" fontId="74" fillId="0" borderId="0" xfId="5" quotePrefix="1" applyNumberFormat="1" applyFont="1" applyAlignment="1" applyProtection="1">
      <alignment horizontal="center" vertical="center"/>
      <protection locked="0"/>
    </xf>
    <xf numFmtId="0" fontId="74" fillId="0" borderId="0" xfId="5" applyFont="1" applyAlignment="1" applyProtection="1">
      <alignment horizontal="center" vertical="center"/>
      <protection locked="0"/>
    </xf>
    <xf numFmtId="0" fontId="82" fillId="0" borderId="11" xfId="5" applyFont="1" applyBorder="1" applyAlignment="1">
      <alignment horizontal="center" vertical="center"/>
    </xf>
    <xf numFmtId="0" fontId="82" fillId="0" borderId="15" xfId="5" applyFont="1" applyBorder="1" applyAlignment="1">
      <alignment horizontal="center" vertical="center"/>
    </xf>
    <xf numFmtId="0" fontId="82" fillId="0" borderId="11" xfId="5" applyFont="1" applyBorder="1" applyAlignment="1">
      <alignment horizontal="center" vertical="center" wrapText="1"/>
    </xf>
    <xf numFmtId="0" fontId="82" fillId="0" borderId="15" xfId="5" applyFont="1" applyBorder="1" applyAlignment="1">
      <alignment horizontal="center" vertical="center" wrapText="1"/>
    </xf>
    <xf numFmtId="0" fontId="57" fillId="0" borderId="0" xfId="5" applyFont="1" applyAlignment="1" applyProtection="1">
      <alignment horizontal="center" vertical="center"/>
      <protection locked="0"/>
    </xf>
    <xf numFmtId="0" fontId="80" fillId="0" borderId="0" xfId="5" applyFont="1" applyAlignment="1" applyProtection="1">
      <alignment horizontal="center" vertical="center"/>
      <protection locked="0"/>
    </xf>
    <xf numFmtId="180" fontId="74" fillId="0" borderId="0" xfId="5" quotePrefix="1" applyNumberFormat="1" applyFont="1" applyAlignment="1" applyProtection="1">
      <alignment horizontal="center" vertical="center"/>
      <protection locked="0"/>
    </xf>
    <xf numFmtId="180" fontId="74" fillId="0" borderId="0" xfId="5" applyNumberFormat="1" applyFont="1" applyAlignment="1" applyProtection="1">
      <alignment horizontal="center" vertical="center"/>
      <protection locked="0"/>
    </xf>
    <xf numFmtId="0" fontId="81" fillId="0" borderId="0" xfId="5" applyFont="1" applyAlignment="1">
      <alignment horizontal="center" vertical="center"/>
    </xf>
    <xf numFmtId="0" fontId="54" fillId="2" borderId="7" xfId="1" applyFont="1" applyFill="1" applyBorder="1" applyAlignment="1">
      <alignment horizontal="center" vertical="center"/>
    </xf>
    <xf numFmtId="0" fontId="15" fillId="2" borderId="42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2" borderId="44" xfId="1" applyFont="1" applyFill="1" applyBorder="1" applyAlignment="1">
      <alignment horizontal="center" vertical="center"/>
    </xf>
    <xf numFmtId="0" fontId="54" fillId="11" borderId="32" xfId="1" applyFont="1" applyFill="1" applyBorder="1" applyAlignment="1" applyProtection="1">
      <alignment horizontal="center" vertical="center"/>
      <protection locked="0"/>
    </xf>
    <xf numFmtId="0" fontId="54" fillId="11" borderId="60" xfId="1" applyFont="1" applyFill="1" applyBorder="1" applyAlignment="1" applyProtection="1">
      <alignment horizontal="center" vertical="center"/>
      <protection locked="0"/>
    </xf>
    <xf numFmtId="0" fontId="54" fillId="11" borderId="20" xfId="1" applyFont="1" applyFill="1" applyBorder="1" applyAlignment="1" applyProtection="1">
      <alignment horizontal="center" vertical="center"/>
      <protection locked="0"/>
    </xf>
    <xf numFmtId="0" fontId="54" fillId="11" borderId="61" xfId="1" applyFont="1" applyFill="1" applyBorder="1" applyAlignment="1" applyProtection="1">
      <alignment horizontal="center" vertical="center"/>
      <protection locked="0"/>
    </xf>
    <xf numFmtId="0" fontId="54" fillId="11" borderId="30" xfId="1" applyFont="1" applyFill="1" applyBorder="1" applyAlignment="1" applyProtection="1">
      <alignment horizontal="center" vertical="center"/>
      <protection locked="0"/>
    </xf>
    <xf numFmtId="0" fontId="54" fillId="11" borderId="29" xfId="1" applyFont="1" applyFill="1" applyBorder="1" applyAlignment="1" applyProtection="1">
      <alignment horizontal="center" vertical="center"/>
      <protection locked="0"/>
    </xf>
    <xf numFmtId="0" fontId="54" fillId="11" borderId="56" xfId="1" applyFont="1" applyFill="1" applyBorder="1" applyAlignment="1" applyProtection="1">
      <alignment horizontal="center" vertical="center"/>
      <protection locked="0"/>
    </xf>
    <xf numFmtId="0" fontId="54" fillId="11" borderId="31" xfId="1" applyFont="1" applyFill="1" applyBorder="1" applyAlignment="1" applyProtection="1">
      <alignment horizontal="center" vertical="center"/>
      <protection locked="0"/>
    </xf>
    <xf numFmtId="0" fontId="55" fillId="2" borderId="7" xfId="1" applyFont="1" applyFill="1" applyBorder="1" applyAlignment="1">
      <alignment horizontal="center" vertical="center"/>
    </xf>
    <xf numFmtId="0" fontId="55" fillId="2" borderId="8" xfId="1" applyFont="1" applyFill="1" applyBorder="1" applyAlignment="1">
      <alignment horizontal="center" vertical="center"/>
    </xf>
    <xf numFmtId="0" fontId="15" fillId="2" borderId="62" xfId="1" applyFont="1" applyFill="1" applyBorder="1" applyAlignment="1">
      <alignment horizontal="center" vertical="center" wrapText="1"/>
    </xf>
    <xf numFmtId="0" fontId="15" fillId="2" borderId="57" xfId="1" applyFont="1" applyFill="1" applyBorder="1" applyAlignment="1">
      <alignment horizontal="center" vertical="center" wrapText="1"/>
    </xf>
    <xf numFmtId="0" fontId="15" fillId="2" borderId="55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54" fillId="2" borderId="8" xfId="1" applyFont="1" applyFill="1" applyBorder="1" applyAlignment="1">
      <alignment horizontal="center" vertical="center" wrapText="1"/>
    </xf>
    <xf numFmtId="0" fontId="42" fillId="11" borderId="6" xfId="1" applyFont="1" applyFill="1" applyBorder="1" applyAlignment="1">
      <alignment horizontal="center" vertical="center"/>
    </xf>
    <xf numFmtId="0" fontId="42" fillId="11" borderId="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left" vertical="center" wrapText="1"/>
    </xf>
    <xf numFmtId="0" fontId="15" fillId="2" borderId="35" xfId="1" applyFont="1" applyFill="1" applyBorder="1" applyAlignment="1">
      <alignment horizontal="left" vertical="center" wrapText="1"/>
    </xf>
    <xf numFmtId="0" fontId="15" fillId="2" borderId="48" xfId="1" applyFont="1" applyFill="1" applyBorder="1" applyAlignment="1">
      <alignment horizontal="left" vertical="center" wrapText="1"/>
    </xf>
    <xf numFmtId="0" fontId="15" fillId="2" borderId="60" xfId="1" applyFont="1" applyFill="1" applyBorder="1" applyAlignment="1">
      <alignment horizontal="left" vertical="center" wrapText="1"/>
    </xf>
    <xf numFmtId="0" fontId="15" fillId="2" borderId="61" xfId="1" applyFont="1" applyFill="1" applyBorder="1" applyAlignment="1">
      <alignment horizontal="left" vertical="center" wrapText="1"/>
    </xf>
    <xf numFmtId="1" fontId="15" fillId="3" borderId="11" xfId="1" applyNumberFormat="1" applyFont="1" applyFill="1" applyBorder="1" applyAlignment="1">
      <alignment horizontal="center" vertical="center"/>
    </xf>
    <xf numFmtId="1" fontId="15" fillId="3" borderId="63" xfId="1" applyNumberFormat="1" applyFont="1" applyFill="1" applyBorder="1" applyAlignment="1">
      <alignment horizontal="center" vertical="center"/>
    </xf>
    <xf numFmtId="0" fontId="54" fillId="3" borderId="11" xfId="1" applyFont="1" applyFill="1" applyBorder="1" applyAlignment="1">
      <alignment horizontal="center" vertical="center"/>
    </xf>
    <xf numFmtId="0" fontId="54" fillId="3" borderId="63" xfId="1" applyFont="1" applyFill="1" applyBorder="1" applyAlignment="1">
      <alignment horizontal="center" vertical="center"/>
    </xf>
    <xf numFmtId="0" fontId="54" fillId="11" borderId="34" xfId="1" applyFont="1" applyFill="1" applyBorder="1" applyAlignment="1">
      <alignment horizontal="center" vertical="center"/>
    </xf>
    <xf numFmtId="0" fontId="54" fillId="11" borderId="6" xfId="1" applyFont="1" applyFill="1" applyBorder="1" applyAlignment="1">
      <alignment horizontal="center" vertical="center"/>
    </xf>
    <xf numFmtId="0" fontId="54" fillId="11" borderId="28" xfId="1" applyFont="1" applyFill="1" applyBorder="1" applyAlignment="1">
      <alignment horizontal="center" vertical="center" wrapText="1"/>
    </xf>
    <xf numFmtId="0" fontId="54" fillId="11" borderId="7" xfId="1" applyFont="1" applyFill="1" applyBorder="1" applyAlignment="1">
      <alignment horizontal="center" vertical="center" wrapText="1"/>
    </xf>
    <xf numFmtId="0" fontId="15" fillId="11" borderId="28" xfId="1" applyFont="1" applyFill="1" applyBorder="1" applyAlignment="1">
      <alignment horizontal="center" vertical="center"/>
    </xf>
    <xf numFmtId="0" fontId="54" fillId="11" borderId="28" xfId="1" applyFont="1" applyFill="1" applyBorder="1" applyAlignment="1">
      <alignment horizontal="center" vertical="center"/>
    </xf>
    <xf numFmtId="0" fontId="54" fillId="11" borderId="7" xfId="1" applyFont="1" applyFill="1" applyBorder="1" applyAlignment="1">
      <alignment horizontal="center" vertical="center"/>
    </xf>
    <xf numFmtId="1" fontId="15" fillId="3" borderId="28" xfId="1" applyNumberFormat="1" applyFont="1" applyFill="1" applyBorder="1" applyAlignment="1">
      <alignment horizontal="center" vertical="center"/>
    </xf>
    <xf numFmtId="1" fontId="15" fillId="3" borderId="35" xfId="1" applyNumberFormat="1" applyFont="1" applyFill="1" applyBorder="1" applyAlignment="1">
      <alignment horizontal="center" vertical="center"/>
    </xf>
    <xf numFmtId="0" fontId="55" fillId="11" borderId="7" xfId="1" applyFont="1" applyFill="1" applyBorder="1" applyAlignment="1">
      <alignment horizontal="center" vertical="center"/>
    </xf>
    <xf numFmtId="0" fontId="54" fillId="3" borderId="7" xfId="1" applyFont="1" applyFill="1" applyBorder="1" applyAlignment="1">
      <alignment horizontal="center" vertical="center"/>
    </xf>
    <xf numFmtId="0" fontId="54" fillId="3" borderId="8" xfId="1" applyFont="1" applyFill="1" applyBorder="1" applyAlignment="1">
      <alignment horizontal="center" vertical="center"/>
    </xf>
    <xf numFmtId="1" fontId="5" fillId="10" borderId="19" xfId="1" applyNumberFormat="1" applyFont="1" applyFill="1" applyBorder="1" applyAlignment="1" applyProtection="1">
      <alignment horizontal="center" vertical="center"/>
      <protection locked="0"/>
    </xf>
    <xf numFmtId="1" fontId="5" fillId="10" borderId="21" xfId="1" applyNumberFormat="1" applyFont="1" applyFill="1" applyBorder="1" applyAlignment="1" applyProtection="1">
      <alignment horizontal="center" vertical="center"/>
      <protection locked="0"/>
    </xf>
    <xf numFmtId="0" fontId="13" fillId="10" borderId="42" xfId="1" applyFont="1" applyFill="1" applyBorder="1" applyAlignment="1" applyProtection="1">
      <alignment horizontal="center" vertical="center"/>
      <protection locked="0"/>
    </xf>
    <xf numFmtId="0" fontId="13" fillId="10" borderId="50" xfId="1" applyFont="1" applyFill="1" applyBorder="1" applyAlignment="1" applyProtection="1">
      <alignment horizontal="center" vertical="center"/>
      <protection locked="0"/>
    </xf>
    <xf numFmtId="0" fontId="13" fillId="10" borderId="51" xfId="1" applyFont="1" applyFill="1" applyBorder="1" applyAlignment="1" applyProtection="1">
      <alignment horizontal="center" vertical="center"/>
      <protection locked="0"/>
    </xf>
    <xf numFmtId="0" fontId="13" fillId="10" borderId="43" xfId="1" applyFont="1" applyFill="1" applyBorder="1" applyAlignment="1" applyProtection="1">
      <alignment horizontal="center" vertical="center"/>
      <protection locked="0"/>
    </xf>
    <xf numFmtId="0" fontId="13" fillId="10" borderId="33" xfId="1" applyFont="1" applyFill="1" applyBorder="1" applyAlignment="1" applyProtection="1">
      <alignment horizontal="center" vertical="center"/>
      <protection locked="0"/>
    </xf>
    <xf numFmtId="0" fontId="13" fillId="10" borderId="53" xfId="1" applyFont="1" applyFill="1" applyBorder="1" applyAlignment="1" applyProtection="1">
      <alignment horizontal="center" vertical="center"/>
      <protection locked="0"/>
    </xf>
    <xf numFmtId="0" fontId="35" fillId="10" borderId="42" xfId="1" applyFont="1" applyFill="1" applyBorder="1" applyAlignment="1" applyProtection="1">
      <alignment horizontal="center" vertical="center"/>
      <protection locked="0"/>
    </xf>
    <xf numFmtId="0" fontId="35" fillId="10" borderId="50" xfId="1" applyFont="1" applyFill="1" applyBorder="1" applyAlignment="1" applyProtection="1">
      <alignment horizontal="center" vertical="center"/>
      <protection locked="0"/>
    </xf>
    <xf numFmtId="0" fontId="18" fillId="10" borderId="3" xfId="1" applyFont="1" applyFill="1" applyBorder="1" applyAlignment="1" applyProtection="1">
      <alignment horizontal="center" vertical="center"/>
      <protection locked="0"/>
    </xf>
    <xf numFmtId="0" fontId="35" fillId="10" borderId="54" xfId="1" applyFont="1" applyFill="1" applyBorder="1" applyAlignment="1" applyProtection="1">
      <alignment horizontal="center" vertical="center"/>
      <protection locked="0"/>
    </xf>
    <xf numFmtId="0" fontId="10" fillId="0" borderId="33" xfId="1" applyBorder="1" applyAlignment="1" applyProtection="1">
      <alignment horizontal="center" vertical="center"/>
      <protection locked="0"/>
    </xf>
    <xf numFmtId="0" fontId="10" fillId="0" borderId="49" xfId="1" applyBorder="1" applyAlignment="1" applyProtection="1">
      <alignment horizontal="center" vertical="center"/>
      <protection locked="0"/>
    </xf>
    <xf numFmtId="0" fontId="10" fillId="0" borderId="53" xfId="1" applyBorder="1" applyAlignment="1" applyProtection="1">
      <alignment horizontal="center" vertical="center"/>
      <protection locked="0"/>
    </xf>
    <xf numFmtId="0" fontId="15" fillId="10" borderId="19" xfId="1" applyFont="1" applyFill="1" applyBorder="1" applyAlignment="1" applyProtection="1">
      <alignment horizontal="center" vertical="center"/>
      <protection locked="0"/>
    </xf>
    <xf numFmtId="0" fontId="15" fillId="10" borderId="20" xfId="1" applyFont="1" applyFill="1" applyBorder="1" applyAlignment="1" applyProtection="1">
      <alignment horizontal="center" vertical="center"/>
      <protection locked="0"/>
    </xf>
    <xf numFmtId="0" fontId="15" fillId="10" borderId="21" xfId="1" applyFont="1" applyFill="1" applyBorder="1" applyAlignment="1" applyProtection="1">
      <alignment horizontal="center" vertical="center"/>
      <protection locked="0"/>
    </xf>
    <xf numFmtId="0" fontId="15" fillId="10" borderId="42" xfId="1" applyFont="1" applyFill="1" applyBorder="1" applyAlignment="1" applyProtection="1">
      <alignment horizontal="center" vertical="center"/>
      <protection locked="0"/>
    </xf>
    <xf numFmtId="0" fontId="15" fillId="10" borderId="43" xfId="1" applyFont="1" applyFill="1" applyBorder="1" applyAlignment="1" applyProtection="1">
      <alignment horizontal="center" vertical="center"/>
      <protection locked="0"/>
    </xf>
    <xf numFmtId="0" fontId="15" fillId="10" borderId="44" xfId="1" applyFont="1" applyFill="1" applyBorder="1" applyAlignment="1" applyProtection="1">
      <alignment horizontal="center" vertical="center"/>
      <protection locked="0"/>
    </xf>
    <xf numFmtId="0" fontId="35" fillId="10" borderId="7" xfId="1" applyFont="1" applyFill="1" applyBorder="1" applyAlignment="1" applyProtection="1">
      <alignment horizontal="center" vertical="center"/>
      <protection locked="0"/>
    </xf>
    <xf numFmtId="0" fontId="18" fillId="10" borderId="7" xfId="1" applyFont="1" applyFill="1" applyBorder="1" applyAlignment="1" applyProtection="1">
      <alignment horizontal="center" vertical="center"/>
      <protection locked="0"/>
    </xf>
    <xf numFmtId="0" fontId="10" fillId="0" borderId="19" xfId="1" applyBorder="1" applyAlignment="1" applyProtection="1">
      <alignment horizontal="center" vertical="center"/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0" fontId="10" fillId="0" borderId="3" xfId="1" applyBorder="1" applyAlignment="1" applyProtection="1">
      <alignment horizontal="center" vertical="center"/>
      <protection locked="0"/>
    </xf>
    <xf numFmtId="0" fontId="15" fillId="10" borderId="7" xfId="1" applyFont="1" applyFill="1" applyBorder="1" applyAlignment="1" applyProtection="1">
      <alignment horizontal="center" vertical="center"/>
      <protection locked="0"/>
    </xf>
    <xf numFmtId="1" fontId="5" fillId="10" borderId="7" xfId="1" applyNumberFormat="1" applyFont="1" applyFill="1" applyBorder="1" applyAlignment="1" applyProtection="1">
      <alignment horizontal="center" vertical="center"/>
      <protection locked="0"/>
    </xf>
    <xf numFmtId="0" fontId="13" fillId="10" borderId="7" xfId="1" applyFont="1" applyFill="1" applyBorder="1" applyAlignment="1" applyProtection="1">
      <alignment horizontal="center" vertical="center"/>
      <protection locked="0"/>
    </xf>
    <xf numFmtId="0" fontId="53" fillId="9" borderId="42" xfId="1" applyFont="1" applyFill="1" applyBorder="1" applyAlignment="1" applyProtection="1">
      <alignment horizontal="center" vertical="center"/>
      <protection locked="0"/>
    </xf>
    <xf numFmtId="0" fontId="53" fillId="9" borderId="20" xfId="1" applyFont="1" applyFill="1" applyBorder="1" applyAlignment="1" applyProtection="1">
      <alignment horizontal="center" vertical="center"/>
      <protection locked="0"/>
    </xf>
    <xf numFmtId="0" fontId="53" fillId="9" borderId="43" xfId="1" applyFont="1" applyFill="1" applyBorder="1" applyAlignment="1" applyProtection="1">
      <alignment horizontal="center" vertical="center"/>
      <protection locked="0"/>
    </xf>
    <xf numFmtId="0" fontId="53" fillId="9" borderId="21" xfId="1" applyFont="1" applyFill="1" applyBorder="1" applyAlignment="1" applyProtection="1">
      <alignment horizontal="center" vertical="center"/>
      <protection locked="0"/>
    </xf>
    <xf numFmtId="2" fontId="22" fillId="9" borderId="70" xfId="1" applyNumberFormat="1" applyFont="1" applyFill="1" applyBorder="1" applyAlignment="1">
      <alignment horizontal="center" vertical="center"/>
    </xf>
    <xf numFmtId="2" fontId="22" fillId="9" borderId="10" xfId="1" applyNumberFormat="1" applyFont="1" applyFill="1" applyBorder="1" applyAlignment="1">
      <alignment horizontal="center" vertical="center"/>
    </xf>
    <xf numFmtId="2" fontId="19" fillId="0" borderId="0" xfId="1" applyNumberFormat="1" applyFont="1"/>
    <xf numFmtId="2" fontId="19" fillId="2" borderId="7" xfId="1" applyNumberFormat="1" applyFont="1" applyFill="1" applyBorder="1" applyAlignment="1">
      <alignment horizontal="center" vertical="center" wrapText="1"/>
    </xf>
    <xf numFmtId="2" fontId="96" fillId="0" borderId="7" xfId="1" applyNumberFormat="1" applyFont="1" applyBorder="1" applyAlignment="1">
      <alignment horizontal="center" vertical="center"/>
    </xf>
    <xf numFmtId="2" fontId="19" fillId="0" borderId="7" xfId="1" applyNumberFormat="1" applyFont="1" applyBorder="1" applyAlignment="1">
      <alignment horizontal="center" vertical="center" wrapText="1"/>
    </xf>
    <xf numFmtId="2" fontId="97" fillId="0" borderId="7" xfId="1" applyNumberFormat="1" applyFont="1" applyBorder="1" applyAlignment="1">
      <alignment horizontal="center"/>
    </xf>
    <xf numFmtId="2" fontId="97" fillId="0" borderId="7" xfId="1" applyNumberFormat="1" applyFont="1" applyBorder="1" applyAlignment="1">
      <alignment horizontal="center" vertical="center"/>
    </xf>
    <xf numFmtId="2" fontId="97" fillId="0" borderId="7" xfId="1" applyNumberFormat="1" applyFont="1" applyBorder="1" applyAlignment="1">
      <alignment horizontal="center" vertical="center"/>
    </xf>
    <xf numFmtId="1" fontId="97" fillId="0" borderId="7" xfId="1" applyNumberFormat="1" applyFont="1" applyBorder="1" applyAlignment="1">
      <alignment horizontal="center" vertical="center"/>
    </xf>
    <xf numFmtId="2" fontId="97" fillId="0" borderId="7" xfId="1" quotePrefix="1" applyNumberFormat="1" applyFont="1" applyBorder="1" applyAlignment="1">
      <alignment horizontal="center" vertical="center"/>
    </xf>
    <xf numFmtId="2" fontId="97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/>
    <xf numFmtId="1" fontId="19" fillId="0" borderId="7" xfId="1" applyNumberFormat="1" applyFont="1" applyBorder="1" applyAlignment="1">
      <alignment horizontal="center" vertical="center"/>
    </xf>
    <xf numFmtId="183" fontId="19" fillId="0" borderId="7" xfId="1" applyNumberFormat="1" applyFont="1" applyBorder="1" applyAlignment="1">
      <alignment horizontal="center" vertical="center"/>
    </xf>
    <xf numFmtId="183" fontId="19" fillId="0" borderId="7" xfId="1" quotePrefix="1" applyNumberFormat="1" applyFont="1" applyBorder="1" applyAlignment="1">
      <alignment horizontal="center" vertical="center"/>
    </xf>
    <xf numFmtId="183" fontId="19" fillId="0" borderId="7" xfId="1" applyNumberFormat="1" applyFont="1" applyBorder="1" applyAlignment="1">
      <alignment horizontal="center"/>
    </xf>
    <xf numFmtId="2" fontId="19" fillId="0" borderId="7" xfId="1" applyNumberFormat="1" applyFont="1" applyBorder="1" applyAlignment="1">
      <alignment horizontal="center" vertical="center"/>
    </xf>
    <xf numFmtId="2" fontId="19" fillId="0" borderId="7" xfId="1" quotePrefix="1" applyNumberFormat="1" applyFont="1" applyBorder="1" applyAlignment="1">
      <alignment horizontal="center" vertical="center"/>
    </xf>
    <xf numFmtId="2" fontId="19" fillId="0" borderId="7" xfId="1" applyNumberFormat="1" applyFont="1" applyBorder="1" applyAlignment="1">
      <alignment horizontal="center"/>
    </xf>
    <xf numFmtId="2" fontId="19" fillId="2" borderId="0" xfId="1" applyNumberFormat="1" applyFont="1" applyFill="1" applyAlignment="1">
      <alignment horizontal="center" vertical="center"/>
    </xf>
    <xf numFmtId="2" fontId="19" fillId="2" borderId="0" xfId="1" quotePrefix="1" applyNumberFormat="1" applyFont="1" applyFill="1" applyAlignment="1">
      <alignment horizontal="center" vertical="center"/>
    </xf>
    <xf numFmtId="2" fontId="97" fillId="0" borderId="7" xfId="1" applyNumberFormat="1" applyFont="1" applyBorder="1" applyAlignment="1">
      <alignment horizontal="center" vertical="center" wrapText="1"/>
    </xf>
    <xf numFmtId="2" fontId="19" fillId="0" borderId="7" xfId="1" applyNumberFormat="1" applyFont="1" applyBorder="1"/>
    <xf numFmtId="164" fontId="19" fillId="0" borderId="7" xfId="1" quotePrefix="1" applyNumberFormat="1" applyFont="1" applyBorder="1" applyAlignment="1">
      <alignment horizontal="center" vertical="center"/>
    </xf>
    <xf numFmtId="2" fontId="19" fillId="2" borderId="2" xfId="1" applyNumberFormat="1" applyFont="1" applyFill="1" applyBorder="1"/>
    <xf numFmtId="2" fontId="19" fillId="0" borderId="1" xfId="1" applyNumberFormat="1" applyFont="1" applyBorder="1"/>
    <xf numFmtId="2" fontId="19" fillId="0" borderId="7" xfId="1" applyNumberFormat="1" applyFont="1" applyBorder="1" applyAlignment="1">
      <alignment horizontal="center" vertical="center"/>
    </xf>
    <xf numFmtId="2" fontId="19" fillId="0" borderId="13" xfId="1" applyNumberFormat="1" applyFont="1" applyBorder="1" applyAlignment="1">
      <alignment horizontal="center" vertical="center" wrapText="1"/>
    </xf>
    <xf numFmtId="2" fontId="19" fillId="0" borderId="58" xfId="1" applyNumberFormat="1" applyFont="1" applyBorder="1" applyAlignment="1">
      <alignment horizontal="center" vertical="center" wrapText="1"/>
    </xf>
    <xf numFmtId="2" fontId="19" fillId="0" borderId="14" xfId="1" applyNumberFormat="1" applyFont="1" applyBorder="1" applyAlignment="1">
      <alignment horizontal="center" vertical="center" wrapText="1"/>
    </xf>
    <xf numFmtId="2" fontId="19" fillId="0" borderId="14" xfId="1" applyNumberFormat="1" applyFont="1" applyBorder="1" applyAlignment="1">
      <alignment horizontal="center" vertical="center"/>
    </xf>
    <xf numFmtId="2" fontId="19" fillId="0" borderId="14" xfId="1" quotePrefix="1" applyNumberFormat="1" applyFont="1" applyBorder="1" applyAlignment="1">
      <alignment horizontal="center" vertical="center"/>
    </xf>
    <xf numFmtId="2" fontId="19" fillId="0" borderId="14" xfId="1" applyNumberFormat="1" applyFont="1" applyBorder="1" applyAlignment="1">
      <alignment horizontal="center"/>
    </xf>
    <xf numFmtId="2" fontId="19" fillId="2" borderId="2" xfId="1" applyNumberFormat="1" applyFont="1" applyFill="1" applyBorder="1" applyAlignment="1">
      <alignment horizontal="center" vertical="center" wrapText="1"/>
    </xf>
    <xf numFmtId="2" fontId="19" fillId="0" borderId="0" xfId="1" applyNumberFormat="1" applyFont="1" applyAlignment="1">
      <alignment horizontal="center" vertical="center"/>
    </xf>
    <xf numFmtId="2" fontId="19" fillId="0" borderId="0" xfId="1" quotePrefix="1" applyNumberFormat="1" applyFont="1" applyAlignment="1">
      <alignment horizontal="center" vertical="center"/>
    </xf>
    <xf numFmtId="2" fontId="19" fillId="0" borderId="0" xfId="1" applyNumberFormat="1" applyFont="1" applyAlignment="1">
      <alignment horizontal="center" vertical="center" wrapText="1"/>
    </xf>
    <xf numFmtId="2" fontId="19" fillId="0" borderId="0" xfId="1" applyNumberFormat="1" applyFont="1" applyAlignment="1">
      <alignment horizontal="right" vertical="center"/>
    </xf>
    <xf numFmtId="164" fontId="19" fillId="0" borderId="7" xfId="1" applyNumberFormat="1" applyFont="1" applyBorder="1" applyAlignment="1">
      <alignment horizontal="center" vertical="center"/>
    </xf>
    <xf numFmtId="164" fontId="19" fillId="0" borderId="7" xfId="1" applyNumberFormat="1" applyFont="1" applyBorder="1" applyAlignment="1">
      <alignment horizontal="center"/>
    </xf>
    <xf numFmtId="2" fontId="19" fillId="2" borderId="0" xfId="1" applyNumberFormat="1" applyFont="1" applyFill="1" applyAlignment="1">
      <alignment horizontal="center" vertical="center" wrapText="1"/>
    </xf>
    <xf numFmtId="2" fontId="19" fillId="0" borderId="0" xfId="1" applyNumberFormat="1" applyFont="1" applyAlignment="1">
      <alignment horizontal="center"/>
    </xf>
    <xf numFmtId="2" fontId="19" fillId="9" borderId="2" xfId="1" applyNumberFormat="1" applyFont="1" applyFill="1" applyBorder="1" applyAlignment="1">
      <alignment horizontal="center" vertical="center" wrapText="1"/>
    </xf>
    <xf numFmtId="2" fontId="19" fillId="9" borderId="0" xfId="1" applyNumberFormat="1" applyFont="1" applyFill="1" applyAlignment="1">
      <alignment horizontal="center" vertical="center" wrapText="1"/>
    </xf>
    <xf numFmtId="2" fontId="19" fillId="0" borderId="2" xfId="1" applyNumberFormat="1" applyFont="1" applyBorder="1"/>
    <xf numFmtId="2" fontId="19" fillId="14" borderId="7" xfId="1" applyNumberFormat="1" applyFont="1" applyFill="1" applyBorder="1" applyAlignment="1">
      <alignment horizontal="center" vertical="center"/>
    </xf>
    <xf numFmtId="2" fontId="96" fillId="14" borderId="7" xfId="1" applyNumberFormat="1" applyFont="1" applyFill="1" applyBorder="1" applyAlignment="1">
      <alignment horizontal="center" vertical="center" wrapText="1"/>
    </xf>
    <xf numFmtId="2" fontId="19" fillId="14" borderId="7" xfId="1" applyNumberFormat="1" applyFont="1" applyFill="1" applyBorder="1" applyAlignment="1">
      <alignment horizontal="center"/>
    </xf>
    <xf numFmtId="2" fontId="19" fillId="14" borderId="11" xfId="1" applyNumberFormat="1" applyFont="1" applyFill="1" applyBorder="1" applyAlignment="1">
      <alignment horizontal="center"/>
    </xf>
    <xf numFmtId="2" fontId="19" fillId="14" borderId="12" xfId="1" applyNumberFormat="1" applyFont="1" applyFill="1" applyBorder="1" applyAlignment="1">
      <alignment horizontal="center"/>
    </xf>
    <xf numFmtId="2" fontId="19" fillId="14" borderId="15" xfId="1" applyNumberFormat="1" applyFont="1" applyFill="1" applyBorder="1" applyAlignment="1">
      <alignment horizontal="center"/>
    </xf>
    <xf numFmtId="2" fontId="19" fillId="14" borderId="7" xfId="1" applyNumberFormat="1" applyFont="1" applyFill="1" applyBorder="1"/>
    <xf numFmtId="2" fontId="19" fillId="2" borderId="7" xfId="1" applyNumberFormat="1" applyFont="1" applyFill="1" applyBorder="1" applyAlignment="1">
      <alignment horizontal="center" vertical="center"/>
    </xf>
    <xf numFmtId="2" fontId="19" fillId="14" borderId="7" xfId="1" applyNumberFormat="1" applyFont="1" applyFill="1" applyBorder="1" applyAlignment="1">
      <alignment horizontal="center" vertical="center"/>
    </xf>
    <xf numFmtId="2" fontId="19" fillId="14" borderId="7" xfId="1" applyNumberFormat="1" applyFont="1" applyFill="1" applyBorder="1" applyAlignment="1">
      <alignment horizontal="center"/>
    </xf>
    <xf numFmtId="2" fontId="19" fillId="2" borderId="7" xfId="1" applyNumberFormat="1" applyFont="1" applyFill="1" applyBorder="1" applyAlignment="1">
      <alignment horizontal="center" vertical="center"/>
    </xf>
    <xf numFmtId="2" fontId="19" fillId="2" borderId="7" xfId="1" applyNumberFormat="1" applyFont="1" applyFill="1" applyBorder="1"/>
    <xf numFmtId="2" fontId="19" fillId="2" borderId="7" xfId="1" applyNumberFormat="1" applyFont="1" applyFill="1" applyBorder="1" applyAlignment="1">
      <alignment horizontal="center"/>
    </xf>
    <xf numFmtId="2" fontId="97" fillId="2" borderId="7" xfId="1" applyNumberFormat="1" applyFont="1" applyFill="1" applyBorder="1" applyAlignment="1">
      <alignment horizontal="center" vertical="center" wrapText="1"/>
    </xf>
    <xf numFmtId="2" fontId="97" fillId="14" borderId="7" xfId="1" applyNumberFormat="1" applyFont="1" applyFill="1" applyBorder="1" applyAlignment="1">
      <alignment horizontal="center" vertical="center"/>
    </xf>
    <xf numFmtId="2" fontId="19" fillId="14" borderId="7" xfId="1" applyNumberFormat="1" applyFont="1" applyFill="1" applyBorder="1" applyAlignment="1">
      <alignment horizontal="center" vertical="center" wrapText="1"/>
    </xf>
    <xf numFmtId="2" fontId="19" fillId="2" borderId="7" xfId="1" applyNumberFormat="1" applyFont="1" applyFill="1" applyBorder="1" applyAlignment="1">
      <alignment horizontal="center" vertical="center" wrapText="1"/>
    </xf>
    <xf numFmtId="2" fontId="96" fillId="2" borderId="7" xfId="1" applyNumberFormat="1" applyFont="1" applyFill="1" applyBorder="1" applyAlignment="1">
      <alignment horizontal="center" vertical="center"/>
    </xf>
    <xf numFmtId="2" fontId="96" fillId="2" borderId="7" xfId="1" applyNumberFormat="1" applyFont="1" applyFill="1" applyBorder="1" applyAlignment="1">
      <alignment horizontal="center" vertical="center" wrapText="1"/>
    </xf>
    <xf numFmtId="2" fontId="19" fillId="2" borderId="20" xfId="1" applyNumberFormat="1" applyFont="1" applyFill="1" applyBorder="1"/>
    <xf numFmtId="2" fontId="19" fillId="2" borderId="34" xfId="1" applyNumberFormat="1" applyFont="1" applyFill="1" applyBorder="1" applyAlignment="1">
      <alignment horizontal="center" vertical="center" wrapText="1"/>
    </xf>
    <xf numFmtId="2" fontId="19" fillId="2" borderId="26" xfId="1" applyNumberFormat="1" applyFont="1" applyFill="1" applyBorder="1" applyAlignment="1">
      <alignment horizontal="center" vertical="center" wrapText="1"/>
    </xf>
    <xf numFmtId="2" fontId="19" fillId="2" borderId="27" xfId="1" applyNumberFormat="1" applyFont="1" applyFill="1" applyBorder="1" applyAlignment="1">
      <alignment horizontal="center" vertical="center" wrapText="1"/>
    </xf>
    <xf numFmtId="164" fontId="19" fillId="2" borderId="7" xfId="1" applyNumberFormat="1" applyFont="1" applyFill="1" applyBorder="1" applyAlignment="1">
      <alignment horizontal="center" vertical="center"/>
    </xf>
    <xf numFmtId="2" fontId="19" fillId="2" borderId="6" xfId="1" applyNumberFormat="1" applyFont="1" applyFill="1" applyBorder="1" applyAlignment="1">
      <alignment horizontal="center" vertical="center" wrapText="1"/>
    </xf>
    <xf numFmtId="2" fontId="19" fillId="2" borderId="58" xfId="1" applyNumberFormat="1" applyFont="1" applyFill="1" applyBorder="1" applyAlignment="1">
      <alignment horizontal="center" vertical="center" wrapText="1"/>
    </xf>
    <xf numFmtId="2" fontId="19" fillId="2" borderId="47" xfId="1" applyNumberFormat="1" applyFont="1" applyFill="1" applyBorder="1" applyAlignment="1">
      <alignment horizontal="center" vertical="center" wrapText="1"/>
    </xf>
    <xf numFmtId="2" fontId="97" fillId="2" borderId="7" xfId="1" applyNumberFormat="1" applyFont="1" applyFill="1" applyBorder="1" applyAlignment="1">
      <alignment horizontal="center" vertical="center"/>
    </xf>
    <xf numFmtId="2" fontId="19" fillId="2" borderId="62" xfId="1" applyNumberFormat="1" applyFont="1" applyFill="1" applyBorder="1" applyAlignment="1">
      <alignment horizontal="center" vertical="center" wrapText="1"/>
    </xf>
    <xf numFmtId="2" fontId="19" fillId="2" borderId="56" xfId="1" applyNumberFormat="1" applyFont="1" applyFill="1" applyBorder="1" applyAlignment="1">
      <alignment horizontal="center" vertical="center" wrapText="1"/>
    </xf>
    <xf numFmtId="2" fontId="97" fillId="2" borderId="7" xfId="1" applyNumberFormat="1" applyFont="1" applyFill="1" applyBorder="1" applyAlignment="1">
      <alignment horizontal="center" vertical="center"/>
    </xf>
    <xf numFmtId="1" fontId="97" fillId="2" borderId="7" xfId="1" applyNumberFormat="1" applyFont="1" applyFill="1" applyBorder="1" applyAlignment="1">
      <alignment horizontal="center" vertical="center"/>
    </xf>
    <xf numFmtId="2" fontId="19" fillId="6" borderId="34" xfId="1" applyNumberFormat="1" applyFont="1" applyFill="1" applyBorder="1" applyAlignment="1">
      <alignment horizontal="center" vertical="center" wrapText="1"/>
    </xf>
    <xf numFmtId="2" fontId="19" fillId="2" borderId="48" xfId="1" applyNumberFormat="1" applyFont="1" applyFill="1" applyBorder="1" applyAlignment="1">
      <alignment horizontal="center" vertical="center"/>
    </xf>
    <xf numFmtId="1" fontId="19" fillId="2" borderId="7" xfId="1" applyNumberFormat="1" applyFont="1" applyFill="1" applyBorder="1" applyAlignment="1">
      <alignment horizontal="center" vertical="center"/>
    </xf>
    <xf numFmtId="183" fontId="19" fillId="2" borderId="7" xfId="1" applyNumberFormat="1" applyFont="1" applyFill="1" applyBorder="1" applyAlignment="1">
      <alignment horizontal="center" vertical="center"/>
    </xf>
    <xf numFmtId="164" fontId="19" fillId="2" borderId="7" xfId="1" applyNumberFormat="1" applyFont="1" applyFill="1" applyBorder="1" applyAlignment="1">
      <alignment horizontal="center" vertical="center" wrapText="1"/>
    </xf>
    <xf numFmtId="2" fontId="19" fillId="6" borderId="6" xfId="1" applyNumberFormat="1" applyFont="1" applyFill="1" applyBorder="1" applyAlignment="1">
      <alignment horizontal="center" vertical="center" wrapText="1"/>
    </xf>
    <xf numFmtId="2" fontId="19" fillId="2" borderId="0" xfId="1" applyNumberFormat="1" applyFont="1" applyFill="1" applyAlignment="1">
      <alignment vertical="center"/>
    </xf>
    <xf numFmtId="164" fontId="19" fillId="2" borderId="11" xfId="1" applyNumberFormat="1" applyFont="1" applyFill="1" applyBorder="1" applyAlignment="1">
      <alignment horizontal="center" vertical="center"/>
    </xf>
    <xf numFmtId="2" fontId="19" fillId="2" borderId="34" xfId="1" applyNumberFormat="1" applyFont="1" applyFill="1" applyBorder="1" applyAlignment="1">
      <alignment horizontal="center" vertical="center"/>
    </xf>
    <xf numFmtId="2" fontId="19" fillId="2" borderId="28" xfId="1" applyNumberFormat="1" applyFont="1" applyFill="1" applyBorder="1" applyAlignment="1">
      <alignment horizontal="center" vertical="center"/>
    </xf>
    <xf numFmtId="2" fontId="19" fillId="2" borderId="35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2" fontId="19" fillId="6" borderId="62" xfId="1" applyNumberFormat="1" applyFont="1" applyFill="1" applyBorder="1" applyAlignment="1">
      <alignment horizontal="center" vertical="center" wrapText="1"/>
    </xf>
    <xf numFmtId="2" fontId="19" fillId="2" borderId="17" xfId="1" applyNumberFormat="1" applyFont="1" applyFill="1" applyBorder="1" applyAlignment="1">
      <alignment horizontal="center" vertical="center"/>
    </xf>
    <xf numFmtId="2" fontId="19" fillId="2" borderId="6" xfId="1" applyNumberFormat="1" applyFont="1" applyFill="1" applyBorder="1" applyAlignment="1">
      <alignment horizontal="center" vertical="center"/>
    </xf>
    <xf numFmtId="2" fontId="19" fillId="0" borderId="8" xfId="1" applyNumberFormat="1" applyFont="1" applyBorder="1" applyAlignment="1">
      <alignment vertical="center"/>
    </xf>
    <xf numFmtId="2" fontId="19" fillId="6" borderId="30" xfId="1" applyNumberFormat="1" applyFont="1" applyFill="1" applyBorder="1" applyAlignment="1">
      <alignment horizontal="center" vertical="center" wrapText="1"/>
    </xf>
    <xf numFmtId="2" fontId="19" fillId="2" borderId="29" xfId="1" applyNumberFormat="1" applyFont="1" applyFill="1" applyBorder="1" applyAlignment="1">
      <alignment horizontal="center" vertical="center"/>
    </xf>
    <xf numFmtId="2" fontId="19" fillId="2" borderId="30" xfId="1" applyNumberFormat="1" applyFont="1" applyFill="1" applyBorder="1"/>
    <xf numFmtId="2" fontId="19" fillId="0" borderId="29" xfId="1" applyNumberFormat="1" applyFont="1" applyBorder="1" applyAlignment="1">
      <alignment horizontal="center" vertical="center"/>
    </xf>
    <xf numFmtId="2" fontId="19" fillId="0" borderId="31" xfId="1" applyNumberFormat="1" applyFont="1" applyBorder="1" applyAlignment="1">
      <alignment horizontal="center" vertical="center"/>
    </xf>
    <xf numFmtId="2" fontId="98" fillId="2" borderId="0" xfId="1" applyNumberFormat="1" applyFont="1" applyFill="1" applyAlignment="1">
      <alignment horizontal="center" vertical="center" wrapText="1"/>
    </xf>
    <xf numFmtId="2" fontId="98" fillId="2" borderId="0" xfId="1" applyNumberFormat="1" applyFont="1" applyFill="1" applyAlignment="1">
      <alignment horizontal="center" vertical="center"/>
    </xf>
    <xf numFmtId="2" fontId="98" fillId="2" borderId="1" xfId="1" applyNumberFormat="1" applyFont="1" applyFill="1" applyBorder="1" applyAlignment="1">
      <alignment horizontal="center" vertical="center"/>
    </xf>
    <xf numFmtId="2" fontId="19" fillId="2" borderId="32" xfId="1" applyNumberFormat="1" applyFont="1" applyFill="1" applyBorder="1" applyAlignment="1">
      <alignment horizontal="center" vertical="center"/>
    </xf>
    <xf numFmtId="2" fontId="19" fillId="2" borderId="60" xfId="1" applyNumberFormat="1" applyFont="1" applyFill="1" applyBorder="1" applyAlignment="1">
      <alignment horizontal="center" vertical="center"/>
    </xf>
    <xf numFmtId="2" fontId="19" fillId="2" borderId="61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 wrapText="1"/>
    </xf>
    <xf numFmtId="2" fontId="98" fillId="2" borderId="0" xfId="1" applyNumberFormat="1" applyFont="1" applyFill="1"/>
    <xf numFmtId="2" fontId="98" fillId="2" borderId="1" xfId="1" applyNumberFormat="1" applyFont="1" applyFill="1" applyBorder="1"/>
    <xf numFmtId="2" fontId="19" fillId="2" borderId="1" xfId="1" applyNumberFormat="1" applyFont="1" applyFill="1" applyBorder="1"/>
    <xf numFmtId="2" fontId="19" fillId="2" borderId="1" xfId="1" applyNumberFormat="1" applyFont="1" applyFill="1" applyBorder="1" applyAlignment="1">
      <alignment horizontal="center" vertical="center"/>
    </xf>
    <xf numFmtId="2" fontId="98" fillId="2" borderId="0" xfId="1" applyNumberFormat="1" applyFont="1" applyFill="1" applyAlignment="1">
      <alignment horizontal="center" vertical="center" wrapText="1"/>
    </xf>
    <xf numFmtId="0" fontId="19" fillId="14" borderId="24" xfId="1" applyFont="1" applyFill="1" applyBorder="1" applyAlignment="1">
      <alignment horizontal="center"/>
    </xf>
    <xf numFmtId="0" fontId="19" fillId="14" borderId="12" xfId="1" applyFont="1" applyFill="1" applyBorder="1" applyAlignment="1">
      <alignment horizontal="center"/>
    </xf>
    <xf numFmtId="2" fontId="19" fillId="0" borderId="32" xfId="1" applyNumberFormat="1" applyFont="1" applyBorder="1" applyAlignment="1">
      <alignment horizontal="center"/>
    </xf>
    <xf numFmtId="2" fontId="19" fillId="0" borderId="60" xfId="1" applyNumberFormat="1" applyFont="1" applyBorder="1" applyAlignment="1">
      <alignment horizontal="center"/>
    </xf>
    <xf numFmtId="2" fontId="19" fillId="0" borderId="61" xfId="1" applyNumberFormat="1" applyFont="1" applyBorder="1" applyAlignment="1">
      <alignment horizontal="center"/>
    </xf>
    <xf numFmtId="0" fontId="19" fillId="14" borderId="24" xfId="1" applyFont="1" applyFill="1" applyBorder="1"/>
    <xf numFmtId="0" fontId="19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vertical="center"/>
    </xf>
    <xf numFmtId="1" fontId="19" fillId="14" borderId="7" xfId="1" applyNumberFormat="1" applyFont="1" applyFill="1" applyBorder="1" applyAlignment="1">
      <alignment horizontal="center" vertical="center"/>
    </xf>
    <xf numFmtId="1" fontId="19" fillId="14" borderId="8" xfId="1" applyNumberFormat="1" applyFont="1" applyFill="1" applyBorder="1" applyAlignment="1">
      <alignment horizontal="center" vertical="center"/>
    </xf>
    <xf numFmtId="1" fontId="19" fillId="0" borderId="6" xfId="1" applyNumberFormat="1" applyFont="1" applyBorder="1" applyAlignment="1">
      <alignment horizontal="center" vertical="center"/>
    </xf>
    <xf numFmtId="2" fontId="19" fillId="0" borderId="11" xfId="1" applyNumberFormat="1" applyFont="1" applyBorder="1"/>
    <xf numFmtId="2" fontId="19" fillId="0" borderId="12" xfId="1" applyNumberFormat="1" applyFont="1" applyBorder="1"/>
    <xf numFmtId="2" fontId="19" fillId="0" borderId="63" xfId="1" applyNumberFormat="1" applyFont="1" applyBorder="1"/>
    <xf numFmtId="0" fontId="19" fillId="14" borderId="18" xfId="1" applyFont="1" applyFill="1" applyBorder="1" applyAlignment="1">
      <alignment horizontal="center" vertical="center"/>
    </xf>
    <xf numFmtId="0" fontId="19" fillId="14" borderId="18" xfId="1" applyFont="1" applyFill="1" applyBorder="1" applyAlignment="1">
      <alignment vertical="center"/>
    </xf>
    <xf numFmtId="1" fontId="19" fillId="14" borderId="71" xfId="1" applyNumberFormat="1" applyFont="1" applyFill="1" applyBorder="1" applyAlignment="1">
      <alignment horizontal="center"/>
    </xf>
    <xf numFmtId="1" fontId="19" fillId="14" borderId="18" xfId="1" applyNumberFormat="1" applyFont="1" applyFill="1" applyBorder="1" applyAlignment="1">
      <alignment horizontal="center"/>
    </xf>
    <xf numFmtId="0" fontId="19" fillId="6" borderId="3" xfId="1" applyFont="1" applyFill="1" applyBorder="1"/>
    <xf numFmtId="2" fontId="19" fillId="6" borderId="4" xfId="1" applyNumberFormat="1" applyFont="1" applyFill="1" applyBorder="1"/>
    <xf numFmtId="2" fontId="19" fillId="0" borderId="4" xfId="1" applyNumberFormat="1" applyFont="1" applyBorder="1"/>
    <xf numFmtId="2" fontId="19" fillId="0" borderId="5" xfId="1" applyNumberFormat="1" applyFont="1" applyBorder="1"/>
    <xf numFmtId="164" fontId="58" fillId="2" borderId="7" xfId="0" applyNumberFormat="1" applyFont="1" applyFill="1" applyBorder="1" applyAlignment="1">
      <alignment horizontal="center" vertical="center"/>
    </xf>
    <xf numFmtId="164" fontId="94" fillId="2" borderId="11" xfId="0" applyNumberFormat="1" applyFont="1" applyFill="1" applyBorder="1" applyAlignment="1">
      <alignment horizontal="right" vertic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0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0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0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20</xdr:row>
          <xdr:rowOff>0</xdr:rowOff>
        </xdr:from>
        <xdr:to>
          <xdr:col>9</xdr:col>
          <xdr:colOff>428625</xdr:colOff>
          <xdr:row>20</xdr:row>
          <xdr:rowOff>0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0" name="Object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0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0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3" name="Object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0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4" name="Object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0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5" name="Object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0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6" name="Object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0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7" name="Object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0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0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0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0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0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0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3" name="Object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0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4" name="Object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0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5" name="Object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0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0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7" name="Object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0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0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0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0" name="Object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0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1" name="Object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0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0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3" name="Object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0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4" name="Object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0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5" name="Object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0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6" name="Object 38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0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7" name="Object 39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0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8" name="Object 40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0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29" name="Object 41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0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0" name="Object 42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0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1" name="Object 43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0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2" name="Object 44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0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3" name="Object 45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0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0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0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0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0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8" name="Object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0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39" name="Object 51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0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0" name="Object 52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0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0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0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0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0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5" name="Object 57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0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6" name="Object 58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0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0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0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0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0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0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0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0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0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5" name="Object 67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0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6" name="Object 68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0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7" name="Object 69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0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8" name="Object 70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0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59" name="Object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0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0" name="Object 72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0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1" name="Object 73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0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2" name="Object 74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0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3" name="Object 75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0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4" name="Object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0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5" name="Object 77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0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6" name="Object 78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0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7" name="Object 79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0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8" name="Object 80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0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69" name="Object 81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0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0" name="Object 82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0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1" name="Object 83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0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2" name="Object 84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0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3" name="Object 85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0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4" name="Object 86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0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5" name="Object 87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0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428625</xdr:colOff>
          <xdr:row>72</xdr:row>
          <xdr:rowOff>0</xdr:rowOff>
        </xdr:from>
        <xdr:to>
          <xdr:col>9</xdr:col>
          <xdr:colOff>428625</xdr:colOff>
          <xdr:row>72</xdr:row>
          <xdr:rowOff>0</xdr:rowOff>
        </xdr:to>
        <xdr:sp macro="" textlink="">
          <xdr:nvSpPr>
            <xdr:cNvPr id="12376" name="Object 88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0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20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3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3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3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3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3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3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3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3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3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3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3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3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3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3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7" name="Object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3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8" name="Object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3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89" name="Object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3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0" name="Object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3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1" name="Object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3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2" name="Object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3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3" name="Object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3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4" name="Object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3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5" name="Object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3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6" name="Object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3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7" name="Object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3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8" name="Object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3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199" name="Object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3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0" name="Object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3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1" name="Object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3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2" name="Object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3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3" name="Object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3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4" name="Object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3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5" name="Object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3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6" name="Object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3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7" name="Object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3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8" name="Object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3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09" name="Object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3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0" name="Object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3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1" name="Object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3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2" name="Object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3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3" name="Object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3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4" name="Object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3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5" name="Object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3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6" name="Object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3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7" name="Object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3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8" name="Object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3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19" name="Object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3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0" name="Object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3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1" name="Object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3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2" name="Object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3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3" name="Object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3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4" name="Object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3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5" name="Object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3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6" name="Object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3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7" name="Object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3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8" name="Object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3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29" name="Object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3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30" name="Object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3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31" name="Object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3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68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6232" name="Object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3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2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2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2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5" name="Object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2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6" name="Object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2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2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2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89" name="Object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2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20490" name="Object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2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20</xdr:row>
          <xdr:rowOff>0</xdr:rowOff>
        </xdr:from>
        <xdr:to>
          <xdr:col>11</xdr:col>
          <xdr:colOff>419100</xdr:colOff>
          <xdr:row>20</xdr:row>
          <xdr:rowOff>0</xdr:rowOff>
        </xdr:to>
        <xdr:sp macro="" textlink="">
          <xdr:nvSpPr>
            <xdr:cNvPr id="20491" name="Object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2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2" name="Object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2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2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4" name="Object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2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5" name="Object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2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6" name="Object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2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7" name="Object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2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8" name="Object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2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499" name="Object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2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0" name="Object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2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1" name="Object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2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02" name="Object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2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3" name="Object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2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4" name="Object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2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5" name="Object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2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6" name="Object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2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7" name="Object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2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8" name="Object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2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09" name="Object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2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0" name="Object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2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1" name="Object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2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2" name="Object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2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13" name="Object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2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4" name="Object 34" hidden="1">
              <a:extLst>
                <a:ext uri="{63B3BB69-23CF-44E3-9099-C40C66FF867C}">
                  <a14:compatExt spid="_x0000_s20514"/>
                </a:ext>
                <a:ext uri="{FF2B5EF4-FFF2-40B4-BE49-F238E27FC236}">
                  <a16:creationId xmlns:a16="http://schemas.microsoft.com/office/drawing/2014/main" id="{00000000-0008-0000-0200-00002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5" name="Object 35" hidden="1">
              <a:extLst>
                <a:ext uri="{63B3BB69-23CF-44E3-9099-C40C66FF867C}">
                  <a14:compatExt spid="_x0000_s20515"/>
                </a:ext>
                <a:ext uri="{FF2B5EF4-FFF2-40B4-BE49-F238E27FC236}">
                  <a16:creationId xmlns:a16="http://schemas.microsoft.com/office/drawing/2014/main" id="{00000000-0008-0000-0200-00002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6" name="Object 36" hidden="1">
              <a:extLst>
                <a:ext uri="{63B3BB69-23CF-44E3-9099-C40C66FF867C}">
                  <a14:compatExt spid="_x0000_s20516"/>
                </a:ext>
                <a:ext uri="{FF2B5EF4-FFF2-40B4-BE49-F238E27FC236}">
                  <a16:creationId xmlns:a16="http://schemas.microsoft.com/office/drawing/2014/main" id="{00000000-0008-0000-0200-00002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7" name="Object 37" hidden="1">
              <a:extLst>
                <a:ext uri="{63B3BB69-23CF-44E3-9099-C40C66FF867C}">
                  <a14:compatExt spid="_x0000_s20517"/>
                </a:ext>
                <a:ext uri="{FF2B5EF4-FFF2-40B4-BE49-F238E27FC236}">
                  <a16:creationId xmlns:a16="http://schemas.microsoft.com/office/drawing/2014/main" id="{00000000-0008-0000-0200-00002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8" name="Object 38" hidden="1">
              <a:extLst>
                <a:ext uri="{63B3BB69-23CF-44E3-9099-C40C66FF867C}">
                  <a14:compatExt spid="_x0000_s20518"/>
                </a:ext>
                <a:ext uri="{FF2B5EF4-FFF2-40B4-BE49-F238E27FC236}">
                  <a16:creationId xmlns:a16="http://schemas.microsoft.com/office/drawing/2014/main" id="{00000000-0008-0000-0200-00002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19" name="Object 39" hidden="1">
              <a:extLst>
                <a:ext uri="{63B3BB69-23CF-44E3-9099-C40C66FF867C}">
                  <a14:compatExt spid="_x0000_s20519"/>
                </a:ext>
                <a:ext uri="{FF2B5EF4-FFF2-40B4-BE49-F238E27FC236}">
                  <a16:creationId xmlns:a16="http://schemas.microsoft.com/office/drawing/2014/main" id="{00000000-0008-0000-0200-00002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0" name="Object 40" hidden="1">
              <a:extLst>
                <a:ext uri="{63B3BB69-23CF-44E3-9099-C40C66FF867C}">
                  <a14:compatExt spid="_x0000_s20520"/>
                </a:ext>
                <a:ext uri="{FF2B5EF4-FFF2-40B4-BE49-F238E27FC236}">
                  <a16:creationId xmlns:a16="http://schemas.microsoft.com/office/drawing/2014/main" id="{00000000-0008-0000-0200-00002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1" name="Object 41" hidden="1">
              <a:extLst>
                <a:ext uri="{63B3BB69-23CF-44E3-9099-C40C66FF867C}">
                  <a14:compatExt spid="_x0000_s20521"/>
                </a:ext>
                <a:ext uri="{FF2B5EF4-FFF2-40B4-BE49-F238E27FC236}">
                  <a16:creationId xmlns:a16="http://schemas.microsoft.com/office/drawing/2014/main" id="{00000000-0008-0000-0200-00002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2" name="Object 42" hidden="1">
              <a:extLst>
                <a:ext uri="{63B3BB69-23CF-44E3-9099-C40C66FF867C}">
                  <a14:compatExt spid="_x0000_s20522"/>
                </a:ext>
                <a:ext uri="{FF2B5EF4-FFF2-40B4-BE49-F238E27FC236}">
                  <a16:creationId xmlns:a16="http://schemas.microsoft.com/office/drawing/2014/main" id="{00000000-0008-0000-0200-00002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3" name="Object 43" hidden="1">
              <a:extLst>
                <a:ext uri="{63B3BB69-23CF-44E3-9099-C40C66FF867C}">
                  <a14:compatExt spid="_x0000_s20523"/>
                </a:ext>
                <a:ext uri="{FF2B5EF4-FFF2-40B4-BE49-F238E27FC236}">
                  <a16:creationId xmlns:a16="http://schemas.microsoft.com/office/drawing/2014/main" id="{00000000-0008-0000-0200-00002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24" name="Object 44" hidden="1">
              <a:extLst>
                <a:ext uri="{63B3BB69-23CF-44E3-9099-C40C66FF867C}">
                  <a14:compatExt spid="_x0000_s20524"/>
                </a:ext>
                <a:ext uri="{FF2B5EF4-FFF2-40B4-BE49-F238E27FC236}">
                  <a16:creationId xmlns:a16="http://schemas.microsoft.com/office/drawing/2014/main" id="{00000000-0008-0000-0200-00002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5" name="Object 45" hidden="1">
              <a:extLst>
                <a:ext uri="{63B3BB69-23CF-44E3-9099-C40C66FF867C}">
                  <a14:compatExt spid="_x0000_s20525"/>
                </a:ext>
                <a:ext uri="{FF2B5EF4-FFF2-40B4-BE49-F238E27FC236}">
                  <a16:creationId xmlns:a16="http://schemas.microsoft.com/office/drawing/2014/main" id="{00000000-0008-0000-0200-00002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6" name="Object 46" hidden="1">
              <a:extLst>
                <a:ext uri="{63B3BB69-23CF-44E3-9099-C40C66FF867C}">
                  <a14:compatExt spid="_x0000_s20526"/>
                </a:ext>
                <a:ext uri="{FF2B5EF4-FFF2-40B4-BE49-F238E27FC236}">
                  <a16:creationId xmlns:a16="http://schemas.microsoft.com/office/drawing/2014/main" id="{00000000-0008-0000-0200-00002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7" name="Object 47" hidden="1">
              <a:extLst>
                <a:ext uri="{63B3BB69-23CF-44E3-9099-C40C66FF867C}">
                  <a14:compatExt spid="_x0000_s20527"/>
                </a:ext>
                <a:ext uri="{FF2B5EF4-FFF2-40B4-BE49-F238E27FC236}">
                  <a16:creationId xmlns:a16="http://schemas.microsoft.com/office/drawing/2014/main" id="{00000000-0008-0000-0200-00002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8" name="Object 48" hidden="1">
              <a:extLst>
                <a:ext uri="{63B3BB69-23CF-44E3-9099-C40C66FF867C}">
                  <a14:compatExt spid="_x0000_s20528"/>
                </a:ext>
                <a:ext uri="{FF2B5EF4-FFF2-40B4-BE49-F238E27FC236}">
                  <a16:creationId xmlns:a16="http://schemas.microsoft.com/office/drawing/2014/main" id="{00000000-0008-0000-0200-00003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29" name="Object 49" hidden="1">
              <a:extLst>
                <a:ext uri="{63B3BB69-23CF-44E3-9099-C40C66FF867C}">
                  <a14:compatExt spid="_x0000_s20529"/>
                </a:ext>
                <a:ext uri="{FF2B5EF4-FFF2-40B4-BE49-F238E27FC236}">
                  <a16:creationId xmlns:a16="http://schemas.microsoft.com/office/drawing/2014/main" id="{00000000-0008-0000-0200-00003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0" name="Object 50" hidden="1">
              <a:extLst>
                <a:ext uri="{63B3BB69-23CF-44E3-9099-C40C66FF867C}">
                  <a14:compatExt spid="_x0000_s20530"/>
                </a:ext>
                <a:ext uri="{FF2B5EF4-FFF2-40B4-BE49-F238E27FC236}">
                  <a16:creationId xmlns:a16="http://schemas.microsoft.com/office/drawing/2014/main" id="{00000000-0008-0000-0200-00003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1" name="Object 51" hidden="1">
              <a:extLst>
                <a:ext uri="{63B3BB69-23CF-44E3-9099-C40C66FF867C}">
                  <a14:compatExt spid="_x0000_s20531"/>
                </a:ext>
                <a:ext uri="{FF2B5EF4-FFF2-40B4-BE49-F238E27FC236}">
                  <a16:creationId xmlns:a16="http://schemas.microsoft.com/office/drawing/2014/main" id="{00000000-0008-0000-0200-00003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2" name="Object 52" hidden="1">
              <a:extLst>
                <a:ext uri="{63B3BB69-23CF-44E3-9099-C40C66FF867C}">
                  <a14:compatExt spid="_x0000_s20532"/>
                </a:ext>
                <a:ext uri="{FF2B5EF4-FFF2-40B4-BE49-F238E27FC236}">
                  <a16:creationId xmlns:a16="http://schemas.microsoft.com/office/drawing/2014/main" id="{00000000-0008-0000-0200-00003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3" name="Object 53" hidden="1">
              <a:extLst>
                <a:ext uri="{63B3BB69-23CF-44E3-9099-C40C66FF867C}">
                  <a14:compatExt spid="_x0000_s20533"/>
                </a:ext>
                <a:ext uri="{FF2B5EF4-FFF2-40B4-BE49-F238E27FC236}">
                  <a16:creationId xmlns:a16="http://schemas.microsoft.com/office/drawing/2014/main" id="{00000000-0008-0000-0200-00003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4" name="Object 54" hidden="1">
              <a:extLst>
                <a:ext uri="{63B3BB69-23CF-44E3-9099-C40C66FF867C}">
                  <a14:compatExt spid="_x0000_s20534"/>
                </a:ext>
                <a:ext uri="{FF2B5EF4-FFF2-40B4-BE49-F238E27FC236}">
                  <a16:creationId xmlns:a16="http://schemas.microsoft.com/office/drawing/2014/main" id="{00000000-0008-0000-0200-00003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35" name="Object 55" hidden="1">
              <a:extLst>
                <a:ext uri="{63B3BB69-23CF-44E3-9099-C40C66FF867C}">
                  <a14:compatExt spid="_x0000_s20535"/>
                </a:ext>
                <a:ext uri="{FF2B5EF4-FFF2-40B4-BE49-F238E27FC236}">
                  <a16:creationId xmlns:a16="http://schemas.microsoft.com/office/drawing/2014/main" id="{00000000-0008-0000-0200-00003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6" name="Object 56" hidden="1">
              <a:extLst>
                <a:ext uri="{63B3BB69-23CF-44E3-9099-C40C66FF867C}">
                  <a14:compatExt spid="_x0000_s20536"/>
                </a:ext>
                <a:ext uri="{FF2B5EF4-FFF2-40B4-BE49-F238E27FC236}">
                  <a16:creationId xmlns:a16="http://schemas.microsoft.com/office/drawing/2014/main" id="{00000000-0008-0000-0200-00003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7" name="Object 57" hidden="1">
              <a:extLst>
                <a:ext uri="{63B3BB69-23CF-44E3-9099-C40C66FF867C}">
                  <a14:compatExt spid="_x0000_s20537"/>
                </a:ext>
                <a:ext uri="{FF2B5EF4-FFF2-40B4-BE49-F238E27FC236}">
                  <a16:creationId xmlns:a16="http://schemas.microsoft.com/office/drawing/2014/main" id="{00000000-0008-0000-0200-00003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8" name="Object 58" hidden="1">
              <a:extLst>
                <a:ext uri="{63B3BB69-23CF-44E3-9099-C40C66FF867C}">
                  <a14:compatExt spid="_x0000_s20538"/>
                </a:ext>
                <a:ext uri="{FF2B5EF4-FFF2-40B4-BE49-F238E27FC236}">
                  <a16:creationId xmlns:a16="http://schemas.microsoft.com/office/drawing/2014/main" id="{00000000-0008-0000-0200-00003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39" name="Object 59" hidden="1">
              <a:extLst>
                <a:ext uri="{63B3BB69-23CF-44E3-9099-C40C66FF867C}">
                  <a14:compatExt spid="_x0000_s20539"/>
                </a:ext>
                <a:ext uri="{FF2B5EF4-FFF2-40B4-BE49-F238E27FC236}">
                  <a16:creationId xmlns:a16="http://schemas.microsoft.com/office/drawing/2014/main" id="{00000000-0008-0000-0200-00003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0" name="Object 60" hidden="1">
              <a:extLst>
                <a:ext uri="{63B3BB69-23CF-44E3-9099-C40C66FF867C}">
                  <a14:compatExt spid="_x0000_s20540"/>
                </a:ext>
                <a:ext uri="{FF2B5EF4-FFF2-40B4-BE49-F238E27FC236}">
                  <a16:creationId xmlns:a16="http://schemas.microsoft.com/office/drawing/2014/main" id="{00000000-0008-0000-0200-00003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1" name="Object 61" hidden="1">
              <a:extLst>
                <a:ext uri="{63B3BB69-23CF-44E3-9099-C40C66FF867C}">
                  <a14:compatExt spid="_x0000_s20541"/>
                </a:ext>
                <a:ext uri="{FF2B5EF4-FFF2-40B4-BE49-F238E27FC236}">
                  <a16:creationId xmlns:a16="http://schemas.microsoft.com/office/drawing/2014/main" id="{00000000-0008-0000-0200-00003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2" name="Object 62" hidden="1">
              <a:extLst>
                <a:ext uri="{63B3BB69-23CF-44E3-9099-C40C66FF867C}">
                  <a14:compatExt spid="_x0000_s20542"/>
                </a:ext>
                <a:ext uri="{FF2B5EF4-FFF2-40B4-BE49-F238E27FC236}">
                  <a16:creationId xmlns:a16="http://schemas.microsoft.com/office/drawing/2014/main" id="{00000000-0008-0000-0200-00003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3" name="Object 63" hidden="1">
              <a:extLst>
                <a:ext uri="{63B3BB69-23CF-44E3-9099-C40C66FF867C}">
                  <a14:compatExt spid="_x0000_s20543"/>
                </a:ext>
                <a:ext uri="{FF2B5EF4-FFF2-40B4-BE49-F238E27FC236}">
                  <a16:creationId xmlns:a16="http://schemas.microsoft.com/office/drawing/2014/main" id="{00000000-0008-0000-0200-00003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4" name="Object 64" hidden="1">
              <a:extLst>
                <a:ext uri="{63B3BB69-23CF-44E3-9099-C40C66FF867C}">
                  <a14:compatExt spid="_x0000_s20544"/>
                </a:ext>
                <a:ext uri="{FF2B5EF4-FFF2-40B4-BE49-F238E27FC236}">
                  <a16:creationId xmlns:a16="http://schemas.microsoft.com/office/drawing/2014/main" id="{00000000-0008-0000-0200-00004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5" name="Object 65" hidden="1">
              <a:extLst>
                <a:ext uri="{63B3BB69-23CF-44E3-9099-C40C66FF867C}">
                  <a14:compatExt spid="_x0000_s20545"/>
                </a:ext>
                <a:ext uri="{FF2B5EF4-FFF2-40B4-BE49-F238E27FC236}">
                  <a16:creationId xmlns:a16="http://schemas.microsoft.com/office/drawing/2014/main" id="{00000000-0008-0000-0200-00004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46" name="Object 66" hidden="1">
              <a:extLst>
                <a:ext uri="{63B3BB69-23CF-44E3-9099-C40C66FF867C}">
                  <a14:compatExt spid="_x0000_s20546"/>
                </a:ext>
                <a:ext uri="{FF2B5EF4-FFF2-40B4-BE49-F238E27FC236}">
                  <a16:creationId xmlns:a16="http://schemas.microsoft.com/office/drawing/2014/main" id="{00000000-0008-0000-0200-00004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7" name="Object 67" hidden="1">
              <a:extLst>
                <a:ext uri="{63B3BB69-23CF-44E3-9099-C40C66FF867C}">
                  <a14:compatExt spid="_x0000_s20547"/>
                </a:ext>
                <a:ext uri="{FF2B5EF4-FFF2-40B4-BE49-F238E27FC236}">
                  <a16:creationId xmlns:a16="http://schemas.microsoft.com/office/drawing/2014/main" id="{00000000-0008-0000-0200-00004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8" name="Object 68" hidden="1">
              <a:extLst>
                <a:ext uri="{63B3BB69-23CF-44E3-9099-C40C66FF867C}">
                  <a14:compatExt spid="_x0000_s20548"/>
                </a:ext>
                <a:ext uri="{FF2B5EF4-FFF2-40B4-BE49-F238E27FC236}">
                  <a16:creationId xmlns:a16="http://schemas.microsoft.com/office/drawing/2014/main" id="{00000000-0008-0000-0200-00004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49" name="Object 69" hidden="1">
              <a:extLst>
                <a:ext uri="{63B3BB69-23CF-44E3-9099-C40C66FF867C}">
                  <a14:compatExt spid="_x0000_s20549"/>
                </a:ext>
                <a:ext uri="{FF2B5EF4-FFF2-40B4-BE49-F238E27FC236}">
                  <a16:creationId xmlns:a16="http://schemas.microsoft.com/office/drawing/2014/main" id="{00000000-0008-0000-0200-00004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0" name="Object 70" hidden="1">
              <a:extLst>
                <a:ext uri="{63B3BB69-23CF-44E3-9099-C40C66FF867C}">
                  <a14:compatExt spid="_x0000_s20550"/>
                </a:ext>
                <a:ext uri="{FF2B5EF4-FFF2-40B4-BE49-F238E27FC236}">
                  <a16:creationId xmlns:a16="http://schemas.microsoft.com/office/drawing/2014/main" id="{00000000-0008-0000-0200-00004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1" name="Object 71" hidden="1">
              <a:extLst>
                <a:ext uri="{63B3BB69-23CF-44E3-9099-C40C66FF867C}">
                  <a14:compatExt spid="_x0000_s20551"/>
                </a:ext>
                <a:ext uri="{FF2B5EF4-FFF2-40B4-BE49-F238E27FC236}">
                  <a16:creationId xmlns:a16="http://schemas.microsoft.com/office/drawing/2014/main" id="{00000000-0008-0000-0200-00004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2" name="Object 72" hidden="1">
              <a:extLst>
                <a:ext uri="{63B3BB69-23CF-44E3-9099-C40C66FF867C}">
                  <a14:compatExt spid="_x0000_s20552"/>
                </a:ext>
                <a:ext uri="{FF2B5EF4-FFF2-40B4-BE49-F238E27FC236}">
                  <a16:creationId xmlns:a16="http://schemas.microsoft.com/office/drawing/2014/main" id="{00000000-0008-0000-0200-00004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3" name="Object 73" hidden="1">
              <a:extLst>
                <a:ext uri="{63B3BB69-23CF-44E3-9099-C40C66FF867C}">
                  <a14:compatExt spid="_x0000_s20553"/>
                </a:ext>
                <a:ext uri="{FF2B5EF4-FFF2-40B4-BE49-F238E27FC236}">
                  <a16:creationId xmlns:a16="http://schemas.microsoft.com/office/drawing/2014/main" id="{00000000-0008-0000-0200-00004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4" name="Object 74" hidden="1">
              <a:extLst>
                <a:ext uri="{63B3BB69-23CF-44E3-9099-C40C66FF867C}">
                  <a14:compatExt spid="_x0000_s20554"/>
                </a:ext>
                <a:ext uri="{FF2B5EF4-FFF2-40B4-BE49-F238E27FC236}">
                  <a16:creationId xmlns:a16="http://schemas.microsoft.com/office/drawing/2014/main" id="{00000000-0008-0000-0200-00004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5" name="Object 75" hidden="1">
              <a:extLst>
                <a:ext uri="{63B3BB69-23CF-44E3-9099-C40C66FF867C}">
                  <a14:compatExt spid="_x0000_s20555"/>
                </a:ext>
                <a:ext uri="{FF2B5EF4-FFF2-40B4-BE49-F238E27FC236}">
                  <a16:creationId xmlns:a16="http://schemas.microsoft.com/office/drawing/2014/main" id="{00000000-0008-0000-0200-00004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6" name="Object 76" hidden="1">
              <a:extLst>
                <a:ext uri="{63B3BB69-23CF-44E3-9099-C40C66FF867C}">
                  <a14:compatExt spid="_x0000_s20556"/>
                </a:ext>
                <a:ext uri="{FF2B5EF4-FFF2-40B4-BE49-F238E27FC236}">
                  <a16:creationId xmlns:a16="http://schemas.microsoft.com/office/drawing/2014/main" id="{00000000-0008-0000-0200-00004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57" name="Object 77" hidden="1">
              <a:extLst>
                <a:ext uri="{63B3BB69-23CF-44E3-9099-C40C66FF867C}">
                  <a14:compatExt spid="_x0000_s20557"/>
                </a:ext>
                <a:ext uri="{FF2B5EF4-FFF2-40B4-BE49-F238E27FC236}">
                  <a16:creationId xmlns:a16="http://schemas.microsoft.com/office/drawing/2014/main" id="{00000000-0008-0000-0200-00004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8" name="Object 78" hidden="1">
              <a:extLst>
                <a:ext uri="{63B3BB69-23CF-44E3-9099-C40C66FF867C}">
                  <a14:compatExt spid="_x0000_s20558"/>
                </a:ext>
                <a:ext uri="{FF2B5EF4-FFF2-40B4-BE49-F238E27FC236}">
                  <a16:creationId xmlns:a16="http://schemas.microsoft.com/office/drawing/2014/main" id="{00000000-0008-0000-0200-00004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59" name="Object 79" hidden="1">
              <a:extLst>
                <a:ext uri="{63B3BB69-23CF-44E3-9099-C40C66FF867C}">
                  <a14:compatExt spid="_x0000_s20559"/>
                </a:ext>
                <a:ext uri="{FF2B5EF4-FFF2-40B4-BE49-F238E27FC236}">
                  <a16:creationId xmlns:a16="http://schemas.microsoft.com/office/drawing/2014/main" id="{00000000-0008-0000-0200-00004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0" name="Object 80" hidden="1">
              <a:extLst>
                <a:ext uri="{63B3BB69-23CF-44E3-9099-C40C66FF867C}">
                  <a14:compatExt spid="_x0000_s20560"/>
                </a:ext>
                <a:ext uri="{FF2B5EF4-FFF2-40B4-BE49-F238E27FC236}">
                  <a16:creationId xmlns:a16="http://schemas.microsoft.com/office/drawing/2014/main" id="{00000000-0008-0000-0200-00005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1" name="Object 81" hidden="1">
              <a:extLst>
                <a:ext uri="{63B3BB69-23CF-44E3-9099-C40C66FF867C}">
                  <a14:compatExt spid="_x0000_s20561"/>
                </a:ext>
                <a:ext uri="{FF2B5EF4-FFF2-40B4-BE49-F238E27FC236}">
                  <a16:creationId xmlns:a16="http://schemas.microsoft.com/office/drawing/2014/main" id="{00000000-0008-0000-0200-00005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2" name="Object 82" hidden="1">
              <a:extLst>
                <a:ext uri="{63B3BB69-23CF-44E3-9099-C40C66FF867C}">
                  <a14:compatExt spid="_x0000_s20562"/>
                </a:ext>
                <a:ext uri="{FF2B5EF4-FFF2-40B4-BE49-F238E27FC236}">
                  <a16:creationId xmlns:a16="http://schemas.microsoft.com/office/drawing/2014/main" id="{00000000-0008-0000-0200-00005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3" name="Object 83" hidden="1">
              <a:extLst>
                <a:ext uri="{63B3BB69-23CF-44E3-9099-C40C66FF867C}">
                  <a14:compatExt spid="_x0000_s20563"/>
                </a:ext>
                <a:ext uri="{FF2B5EF4-FFF2-40B4-BE49-F238E27FC236}">
                  <a16:creationId xmlns:a16="http://schemas.microsoft.com/office/drawing/2014/main" id="{00000000-0008-0000-0200-00005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4" name="Object 84" hidden="1">
              <a:extLst>
                <a:ext uri="{63B3BB69-23CF-44E3-9099-C40C66FF867C}">
                  <a14:compatExt spid="_x0000_s20564"/>
                </a:ext>
                <a:ext uri="{FF2B5EF4-FFF2-40B4-BE49-F238E27FC236}">
                  <a16:creationId xmlns:a16="http://schemas.microsoft.com/office/drawing/2014/main" id="{00000000-0008-0000-0200-00005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5" name="Object 85" hidden="1">
              <a:extLst>
                <a:ext uri="{63B3BB69-23CF-44E3-9099-C40C66FF867C}">
                  <a14:compatExt spid="_x0000_s20565"/>
                </a:ext>
                <a:ext uri="{FF2B5EF4-FFF2-40B4-BE49-F238E27FC236}">
                  <a16:creationId xmlns:a16="http://schemas.microsoft.com/office/drawing/2014/main" id="{00000000-0008-0000-0200-00005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6" name="Object 86" hidden="1">
              <a:extLst>
                <a:ext uri="{63B3BB69-23CF-44E3-9099-C40C66FF867C}">
                  <a14:compatExt spid="_x0000_s20566"/>
                </a:ext>
                <a:ext uri="{FF2B5EF4-FFF2-40B4-BE49-F238E27FC236}">
                  <a16:creationId xmlns:a16="http://schemas.microsoft.com/office/drawing/2014/main" id="{00000000-0008-0000-0200-00005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74</xdr:row>
          <xdr:rowOff>0</xdr:rowOff>
        </xdr:from>
        <xdr:to>
          <xdr:col>11</xdr:col>
          <xdr:colOff>409575</xdr:colOff>
          <xdr:row>74</xdr:row>
          <xdr:rowOff>0</xdr:rowOff>
        </xdr:to>
        <xdr:sp macro="" textlink="">
          <xdr:nvSpPr>
            <xdr:cNvPr id="20567" name="Object 87" hidden="1">
              <a:extLst>
                <a:ext uri="{63B3BB69-23CF-44E3-9099-C40C66FF867C}">
                  <a14:compatExt spid="_x0000_s20567"/>
                </a:ext>
                <a:ext uri="{FF2B5EF4-FFF2-40B4-BE49-F238E27FC236}">
                  <a16:creationId xmlns:a16="http://schemas.microsoft.com/office/drawing/2014/main" id="{00000000-0008-0000-0200-00005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74</xdr:row>
          <xdr:rowOff>0</xdr:rowOff>
        </xdr:from>
        <xdr:to>
          <xdr:col>11</xdr:col>
          <xdr:colOff>419100</xdr:colOff>
          <xdr:row>74</xdr:row>
          <xdr:rowOff>0</xdr:rowOff>
        </xdr:to>
        <xdr:sp macro="" textlink="">
          <xdr:nvSpPr>
            <xdr:cNvPr id="20568" name="Object 88" hidden="1">
              <a:extLst>
                <a:ext uri="{63B3BB69-23CF-44E3-9099-C40C66FF867C}">
                  <a14:compatExt spid="_x0000_s20568"/>
                </a:ext>
                <a:ext uri="{FF2B5EF4-FFF2-40B4-BE49-F238E27FC236}">
                  <a16:creationId xmlns:a16="http://schemas.microsoft.com/office/drawing/2014/main" id="{00000000-0008-0000-0200-00005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4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4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2" name="Object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4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4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4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5" name="Object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4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6" name="Object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4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7" name="Object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4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0</xdr:rowOff>
        </xdr:from>
        <xdr:to>
          <xdr:col>11</xdr:col>
          <xdr:colOff>409575</xdr:colOff>
          <xdr:row>20</xdr:row>
          <xdr:rowOff>0</xdr:rowOff>
        </xdr:to>
        <xdr:sp macro="" textlink="">
          <xdr:nvSpPr>
            <xdr:cNvPr id="17418" name="Object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4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20</xdr:row>
          <xdr:rowOff>0</xdr:rowOff>
        </xdr:from>
        <xdr:to>
          <xdr:col>11</xdr:col>
          <xdr:colOff>419100</xdr:colOff>
          <xdr:row>20</xdr:row>
          <xdr:rowOff>0</xdr:rowOff>
        </xdr:to>
        <xdr:sp macro="" textlink="">
          <xdr:nvSpPr>
            <xdr:cNvPr id="17419" name="Object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4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0" name="Object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4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1" name="Object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4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2" name="Object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4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3" name="Object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4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4" name="Object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4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5" name="Object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4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6" name="Object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4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7" name="Object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4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8" name="Object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4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29" name="Object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4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30" name="Object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4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1" name="Object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4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2" name="Object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4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3" name="Object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4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4" name="Object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4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5" name="Object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4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6" name="Object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4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7" name="Object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4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8" name="Object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4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39" name="Object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4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0" name="Object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4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41" name="Object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4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2" name="Object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4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3" name="Object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4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4" name="Object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4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5" name="Object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4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6" name="Object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4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7" name="Object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4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8" name="Object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4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49" name="Object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4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0" name="Object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4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1" name="Object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4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52" name="Object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4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3" name="Object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4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4" name="Object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4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5" name="Object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4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6" name="Object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4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7" name="Object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4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8" name="Object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4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59" name="Object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4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0" name="Object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4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1" name="Object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4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2" name="Object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4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63" name="Object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4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4" name="Object 56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4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5" name="Object 57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4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6" name="Object 58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4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7" name="Object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4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8" name="Object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4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69" name="Object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4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0" name="Object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4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1" name="Object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4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2" name="Object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4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3" name="Object 65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4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74" name="Object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4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5" name="Object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4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6" name="Object 68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4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7" name="Object 69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4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8" name="Object 70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4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79" name="Object 71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4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0" name="Object 72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4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1" name="Object 73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4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2" name="Object 74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4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3" name="Object 75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4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4" name="Object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4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85" name="Object 77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4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6" name="Object 78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4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7" name="Object 79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4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8" name="Object 80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4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89" name="Object 81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4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0" name="Object 82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4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1" name="Object 83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4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2" name="Object 84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4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3" name="Object 85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4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4" name="Object 86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4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75</xdr:row>
          <xdr:rowOff>0</xdr:rowOff>
        </xdr:from>
        <xdr:to>
          <xdr:col>11</xdr:col>
          <xdr:colOff>409575</xdr:colOff>
          <xdr:row>75</xdr:row>
          <xdr:rowOff>0</xdr:rowOff>
        </xdr:to>
        <xdr:sp macro="" textlink="">
          <xdr:nvSpPr>
            <xdr:cNvPr id="17495" name="Object 87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4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75</xdr:row>
          <xdr:rowOff>0</xdr:rowOff>
        </xdr:from>
        <xdr:to>
          <xdr:col>11</xdr:col>
          <xdr:colOff>419100</xdr:colOff>
          <xdr:row>75</xdr:row>
          <xdr:rowOff>0</xdr:rowOff>
        </xdr:to>
        <xdr:sp macro="" textlink="">
          <xdr:nvSpPr>
            <xdr:cNvPr id="17496" name="Object 88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4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siplab/public/assets/excel/Kalibrasi/ECG_Record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Music\UJI%20SOFTWARE\BACKUP%20TRAXEL\Oxygen_Concentrator-O2%20Concentrator%2029-8-2023.xlsx" TargetMode="External"/><Relationship Id="rId1" Type="http://schemas.openxmlformats.org/officeDocument/2006/relationships/externalLinkPath" Target="/Users/user/Music/UJI%20SOFTWARE/BACKUP%20TRAXEL/Oxygen_Concentrator-O2%20Concentrator%2029-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2">
          <cell r="I2" t="str">
            <v>10 / III - 21 / E - 003.30 DL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Kelistrikan"/>
      <sheetName val="DB Thermohygro"/>
      <sheetName val="SERTIFIKAT"/>
      <sheetName val="DB Gas Flow Analyzer"/>
      <sheetName val="DB MAXTEC"/>
      <sheetName val="SCORING"/>
    </sheetNames>
    <sheetDataSet>
      <sheetData sheetId="0"/>
      <sheetData sheetId="1"/>
      <sheetData sheetId="2"/>
      <sheetData sheetId="3"/>
      <sheetData sheetId="4">
        <row r="18">
          <cell r="E18">
            <v>221.6</v>
          </cell>
        </row>
        <row r="26">
          <cell r="I26" t="str">
            <v>OL</v>
          </cell>
        </row>
        <row r="27">
          <cell r="I27">
            <v>0.1</v>
          </cell>
          <cell r="U27">
            <v>10</v>
          </cell>
        </row>
        <row r="28">
          <cell r="I28">
            <v>120</v>
          </cell>
        </row>
        <row r="56">
          <cell r="B56" t="str">
            <v>Electrical Safety Analyzer, Merek : Fluke, Model : ESA 620, SN : 1837056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22.bin"/><Relationship Id="rId21" Type="http://schemas.openxmlformats.org/officeDocument/2006/relationships/oleObject" Target="../embeddings/oleObject17.bin"/><Relationship Id="rId42" Type="http://schemas.openxmlformats.org/officeDocument/2006/relationships/oleObject" Target="../embeddings/oleObject38.bin"/><Relationship Id="rId47" Type="http://schemas.openxmlformats.org/officeDocument/2006/relationships/oleObject" Target="../embeddings/oleObject43.bin"/><Relationship Id="rId63" Type="http://schemas.openxmlformats.org/officeDocument/2006/relationships/oleObject" Target="../embeddings/oleObject59.bin"/><Relationship Id="rId68" Type="http://schemas.openxmlformats.org/officeDocument/2006/relationships/oleObject" Target="../embeddings/oleObject64.bin"/><Relationship Id="rId84" Type="http://schemas.openxmlformats.org/officeDocument/2006/relationships/oleObject" Target="../embeddings/oleObject80.bin"/><Relationship Id="rId89" Type="http://schemas.openxmlformats.org/officeDocument/2006/relationships/oleObject" Target="../embeddings/oleObject85.bin"/><Relationship Id="rId16" Type="http://schemas.openxmlformats.org/officeDocument/2006/relationships/oleObject" Target="../embeddings/oleObject12.bin"/><Relationship Id="rId11" Type="http://schemas.openxmlformats.org/officeDocument/2006/relationships/oleObject" Target="../embeddings/oleObject7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53" Type="http://schemas.openxmlformats.org/officeDocument/2006/relationships/oleObject" Target="../embeddings/oleObject49.bin"/><Relationship Id="rId58" Type="http://schemas.openxmlformats.org/officeDocument/2006/relationships/oleObject" Target="../embeddings/oleObject54.bin"/><Relationship Id="rId74" Type="http://schemas.openxmlformats.org/officeDocument/2006/relationships/oleObject" Target="../embeddings/oleObject70.bin"/><Relationship Id="rId79" Type="http://schemas.openxmlformats.org/officeDocument/2006/relationships/oleObject" Target="../embeddings/oleObject75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86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Relationship Id="rId48" Type="http://schemas.openxmlformats.org/officeDocument/2006/relationships/oleObject" Target="../embeddings/oleObject44.bin"/><Relationship Id="rId56" Type="http://schemas.openxmlformats.org/officeDocument/2006/relationships/oleObject" Target="../embeddings/oleObject52.bin"/><Relationship Id="rId64" Type="http://schemas.openxmlformats.org/officeDocument/2006/relationships/oleObject" Target="../embeddings/oleObject60.bin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73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80" Type="http://schemas.openxmlformats.org/officeDocument/2006/relationships/oleObject" Target="../embeddings/oleObject76.bin"/><Relationship Id="rId85" Type="http://schemas.openxmlformats.org/officeDocument/2006/relationships/oleObject" Target="../embeddings/oleObject81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46" Type="http://schemas.openxmlformats.org/officeDocument/2006/relationships/oleObject" Target="../embeddings/oleObject42.bin"/><Relationship Id="rId59" Type="http://schemas.openxmlformats.org/officeDocument/2006/relationships/oleObject" Target="../embeddings/oleObject55.bin"/><Relationship Id="rId67" Type="http://schemas.openxmlformats.org/officeDocument/2006/relationships/oleObject" Target="../embeddings/oleObject63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54" Type="http://schemas.openxmlformats.org/officeDocument/2006/relationships/oleObject" Target="../embeddings/oleObject50.bin"/><Relationship Id="rId62" Type="http://schemas.openxmlformats.org/officeDocument/2006/relationships/oleObject" Target="../embeddings/oleObject58.bin"/><Relationship Id="rId70" Type="http://schemas.openxmlformats.org/officeDocument/2006/relationships/oleObject" Target="../embeddings/oleObject66.bin"/><Relationship Id="rId75" Type="http://schemas.openxmlformats.org/officeDocument/2006/relationships/oleObject" Target="../embeddings/oleObject71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91" Type="http://schemas.openxmlformats.org/officeDocument/2006/relationships/oleObject" Target="../embeddings/oleObject8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49" Type="http://schemas.openxmlformats.org/officeDocument/2006/relationships/oleObject" Target="../embeddings/oleObject45.bin"/><Relationship Id="rId57" Type="http://schemas.openxmlformats.org/officeDocument/2006/relationships/oleObject" Target="../embeddings/oleObject5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44" Type="http://schemas.openxmlformats.org/officeDocument/2006/relationships/oleObject" Target="../embeddings/oleObject40.bin"/><Relationship Id="rId52" Type="http://schemas.openxmlformats.org/officeDocument/2006/relationships/oleObject" Target="../embeddings/oleObject48.bin"/><Relationship Id="rId60" Type="http://schemas.openxmlformats.org/officeDocument/2006/relationships/oleObject" Target="../embeddings/oleObject56.bin"/><Relationship Id="rId65" Type="http://schemas.openxmlformats.org/officeDocument/2006/relationships/oleObject" Target="../embeddings/oleObject61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81" Type="http://schemas.openxmlformats.org/officeDocument/2006/relationships/oleObject" Target="../embeddings/oleObject77.bin"/><Relationship Id="rId86" Type="http://schemas.openxmlformats.org/officeDocument/2006/relationships/oleObject" Target="../embeddings/oleObject8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34" Type="http://schemas.openxmlformats.org/officeDocument/2006/relationships/oleObject" Target="../embeddings/oleObject30.bin"/><Relationship Id="rId50" Type="http://schemas.openxmlformats.org/officeDocument/2006/relationships/oleObject" Target="../embeddings/oleObject46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4" Type="http://schemas.openxmlformats.org/officeDocument/2006/relationships/oleObject" Target="../embeddings/oleObject20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" Type="http://schemas.openxmlformats.org/officeDocument/2006/relationships/oleObject" Target="../embeddings/oleObject1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10.bin"/><Relationship Id="rId21" Type="http://schemas.openxmlformats.org/officeDocument/2006/relationships/oleObject" Target="../embeddings/oleObject105.bin"/><Relationship Id="rId42" Type="http://schemas.openxmlformats.org/officeDocument/2006/relationships/oleObject" Target="../embeddings/oleObject126.bin"/><Relationship Id="rId47" Type="http://schemas.openxmlformats.org/officeDocument/2006/relationships/oleObject" Target="../embeddings/oleObject131.bin"/><Relationship Id="rId63" Type="http://schemas.openxmlformats.org/officeDocument/2006/relationships/oleObject" Target="../embeddings/oleObject147.bin"/><Relationship Id="rId68" Type="http://schemas.openxmlformats.org/officeDocument/2006/relationships/oleObject" Target="../embeddings/oleObject152.bin"/><Relationship Id="rId84" Type="http://schemas.openxmlformats.org/officeDocument/2006/relationships/oleObject" Target="../embeddings/oleObject168.bin"/><Relationship Id="rId89" Type="http://schemas.openxmlformats.org/officeDocument/2006/relationships/oleObject" Target="../embeddings/oleObject173.bin"/><Relationship Id="rId16" Type="http://schemas.openxmlformats.org/officeDocument/2006/relationships/oleObject" Target="../embeddings/oleObject100.bin"/><Relationship Id="rId11" Type="http://schemas.openxmlformats.org/officeDocument/2006/relationships/oleObject" Target="../embeddings/oleObject95.bin"/><Relationship Id="rId32" Type="http://schemas.openxmlformats.org/officeDocument/2006/relationships/oleObject" Target="../embeddings/oleObject116.bin"/><Relationship Id="rId37" Type="http://schemas.openxmlformats.org/officeDocument/2006/relationships/oleObject" Target="../embeddings/oleObject121.bin"/><Relationship Id="rId53" Type="http://schemas.openxmlformats.org/officeDocument/2006/relationships/oleObject" Target="../embeddings/oleObject137.bin"/><Relationship Id="rId58" Type="http://schemas.openxmlformats.org/officeDocument/2006/relationships/oleObject" Target="../embeddings/oleObject142.bin"/><Relationship Id="rId74" Type="http://schemas.openxmlformats.org/officeDocument/2006/relationships/oleObject" Target="../embeddings/oleObject158.bin"/><Relationship Id="rId79" Type="http://schemas.openxmlformats.org/officeDocument/2006/relationships/oleObject" Target="../embeddings/oleObject163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174.bin"/><Relationship Id="rId14" Type="http://schemas.openxmlformats.org/officeDocument/2006/relationships/oleObject" Target="../embeddings/oleObject98.bin"/><Relationship Id="rId22" Type="http://schemas.openxmlformats.org/officeDocument/2006/relationships/oleObject" Target="../embeddings/oleObject106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4.bin"/><Relationship Id="rId35" Type="http://schemas.openxmlformats.org/officeDocument/2006/relationships/oleObject" Target="../embeddings/oleObject119.bin"/><Relationship Id="rId43" Type="http://schemas.openxmlformats.org/officeDocument/2006/relationships/oleObject" Target="../embeddings/oleObject127.bin"/><Relationship Id="rId48" Type="http://schemas.openxmlformats.org/officeDocument/2006/relationships/oleObject" Target="../embeddings/oleObject132.bin"/><Relationship Id="rId56" Type="http://schemas.openxmlformats.org/officeDocument/2006/relationships/oleObject" Target="../embeddings/oleObject140.bin"/><Relationship Id="rId64" Type="http://schemas.openxmlformats.org/officeDocument/2006/relationships/oleObject" Target="../embeddings/oleObject148.bin"/><Relationship Id="rId69" Type="http://schemas.openxmlformats.org/officeDocument/2006/relationships/oleObject" Target="../embeddings/oleObject153.bin"/><Relationship Id="rId77" Type="http://schemas.openxmlformats.org/officeDocument/2006/relationships/oleObject" Target="../embeddings/oleObject161.bin"/><Relationship Id="rId8" Type="http://schemas.openxmlformats.org/officeDocument/2006/relationships/oleObject" Target="../embeddings/oleObject92.bin"/><Relationship Id="rId51" Type="http://schemas.openxmlformats.org/officeDocument/2006/relationships/oleObject" Target="../embeddings/oleObject135.bin"/><Relationship Id="rId72" Type="http://schemas.openxmlformats.org/officeDocument/2006/relationships/oleObject" Target="../embeddings/oleObject156.bin"/><Relationship Id="rId80" Type="http://schemas.openxmlformats.org/officeDocument/2006/relationships/oleObject" Target="../embeddings/oleObject164.bin"/><Relationship Id="rId85" Type="http://schemas.openxmlformats.org/officeDocument/2006/relationships/oleObject" Target="../embeddings/oleObject169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96.bin"/><Relationship Id="rId17" Type="http://schemas.openxmlformats.org/officeDocument/2006/relationships/oleObject" Target="../embeddings/oleObject101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7.bin"/><Relationship Id="rId38" Type="http://schemas.openxmlformats.org/officeDocument/2006/relationships/oleObject" Target="../embeddings/oleObject122.bin"/><Relationship Id="rId46" Type="http://schemas.openxmlformats.org/officeDocument/2006/relationships/oleObject" Target="../embeddings/oleObject130.bin"/><Relationship Id="rId59" Type="http://schemas.openxmlformats.org/officeDocument/2006/relationships/oleObject" Target="../embeddings/oleObject143.bin"/><Relationship Id="rId67" Type="http://schemas.openxmlformats.org/officeDocument/2006/relationships/oleObject" Target="../embeddings/oleObject151.bin"/><Relationship Id="rId20" Type="http://schemas.openxmlformats.org/officeDocument/2006/relationships/oleObject" Target="../embeddings/oleObject104.bin"/><Relationship Id="rId41" Type="http://schemas.openxmlformats.org/officeDocument/2006/relationships/oleObject" Target="../embeddings/oleObject125.bin"/><Relationship Id="rId54" Type="http://schemas.openxmlformats.org/officeDocument/2006/relationships/oleObject" Target="../embeddings/oleObject138.bin"/><Relationship Id="rId62" Type="http://schemas.openxmlformats.org/officeDocument/2006/relationships/oleObject" Target="../embeddings/oleObject146.bin"/><Relationship Id="rId70" Type="http://schemas.openxmlformats.org/officeDocument/2006/relationships/oleObject" Target="../embeddings/oleObject154.bin"/><Relationship Id="rId75" Type="http://schemas.openxmlformats.org/officeDocument/2006/relationships/oleObject" Target="../embeddings/oleObject159.bin"/><Relationship Id="rId83" Type="http://schemas.openxmlformats.org/officeDocument/2006/relationships/oleObject" Target="../embeddings/oleObject167.bin"/><Relationship Id="rId88" Type="http://schemas.openxmlformats.org/officeDocument/2006/relationships/oleObject" Target="../embeddings/oleObject172.bin"/><Relationship Id="rId91" Type="http://schemas.openxmlformats.org/officeDocument/2006/relationships/oleObject" Target="../embeddings/oleObject175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90.bin"/><Relationship Id="rId15" Type="http://schemas.openxmlformats.org/officeDocument/2006/relationships/oleObject" Target="../embeddings/oleObject99.bin"/><Relationship Id="rId23" Type="http://schemas.openxmlformats.org/officeDocument/2006/relationships/oleObject" Target="../embeddings/oleObject107.bin"/><Relationship Id="rId28" Type="http://schemas.openxmlformats.org/officeDocument/2006/relationships/oleObject" Target="../embeddings/oleObject112.bin"/><Relationship Id="rId36" Type="http://schemas.openxmlformats.org/officeDocument/2006/relationships/oleObject" Target="../embeddings/oleObject120.bin"/><Relationship Id="rId49" Type="http://schemas.openxmlformats.org/officeDocument/2006/relationships/oleObject" Target="../embeddings/oleObject133.bin"/><Relationship Id="rId57" Type="http://schemas.openxmlformats.org/officeDocument/2006/relationships/oleObject" Target="../embeddings/oleObject141.bin"/><Relationship Id="rId10" Type="http://schemas.openxmlformats.org/officeDocument/2006/relationships/oleObject" Target="../embeddings/oleObject94.bin"/><Relationship Id="rId31" Type="http://schemas.openxmlformats.org/officeDocument/2006/relationships/oleObject" Target="../embeddings/oleObject115.bin"/><Relationship Id="rId44" Type="http://schemas.openxmlformats.org/officeDocument/2006/relationships/oleObject" Target="../embeddings/oleObject128.bin"/><Relationship Id="rId52" Type="http://schemas.openxmlformats.org/officeDocument/2006/relationships/oleObject" Target="../embeddings/oleObject136.bin"/><Relationship Id="rId60" Type="http://schemas.openxmlformats.org/officeDocument/2006/relationships/oleObject" Target="../embeddings/oleObject144.bin"/><Relationship Id="rId65" Type="http://schemas.openxmlformats.org/officeDocument/2006/relationships/oleObject" Target="../embeddings/oleObject149.bin"/><Relationship Id="rId73" Type="http://schemas.openxmlformats.org/officeDocument/2006/relationships/oleObject" Target="../embeddings/oleObject157.bin"/><Relationship Id="rId78" Type="http://schemas.openxmlformats.org/officeDocument/2006/relationships/oleObject" Target="../embeddings/oleObject162.bin"/><Relationship Id="rId81" Type="http://schemas.openxmlformats.org/officeDocument/2006/relationships/oleObject" Target="../embeddings/oleObject165.bin"/><Relationship Id="rId86" Type="http://schemas.openxmlformats.org/officeDocument/2006/relationships/oleObject" Target="../embeddings/oleObject170.bin"/><Relationship Id="rId4" Type="http://schemas.openxmlformats.org/officeDocument/2006/relationships/oleObject" Target="../embeddings/oleObject89.bin"/><Relationship Id="rId9" Type="http://schemas.openxmlformats.org/officeDocument/2006/relationships/oleObject" Target="../embeddings/oleObject93.bin"/><Relationship Id="rId13" Type="http://schemas.openxmlformats.org/officeDocument/2006/relationships/oleObject" Target="../embeddings/oleObject97.bin"/><Relationship Id="rId18" Type="http://schemas.openxmlformats.org/officeDocument/2006/relationships/oleObject" Target="../embeddings/oleObject102.bin"/><Relationship Id="rId39" Type="http://schemas.openxmlformats.org/officeDocument/2006/relationships/oleObject" Target="../embeddings/oleObject123.bin"/><Relationship Id="rId34" Type="http://schemas.openxmlformats.org/officeDocument/2006/relationships/oleObject" Target="../embeddings/oleObject118.bin"/><Relationship Id="rId50" Type="http://schemas.openxmlformats.org/officeDocument/2006/relationships/oleObject" Target="../embeddings/oleObject134.bin"/><Relationship Id="rId55" Type="http://schemas.openxmlformats.org/officeDocument/2006/relationships/oleObject" Target="../embeddings/oleObject139.bin"/><Relationship Id="rId76" Type="http://schemas.openxmlformats.org/officeDocument/2006/relationships/oleObject" Target="../embeddings/oleObject160.bin"/><Relationship Id="rId7" Type="http://schemas.openxmlformats.org/officeDocument/2006/relationships/oleObject" Target="../embeddings/oleObject91.bin"/><Relationship Id="rId71" Type="http://schemas.openxmlformats.org/officeDocument/2006/relationships/oleObject" Target="../embeddings/oleObject155.bin"/><Relationship Id="rId92" Type="http://schemas.openxmlformats.org/officeDocument/2006/relationships/oleObject" Target="../embeddings/oleObject176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113.bin"/><Relationship Id="rId24" Type="http://schemas.openxmlformats.org/officeDocument/2006/relationships/oleObject" Target="../embeddings/oleObject108.bin"/><Relationship Id="rId40" Type="http://schemas.openxmlformats.org/officeDocument/2006/relationships/oleObject" Target="../embeddings/oleObject124.bin"/><Relationship Id="rId45" Type="http://schemas.openxmlformats.org/officeDocument/2006/relationships/oleObject" Target="../embeddings/oleObject129.bin"/><Relationship Id="rId66" Type="http://schemas.openxmlformats.org/officeDocument/2006/relationships/oleObject" Target="../embeddings/oleObject150.bin"/><Relationship Id="rId87" Type="http://schemas.openxmlformats.org/officeDocument/2006/relationships/oleObject" Target="../embeddings/oleObject171.bin"/><Relationship Id="rId61" Type="http://schemas.openxmlformats.org/officeDocument/2006/relationships/oleObject" Target="../embeddings/oleObject145.bin"/><Relationship Id="rId82" Type="http://schemas.openxmlformats.org/officeDocument/2006/relationships/oleObject" Target="../embeddings/oleObject166.bin"/><Relationship Id="rId19" Type="http://schemas.openxmlformats.org/officeDocument/2006/relationships/oleObject" Target="../embeddings/oleObject10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98.bin"/><Relationship Id="rId21" Type="http://schemas.openxmlformats.org/officeDocument/2006/relationships/oleObject" Target="../embeddings/oleObject193.bin"/><Relationship Id="rId42" Type="http://schemas.openxmlformats.org/officeDocument/2006/relationships/oleObject" Target="../embeddings/oleObject214.bin"/><Relationship Id="rId47" Type="http://schemas.openxmlformats.org/officeDocument/2006/relationships/oleObject" Target="../embeddings/oleObject219.bin"/><Relationship Id="rId63" Type="http://schemas.openxmlformats.org/officeDocument/2006/relationships/oleObject" Target="../embeddings/oleObject235.bin"/><Relationship Id="rId68" Type="http://schemas.openxmlformats.org/officeDocument/2006/relationships/oleObject" Target="../embeddings/oleObject240.bin"/><Relationship Id="rId84" Type="http://schemas.openxmlformats.org/officeDocument/2006/relationships/oleObject" Target="../embeddings/oleObject256.bin"/><Relationship Id="rId89" Type="http://schemas.openxmlformats.org/officeDocument/2006/relationships/oleObject" Target="../embeddings/oleObject261.bin"/><Relationship Id="rId16" Type="http://schemas.openxmlformats.org/officeDocument/2006/relationships/oleObject" Target="../embeddings/oleObject188.bin"/><Relationship Id="rId11" Type="http://schemas.openxmlformats.org/officeDocument/2006/relationships/oleObject" Target="../embeddings/oleObject183.bin"/><Relationship Id="rId32" Type="http://schemas.openxmlformats.org/officeDocument/2006/relationships/oleObject" Target="../embeddings/oleObject204.bin"/><Relationship Id="rId37" Type="http://schemas.openxmlformats.org/officeDocument/2006/relationships/oleObject" Target="../embeddings/oleObject209.bin"/><Relationship Id="rId53" Type="http://schemas.openxmlformats.org/officeDocument/2006/relationships/oleObject" Target="../embeddings/oleObject225.bin"/><Relationship Id="rId58" Type="http://schemas.openxmlformats.org/officeDocument/2006/relationships/oleObject" Target="../embeddings/oleObject230.bin"/><Relationship Id="rId74" Type="http://schemas.openxmlformats.org/officeDocument/2006/relationships/oleObject" Target="../embeddings/oleObject246.bin"/><Relationship Id="rId79" Type="http://schemas.openxmlformats.org/officeDocument/2006/relationships/oleObject" Target="../embeddings/oleObject251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262.bin"/><Relationship Id="rId14" Type="http://schemas.openxmlformats.org/officeDocument/2006/relationships/oleObject" Target="../embeddings/oleObject186.bin"/><Relationship Id="rId22" Type="http://schemas.openxmlformats.org/officeDocument/2006/relationships/oleObject" Target="../embeddings/oleObject194.bin"/><Relationship Id="rId27" Type="http://schemas.openxmlformats.org/officeDocument/2006/relationships/oleObject" Target="../embeddings/oleObject199.bin"/><Relationship Id="rId30" Type="http://schemas.openxmlformats.org/officeDocument/2006/relationships/oleObject" Target="../embeddings/oleObject202.bin"/><Relationship Id="rId35" Type="http://schemas.openxmlformats.org/officeDocument/2006/relationships/oleObject" Target="../embeddings/oleObject207.bin"/><Relationship Id="rId43" Type="http://schemas.openxmlformats.org/officeDocument/2006/relationships/oleObject" Target="../embeddings/oleObject215.bin"/><Relationship Id="rId48" Type="http://schemas.openxmlformats.org/officeDocument/2006/relationships/oleObject" Target="../embeddings/oleObject220.bin"/><Relationship Id="rId56" Type="http://schemas.openxmlformats.org/officeDocument/2006/relationships/oleObject" Target="../embeddings/oleObject228.bin"/><Relationship Id="rId64" Type="http://schemas.openxmlformats.org/officeDocument/2006/relationships/oleObject" Target="../embeddings/oleObject236.bin"/><Relationship Id="rId69" Type="http://schemas.openxmlformats.org/officeDocument/2006/relationships/oleObject" Target="../embeddings/oleObject241.bin"/><Relationship Id="rId77" Type="http://schemas.openxmlformats.org/officeDocument/2006/relationships/oleObject" Target="../embeddings/oleObject249.bin"/><Relationship Id="rId8" Type="http://schemas.openxmlformats.org/officeDocument/2006/relationships/oleObject" Target="../embeddings/oleObject180.bin"/><Relationship Id="rId51" Type="http://schemas.openxmlformats.org/officeDocument/2006/relationships/oleObject" Target="../embeddings/oleObject223.bin"/><Relationship Id="rId72" Type="http://schemas.openxmlformats.org/officeDocument/2006/relationships/oleObject" Target="../embeddings/oleObject244.bin"/><Relationship Id="rId80" Type="http://schemas.openxmlformats.org/officeDocument/2006/relationships/oleObject" Target="../embeddings/oleObject252.bin"/><Relationship Id="rId85" Type="http://schemas.openxmlformats.org/officeDocument/2006/relationships/oleObject" Target="../embeddings/oleObject257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184.bin"/><Relationship Id="rId17" Type="http://schemas.openxmlformats.org/officeDocument/2006/relationships/oleObject" Target="../embeddings/oleObject189.bin"/><Relationship Id="rId25" Type="http://schemas.openxmlformats.org/officeDocument/2006/relationships/oleObject" Target="../embeddings/oleObject197.bin"/><Relationship Id="rId33" Type="http://schemas.openxmlformats.org/officeDocument/2006/relationships/oleObject" Target="../embeddings/oleObject205.bin"/><Relationship Id="rId38" Type="http://schemas.openxmlformats.org/officeDocument/2006/relationships/oleObject" Target="../embeddings/oleObject210.bin"/><Relationship Id="rId46" Type="http://schemas.openxmlformats.org/officeDocument/2006/relationships/oleObject" Target="../embeddings/oleObject218.bin"/><Relationship Id="rId59" Type="http://schemas.openxmlformats.org/officeDocument/2006/relationships/oleObject" Target="../embeddings/oleObject231.bin"/><Relationship Id="rId67" Type="http://schemas.openxmlformats.org/officeDocument/2006/relationships/oleObject" Target="../embeddings/oleObject239.bin"/><Relationship Id="rId20" Type="http://schemas.openxmlformats.org/officeDocument/2006/relationships/oleObject" Target="../embeddings/oleObject192.bin"/><Relationship Id="rId41" Type="http://schemas.openxmlformats.org/officeDocument/2006/relationships/oleObject" Target="../embeddings/oleObject213.bin"/><Relationship Id="rId54" Type="http://schemas.openxmlformats.org/officeDocument/2006/relationships/oleObject" Target="../embeddings/oleObject226.bin"/><Relationship Id="rId62" Type="http://schemas.openxmlformats.org/officeDocument/2006/relationships/oleObject" Target="../embeddings/oleObject234.bin"/><Relationship Id="rId70" Type="http://schemas.openxmlformats.org/officeDocument/2006/relationships/oleObject" Target="../embeddings/oleObject242.bin"/><Relationship Id="rId75" Type="http://schemas.openxmlformats.org/officeDocument/2006/relationships/oleObject" Target="../embeddings/oleObject247.bin"/><Relationship Id="rId83" Type="http://schemas.openxmlformats.org/officeDocument/2006/relationships/oleObject" Target="../embeddings/oleObject255.bin"/><Relationship Id="rId88" Type="http://schemas.openxmlformats.org/officeDocument/2006/relationships/oleObject" Target="../embeddings/oleObject260.bin"/><Relationship Id="rId91" Type="http://schemas.openxmlformats.org/officeDocument/2006/relationships/oleObject" Target="../embeddings/oleObject263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78.bin"/><Relationship Id="rId15" Type="http://schemas.openxmlformats.org/officeDocument/2006/relationships/oleObject" Target="../embeddings/oleObject187.bin"/><Relationship Id="rId23" Type="http://schemas.openxmlformats.org/officeDocument/2006/relationships/oleObject" Target="../embeddings/oleObject195.bin"/><Relationship Id="rId28" Type="http://schemas.openxmlformats.org/officeDocument/2006/relationships/oleObject" Target="../embeddings/oleObject200.bin"/><Relationship Id="rId36" Type="http://schemas.openxmlformats.org/officeDocument/2006/relationships/oleObject" Target="../embeddings/oleObject208.bin"/><Relationship Id="rId49" Type="http://schemas.openxmlformats.org/officeDocument/2006/relationships/oleObject" Target="../embeddings/oleObject221.bin"/><Relationship Id="rId57" Type="http://schemas.openxmlformats.org/officeDocument/2006/relationships/oleObject" Target="../embeddings/oleObject229.bin"/><Relationship Id="rId10" Type="http://schemas.openxmlformats.org/officeDocument/2006/relationships/oleObject" Target="../embeddings/oleObject182.bin"/><Relationship Id="rId31" Type="http://schemas.openxmlformats.org/officeDocument/2006/relationships/oleObject" Target="../embeddings/oleObject203.bin"/><Relationship Id="rId44" Type="http://schemas.openxmlformats.org/officeDocument/2006/relationships/oleObject" Target="../embeddings/oleObject216.bin"/><Relationship Id="rId52" Type="http://schemas.openxmlformats.org/officeDocument/2006/relationships/oleObject" Target="../embeddings/oleObject224.bin"/><Relationship Id="rId60" Type="http://schemas.openxmlformats.org/officeDocument/2006/relationships/oleObject" Target="../embeddings/oleObject232.bin"/><Relationship Id="rId65" Type="http://schemas.openxmlformats.org/officeDocument/2006/relationships/oleObject" Target="../embeddings/oleObject237.bin"/><Relationship Id="rId73" Type="http://schemas.openxmlformats.org/officeDocument/2006/relationships/oleObject" Target="../embeddings/oleObject245.bin"/><Relationship Id="rId78" Type="http://schemas.openxmlformats.org/officeDocument/2006/relationships/oleObject" Target="../embeddings/oleObject250.bin"/><Relationship Id="rId81" Type="http://schemas.openxmlformats.org/officeDocument/2006/relationships/oleObject" Target="../embeddings/oleObject253.bin"/><Relationship Id="rId86" Type="http://schemas.openxmlformats.org/officeDocument/2006/relationships/oleObject" Target="../embeddings/oleObject258.bin"/><Relationship Id="rId4" Type="http://schemas.openxmlformats.org/officeDocument/2006/relationships/oleObject" Target="../embeddings/oleObject177.bin"/><Relationship Id="rId9" Type="http://schemas.openxmlformats.org/officeDocument/2006/relationships/oleObject" Target="../embeddings/oleObject181.bin"/><Relationship Id="rId13" Type="http://schemas.openxmlformats.org/officeDocument/2006/relationships/oleObject" Target="../embeddings/oleObject185.bin"/><Relationship Id="rId18" Type="http://schemas.openxmlformats.org/officeDocument/2006/relationships/oleObject" Target="../embeddings/oleObject190.bin"/><Relationship Id="rId39" Type="http://schemas.openxmlformats.org/officeDocument/2006/relationships/oleObject" Target="../embeddings/oleObject211.bin"/><Relationship Id="rId34" Type="http://schemas.openxmlformats.org/officeDocument/2006/relationships/oleObject" Target="../embeddings/oleObject206.bin"/><Relationship Id="rId50" Type="http://schemas.openxmlformats.org/officeDocument/2006/relationships/oleObject" Target="../embeddings/oleObject222.bin"/><Relationship Id="rId55" Type="http://schemas.openxmlformats.org/officeDocument/2006/relationships/oleObject" Target="../embeddings/oleObject227.bin"/><Relationship Id="rId76" Type="http://schemas.openxmlformats.org/officeDocument/2006/relationships/oleObject" Target="../embeddings/oleObject248.bin"/><Relationship Id="rId7" Type="http://schemas.openxmlformats.org/officeDocument/2006/relationships/oleObject" Target="../embeddings/oleObject179.bin"/><Relationship Id="rId71" Type="http://schemas.openxmlformats.org/officeDocument/2006/relationships/oleObject" Target="../embeddings/oleObject243.bin"/><Relationship Id="rId92" Type="http://schemas.openxmlformats.org/officeDocument/2006/relationships/oleObject" Target="../embeddings/oleObject264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201.bin"/><Relationship Id="rId24" Type="http://schemas.openxmlformats.org/officeDocument/2006/relationships/oleObject" Target="../embeddings/oleObject196.bin"/><Relationship Id="rId40" Type="http://schemas.openxmlformats.org/officeDocument/2006/relationships/oleObject" Target="../embeddings/oleObject212.bin"/><Relationship Id="rId45" Type="http://schemas.openxmlformats.org/officeDocument/2006/relationships/oleObject" Target="../embeddings/oleObject217.bin"/><Relationship Id="rId66" Type="http://schemas.openxmlformats.org/officeDocument/2006/relationships/oleObject" Target="../embeddings/oleObject238.bin"/><Relationship Id="rId87" Type="http://schemas.openxmlformats.org/officeDocument/2006/relationships/oleObject" Target="../embeddings/oleObject259.bin"/><Relationship Id="rId61" Type="http://schemas.openxmlformats.org/officeDocument/2006/relationships/oleObject" Target="../embeddings/oleObject233.bin"/><Relationship Id="rId82" Type="http://schemas.openxmlformats.org/officeDocument/2006/relationships/oleObject" Target="../embeddings/oleObject254.bin"/><Relationship Id="rId19" Type="http://schemas.openxmlformats.org/officeDocument/2006/relationships/oleObject" Target="../embeddings/oleObject19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286.bin"/><Relationship Id="rId21" Type="http://schemas.openxmlformats.org/officeDocument/2006/relationships/oleObject" Target="../embeddings/oleObject281.bin"/><Relationship Id="rId42" Type="http://schemas.openxmlformats.org/officeDocument/2006/relationships/oleObject" Target="../embeddings/oleObject302.bin"/><Relationship Id="rId47" Type="http://schemas.openxmlformats.org/officeDocument/2006/relationships/oleObject" Target="../embeddings/oleObject307.bin"/><Relationship Id="rId63" Type="http://schemas.openxmlformats.org/officeDocument/2006/relationships/oleObject" Target="../embeddings/oleObject323.bin"/><Relationship Id="rId68" Type="http://schemas.openxmlformats.org/officeDocument/2006/relationships/oleObject" Target="../embeddings/oleObject328.bin"/><Relationship Id="rId84" Type="http://schemas.openxmlformats.org/officeDocument/2006/relationships/oleObject" Target="../embeddings/oleObject344.bin"/><Relationship Id="rId89" Type="http://schemas.openxmlformats.org/officeDocument/2006/relationships/oleObject" Target="../embeddings/oleObject349.bin"/><Relationship Id="rId16" Type="http://schemas.openxmlformats.org/officeDocument/2006/relationships/oleObject" Target="../embeddings/oleObject276.bin"/><Relationship Id="rId11" Type="http://schemas.openxmlformats.org/officeDocument/2006/relationships/oleObject" Target="../embeddings/oleObject271.bin"/><Relationship Id="rId32" Type="http://schemas.openxmlformats.org/officeDocument/2006/relationships/oleObject" Target="../embeddings/oleObject292.bin"/><Relationship Id="rId37" Type="http://schemas.openxmlformats.org/officeDocument/2006/relationships/oleObject" Target="../embeddings/oleObject297.bin"/><Relationship Id="rId53" Type="http://schemas.openxmlformats.org/officeDocument/2006/relationships/oleObject" Target="../embeddings/oleObject313.bin"/><Relationship Id="rId58" Type="http://schemas.openxmlformats.org/officeDocument/2006/relationships/oleObject" Target="../embeddings/oleObject318.bin"/><Relationship Id="rId74" Type="http://schemas.openxmlformats.org/officeDocument/2006/relationships/oleObject" Target="../embeddings/oleObject334.bin"/><Relationship Id="rId79" Type="http://schemas.openxmlformats.org/officeDocument/2006/relationships/oleObject" Target="../embeddings/oleObject339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50.bin"/><Relationship Id="rId14" Type="http://schemas.openxmlformats.org/officeDocument/2006/relationships/oleObject" Target="../embeddings/oleObject274.bin"/><Relationship Id="rId22" Type="http://schemas.openxmlformats.org/officeDocument/2006/relationships/oleObject" Target="../embeddings/oleObject282.bin"/><Relationship Id="rId27" Type="http://schemas.openxmlformats.org/officeDocument/2006/relationships/oleObject" Target="../embeddings/oleObject287.bin"/><Relationship Id="rId30" Type="http://schemas.openxmlformats.org/officeDocument/2006/relationships/oleObject" Target="../embeddings/oleObject290.bin"/><Relationship Id="rId35" Type="http://schemas.openxmlformats.org/officeDocument/2006/relationships/oleObject" Target="../embeddings/oleObject295.bin"/><Relationship Id="rId43" Type="http://schemas.openxmlformats.org/officeDocument/2006/relationships/oleObject" Target="../embeddings/oleObject303.bin"/><Relationship Id="rId48" Type="http://schemas.openxmlformats.org/officeDocument/2006/relationships/oleObject" Target="../embeddings/oleObject308.bin"/><Relationship Id="rId56" Type="http://schemas.openxmlformats.org/officeDocument/2006/relationships/oleObject" Target="../embeddings/oleObject316.bin"/><Relationship Id="rId64" Type="http://schemas.openxmlformats.org/officeDocument/2006/relationships/oleObject" Target="../embeddings/oleObject324.bin"/><Relationship Id="rId69" Type="http://schemas.openxmlformats.org/officeDocument/2006/relationships/oleObject" Target="../embeddings/oleObject329.bin"/><Relationship Id="rId77" Type="http://schemas.openxmlformats.org/officeDocument/2006/relationships/oleObject" Target="../embeddings/oleObject337.bin"/><Relationship Id="rId8" Type="http://schemas.openxmlformats.org/officeDocument/2006/relationships/oleObject" Target="../embeddings/oleObject268.bin"/><Relationship Id="rId51" Type="http://schemas.openxmlformats.org/officeDocument/2006/relationships/oleObject" Target="../embeddings/oleObject311.bin"/><Relationship Id="rId72" Type="http://schemas.openxmlformats.org/officeDocument/2006/relationships/oleObject" Target="../embeddings/oleObject332.bin"/><Relationship Id="rId80" Type="http://schemas.openxmlformats.org/officeDocument/2006/relationships/oleObject" Target="../embeddings/oleObject340.bin"/><Relationship Id="rId85" Type="http://schemas.openxmlformats.org/officeDocument/2006/relationships/oleObject" Target="../embeddings/oleObject345.bin"/><Relationship Id="rId3" Type="http://schemas.openxmlformats.org/officeDocument/2006/relationships/vmlDrawing" Target="../drawings/vmlDrawing4.vml"/><Relationship Id="rId12" Type="http://schemas.openxmlformats.org/officeDocument/2006/relationships/oleObject" Target="../embeddings/oleObject272.bin"/><Relationship Id="rId17" Type="http://schemas.openxmlformats.org/officeDocument/2006/relationships/oleObject" Target="../embeddings/oleObject277.bin"/><Relationship Id="rId25" Type="http://schemas.openxmlformats.org/officeDocument/2006/relationships/oleObject" Target="../embeddings/oleObject285.bin"/><Relationship Id="rId33" Type="http://schemas.openxmlformats.org/officeDocument/2006/relationships/oleObject" Target="../embeddings/oleObject293.bin"/><Relationship Id="rId38" Type="http://schemas.openxmlformats.org/officeDocument/2006/relationships/oleObject" Target="../embeddings/oleObject298.bin"/><Relationship Id="rId46" Type="http://schemas.openxmlformats.org/officeDocument/2006/relationships/oleObject" Target="../embeddings/oleObject306.bin"/><Relationship Id="rId59" Type="http://schemas.openxmlformats.org/officeDocument/2006/relationships/oleObject" Target="../embeddings/oleObject319.bin"/><Relationship Id="rId67" Type="http://schemas.openxmlformats.org/officeDocument/2006/relationships/oleObject" Target="../embeddings/oleObject327.bin"/><Relationship Id="rId20" Type="http://schemas.openxmlformats.org/officeDocument/2006/relationships/oleObject" Target="../embeddings/oleObject280.bin"/><Relationship Id="rId41" Type="http://schemas.openxmlformats.org/officeDocument/2006/relationships/oleObject" Target="../embeddings/oleObject301.bin"/><Relationship Id="rId54" Type="http://schemas.openxmlformats.org/officeDocument/2006/relationships/oleObject" Target="../embeddings/oleObject314.bin"/><Relationship Id="rId62" Type="http://schemas.openxmlformats.org/officeDocument/2006/relationships/oleObject" Target="../embeddings/oleObject322.bin"/><Relationship Id="rId70" Type="http://schemas.openxmlformats.org/officeDocument/2006/relationships/oleObject" Target="../embeddings/oleObject330.bin"/><Relationship Id="rId75" Type="http://schemas.openxmlformats.org/officeDocument/2006/relationships/oleObject" Target="../embeddings/oleObject335.bin"/><Relationship Id="rId83" Type="http://schemas.openxmlformats.org/officeDocument/2006/relationships/oleObject" Target="../embeddings/oleObject343.bin"/><Relationship Id="rId88" Type="http://schemas.openxmlformats.org/officeDocument/2006/relationships/oleObject" Target="../embeddings/oleObject348.bin"/><Relationship Id="rId91" Type="http://schemas.openxmlformats.org/officeDocument/2006/relationships/oleObject" Target="../embeddings/oleObject351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66.bin"/><Relationship Id="rId15" Type="http://schemas.openxmlformats.org/officeDocument/2006/relationships/oleObject" Target="../embeddings/oleObject275.bin"/><Relationship Id="rId23" Type="http://schemas.openxmlformats.org/officeDocument/2006/relationships/oleObject" Target="../embeddings/oleObject283.bin"/><Relationship Id="rId28" Type="http://schemas.openxmlformats.org/officeDocument/2006/relationships/oleObject" Target="../embeddings/oleObject288.bin"/><Relationship Id="rId36" Type="http://schemas.openxmlformats.org/officeDocument/2006/relationships/oleObject" Target="../embeddings/oleObject296.bin"/><Relationship Id="rId49" Type="http://schemas.openxmlformats.org/officeDocument/2006/relationships/oleObject" Target="../embeddings/oleObject309.bin"/><Relationship Id="rId57" Type="http://schemas.openxmlformats.org/officeDocument/2006/relationships/oleObject" Target="../embeddings/oleObject317.bin"/><Relationship Id="rId10" Type="http://schemas.openxmlformats.org/officeDocument/2006/relationships/oleObject" Target="../embeddings/oleObject270.bin"/><Relationship Id="rId31" Type="http://schemas.openxmlformats.org/officeDocument/2006/relationships/oleObject" Target="../embeddings/oleObject291.bin"/><Relationship Id="rId44" Type="http://schemas.openxmlformats.org/officeDocument/2006/relationships/oleObject" Target="../embeddings/oleObject304.bin"/><Relationship Id="rId52" Type="http://schemas.openxmlformats.org/officeDocument/2006/relationships/oleObject" Target="../embeddings/oleObject312.bin"/><Relationship Id="rId60" Type="http://schemas.openxmlformats.org/officeDocument/2006/relationships/oleObject" Target="../embeddings/oleObject320.bin"/><Relationship Id="rId65" Type="http://schemas.openxmlformats.org/officeDocument/2006/relationships/oleObject" Target="../embeddings/oleObject325.bin"/><Relationship Id="rId73" Type="http://schemas.openxmlformats.org/officeDocument/2006/relationships/oleObject" Target="../embeddings/oleObject333.bin"/><Relationship Id="rId78" Type="http://schemas.openxmlformats.org/officeDocument/2006/relationships/oleObject" Target="../embeddings/oleObject338.bin"/><Relationship Id="rId81" Type="http://schemas.openxmlformats.org/officeDocument/2006/relationships/oleObject" Target="../embeddings/oleObject341.bin"/><Relationship Id="rId86" Type="http://schemas.openxmlformats.org/officeDocument/2006/relationships/oleObject" Target="../embeddings/oleObject346.bin"/><Relationship Id="rId4" Type="http://schemas.openxmlformats.org/officeDocument/2006/relationships/oleObject" Target="../embeddings/oleObject265.bin"/><Relationship Id="rId9" Type="http://schemas.openxmlformats.org/officeDocument/2006/relationships/oleObject" Target="../embeddings/oleObject269.bin"/><Relationship Id="rId13" Type="http://schemas.openxmlformats.org/officeDocument/2006/relationships/oleObject" Target="../embeddings/oleObject273.bin"/><Relationship Id="rId18" Type="http://schemas.openxmlformats.org/officeDocument/2006/relationships/oleObject" Target="../embeddings/oleObject278.bin"/><Relationship Id="rId39" Type="http://schemas.openxmlformats.org/officeDocument/2006/relationships/oleObject" Target="../embeddings/oleObject299.bin"/><Relationship Id="rId34" Type="http://schemas.openxmlformats.org/officeDocument/2006/relationships/oleObject" Target="../embeddings/oleObject294.bin"/><Relationship Id="rId50" Type="http://schemas.openxmlformats.org/officeDocument/2006/relationships/oleObject" Target="../embeddings/oleObject310.bin"/><Relationship Id="rId55" Type="http://schemas.openxmlformats.org/officeDocument/2006/relationships/oleObject" Target="../embeddings/oleObject315.bin"/><Relationship Id="rId76" Type="http://schemas.openxmlformats.org/officeDocument/2006/relationships/oleObject" Target="../embeddings/oleObject336.bin"/><Relationship Id="rId7" Type="http://schemas.openxmlformats.org/officeDocument/2006/relationships/oleObject" Target="../embeddings/oleObject267.bin"/><Relationship Id="rId71" Type="http://schemas.openxmlformats.org/officeDocument/2006/relationships/oleObject" Target="../embeddings/oleObject331.bin"/><Relationship Id="rId92" Type="http://schemas.openxmlformats.org/officeDocument/2006/relationships/oleObject" Target="../embeddings/oleObject352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289.bin"/><Relationship Id="rId24" Type="http://schemas.openxmlformats.org/officeDocument/2006/relationships/oleObject" Target="../embeddings/oleObject284.bin"/><Relationship Id="rId40" Type="http://schemas.openxmlformats.org/officeDocument/2006/relationships/oleObject" Target="../embeddings/oleObject300.bin"/><Relationship Id="rId45" Type="http://schemas.openxmlformats.org/officeDocument/2006/relationships/oleObject" Target="../embeddings/oleObject305.bin"/><Relationship Id="rId66" Type="http://schemas.openxmlformats.org/officeDocument/2006/relationships/oleObject" Target="../embeddings/oleObject326.bin"/><Relationship Id="rId87" Type="http://schemas.openxmlformats.org/officeDocument/2006/relationships/oleObject" Target="../embeddings/oleObject347.bin"/><Relationship Id="rId61" Type="http://schemas.openxmlformats.org/officeDocument/2006/relationships/oleObject" Target="../embeddings/oleObject321.bin"/><Relationship Id="rId82" Type="http://schemas.openxmlformats.org/officeDocument/2006/relationships/oleObject" Target="../embeddings/oleObject342.bin"/><Relationship Id="rId19" Type="http://schemas.openxmlformats.org/officeDocument/2006/relationships/oleObject" Target="../embeddings/oleObject27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2"/>
  <sheetViews>
    <sheetView showGridLines="0" view="pageBreakPreview" topLeftCell="F22" zoomScale="106" zoomScaleNormal="106" zoomScaleSheetLayoutView="106" workbookViewId="0">
      <selection activeCell="J26" sqref="J26"/>
    </sheetView>
  </sheetViews>
  <sheetFormatPr defaultColWidth="9.140625" defaultRowHeight="12.75" x14ac:dyDescent="0.2"/>
  <cols>
    <col min="1" max="1" width="4.5703125" style="21" customWidth="1"/>
    <col min="2" max="2" width="4.140625" style="21" customWidth="1"/>
    <col min="3" max="3" width="20.7109375" style="21" customWidth="1"/>
    <col min="4" max="4" width="13.42578125" style="21" customWidth="1"/>
    <col min="5" max="5" width="2.140625" style="21" customWidth="1"/>
    <col min="6" max="6" width="9" style="21" customWidth="1"/>
    <col min="7" max="7" width="10.7109375" style="21" customWidth="1"/>
    <col min="8" max="8" width="11.140625" style="21" customWidth="1"/>
    <col min="9" max="9" width="10.7109375" style="21" customWidth="1"/>
    <col min="10" max="10" width="11.140625" style="21" customWidth="1"/>
    <col min="11" max="11" width="15.42578125" style="21" customWidth="1"/>
    <col min="12" max="12" width="8.85546875" style="21" customWidth="1"/>
    <col min="13" max="13" width="6.7109375" style="21" customWidth="1"/>
    <col min="14" max="23" width="4.7109375" style="21" customWidth="1"/>
    <col min="24" max="16384" width="9.140625" style="21"/>
  </cols>
  <sheetData>
    <row r="1" spans="1:13" ht="21" x14ac:dyDescent="0.2">
      <c r="A1" s="588" t="s">
        <v>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20"/>
    </row>
    <row r="2" spans="1:13" ht="17.25" customHeight="1" x14ac:dyDescent="0.2">
      <c r="A2" s="589" t="s">
        <v>1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9"/>
    </row>
    <row r="3" spans="1:13" ht="9.75" customHeight="1" x14ac:dyDescent="0.2"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"/>
    </row>
    <row r="4" spans="1:13" ht="15.75" x14ac:dyDescent="0.2">
      <c r="A4" s="178" t="s">
        <v>2</v>
      </c>
      <c r="C4" s="178"/>
      <c r="D4" s="178"/>
      <c r="E4" s="178" t="s">
        <v>3</v>
      </c>
      <c r="F4" s="600"/>
      <c r="G4" s="600"/>
      <c r="H4" s="600"/>
      <c r="I4" s="600"/>
      <c r="J4" s="600"/>
      <c r="K4" s="178"/>
      <c r="L4" s="23"/>
      <c r="M4" s="24"/>
    </row>
    <row r="5" spans="1:13" ht="15.75" x14ac:dyDescent="0.2">
      <c r="A5" s="178" t="s">
        <v>4</v>
      </c>
      <c r="C5" s="178"/>
      <c r="D5" s="178"/>
      <c r="E5" s="178" t="s">
        <v>3</v>
      </c>
      <c r="F5" s="600"/>
      <c r="G5" s="600"/>
      <c r="H5" s="600"/>
      <c r="I5" s="600"/>
      <c r="J5" s="600"/>
      <c r="K5" s="178"/>
      <c r="L5" s="23"/>
      <c r="M5" s="24"/>
    </row>
    <row r="6" spans="1:13" ht="15.75" x14ac:dyDescent="0.2">
      <c r="A6" s="178" t="s">
        <v>5</v>
      </c>
      <c r="C6" s="178"/>
      <c r="D6" s="178"/>
      <c r="E6" s="178" t="s">
        <v>3</v>
      </c>
      <c r="F6" s="178"/>
      <c r="G6" s="178"/>
      <c r="H6" s="178"/>
      <c r="I6" s="178"/>
      <c r="J6" s="178"/>
      <c r="K6" s="178"/>
      <c r="L6" s="23"/>
      <c r="M6" s="24"/>
    </row>
    <row r="7" spans="1:13" ht="15.75" x14ac:dyDescent="0.2">
      <c r="A7" s="178" t="s">
        <v>6</v>
      </c>
      <c r="C7" s="178"/>
      <c r="D7" s="178"/>
      <c r="E7" s="178" t="s">
        <v>3</v>
      </c>
      <c r="F7" s="178"/>
      <c r="G7" s="178"/>
      <c r="H7" s="178"/>
      <c r="I7" s="178"/>
      <c r="J7" s="178"/>
      <c r="K7" s="178"/>
      <c r="L7" s="23"/>
      <c r="M7" s="24"/>
    </row>
    <row r="8" spans="1:13" ht="15.75" x14ac:dyDescent="0.2">
      <c r="A8" s="178" t="s">
        <v>7</v>
      </c>
      <c r="C8" s="178"/>
      <c r="D8" s="178"/>
      <c r="E8" s="178" t="s">
        <v>3</v>
      </c>
      <c r="F8" s="178"/>
      <c r="G8" s="178"/>
      <c r="H8" s="178"/>
      <c r="I8" s="178"/>
      <c r="J8" s="178"/>
      <c r="K8" s="178"/>
      <c r="L8" s="23"/>
      <c r="M8" s="24"/>
    </row>
    <row r="9" spans="1:13" ht="15.75" x14ac:dyDescent="0.2">
      <c r="A9" s="178" t="s">
        <v>8</v>
      </c>
      <c r="C9" s="178"/>
      <c r="D9" s="178"/>
      <c r="E9" s="178" t="s">
        <v>3</v>
      </c>
      <c r="F9" s="178"/>
      <c r="G9" s="178"/>
      <c r="H9" s="178"/>
      <c r="I9" s="178"/>
      <c r="J9" s="178"/>
      <c r="K9" s="178"/>
      <c r="L9" s="23"/>
      <c r="M9" s="24"/>
    </row>
    <row r="10" spans="1:13" ht="15.75" x14ac:dyDescent="0.2">
      <c r="A10" s="178" t="s">
        <v>9</v>
      </c>
      <c r="C10" s="178"/>
      <c r="D10" s="178"/>
      <c r="E10" s="178" t="s">
        <v>3</v>
      </c>
      <c r="F10" s="178"/>
      <c r="G10" s="178"/>
      <c r="H10" s="178"/>
      <c r="I10" s="178"/>
      <c r="J10" s="178"/>
      <c r="K10" s="178"/>
      <c r="L10" s="23"/>
      <c r="M10" s="24"/>
    </row>
    <row r="11" spans="1:13" ht="15.75" x14ac:dyDescent="0.2"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23"/>
      <c r="M11" s="24"/>
    </row>
    <row r="12" spans="1:13" ht="6.75" customHeight="1" x14ac:dyDescent="0.2"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3"/>
      <c r="M12" s="24"/>
    </row>
    <row r="13" spans="1:13" ht="15.75" x14ac:dyDescent="0.2">
      <c r="A13" s="182" t="s">
        <v>10</v>
      </c>
      <c r="B13" s="182" t="s">
        <v>11</v>
      </c>
      <c r="D13" s="182"/>
      <c r="E13" s="182"/>
      <c r="F13" s="183" t="s">
        <v>12</v>
      </c>
      <c r="G13" s="183" t="s">
        <v>13</v>
      </c>
      <c r="H13" s="182"/>
      <c r="I13" s="182"/>
      <c r="J13" s="182"/>
      <c r="K13" s="182"/>
      <c r="L13" s="270" t="s">
        <v>14</v>
      </c>
      <c r="M13" s="24"/>
    </row>
    <row r="14" spans="1:13" ht="16.5" x14ac:dyDescent="0.2">
      <c r="B14" s="178"/>
      <c r="C14" s="178" t="s">
        <v>15</v>
      </c>
      <c r="D14" s="178"/>
      <c r="E14" s="178" t="s">
        <v>3</v>
      </c>
      <c r="F14" s="184"/>
      <c r="G14" s="184"/>
      <c r="H14" s="185" t="s">
        <v>16</v>
      </c>
      <c r="I14" s="178"/>
      <c r="J14" s="178"/>
      <c r="K14" s="178"/>
      <c r="L14" s="272">
        <v>5</v>
      </c>
      <c r="M14" s="24"/>
    </row>
    <row r="15" spans="1:13" ht="15.75" x14ac:dyDescent="0.2">
      <c r="B15" s="178"/>
      <c r="C15" s="178" t="s">
        <v>17</v>
      </c>
      <c r="D15" s="178"/>
      <c r="E15" s="178" t="s">
        <v>3</v>
      </c>
      <c r="F15" s="186"/>
      <c r="G15" s="186"/>
      <c r="H15" s="178" t="s">
        <v>18</v>
      </c>
      <c r="I15" s="178"/>
      <c r="J15" s="178"/>
      <c r="K15" s="178"/>
      <c r="L15" s="272">
        <v>5</v>
      </c>
      <c r="M15" s="24"/>
    </row>
    <row r="16" spans="1:13" ht="15.75" x14ac:dyDescent="0.2">
      <c r="B16" s="178"/>
      <c r="C16" s="178" t="s">
        <v>19</v>
      </c>
      <c r="D16" s="178"/>
      <c r="E16" s="178" t="s">
        <v>20</v>
      </c>
      <c r="F16" s="599"/>
      <c r="G16" s="599"/>
      <c r="H16" s="178" t="s">
        <v>21</v>
      </c>
      <c r="I16" s="178"/>
      <c r="J16" s="178"/>
      <c r="K16" s="178"/>
      <c r="L16" s="23"/>
      <c r="M16" s="24"/>
    </row>
    <row r="17" spans="1:28" ht="15" customHeight="1" x14ac:dyDescent="0.2"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3"/>
      <c r="M17" s="24"/>
    </row>
    <row r="18" spans="1:28" ht="15.75" x14ac:dyDescent="0.2">
      <c r="A18" s="182" t="s">
        <v>22</v>
      </c>
      <c r="B18" s="182" t="s">
        <v>23</v>
      </c>
      <c r="D18" s="182"/>
      <c r="E18" s="182"/>
      <c r="F18" s="182"/>
      <c r="G18" s="182"/>
      <c r="H18" s="182"/>
      <c r="I18" s="182"/>
      <c r="J18" s="182"/>
      <c r="K18" s="178"/>
      <c r="L18" s="23"/>
      <c r="M18" s="24"/>
    </row>
    <row r="19" spans="1:28" ht="15.75" x14ac:dyDescent="0.2">
      <c r="B19" s="178"/>
      <c r="C19" s="178" t="s">
        <v>24</v>
      </c>
      <c r="D19" s="178"/>
      <c r="E19" s="178" t="s">
        <v>3</v>
      </c>
      <c r="F19" s="178" t="s">
        <v>25</v>
      </c>
      <c r="G19" s="178"/>
      <c r="H19" s="178"/>
      <c r="I19" s="178"/>
      <c r="J19" s="178"/>
      <c r="K19" s="178"/>
      <c r="L19" s="23"/>
      <c r="M19" s="24"/>
    </row>
    <row r="20" spans="1:28" ht="15.75" x14ac:dyDescent="0.2">
      <c r="B20" s="178"/>
      <c r="C20" s="178" t="s">
        <v>26</v>
      </c>
      <c r="D20" s="178"/>
      <c r="E20" s="178" t="s">
        <v>20</v>
      </c>
      <c r="F20" s="178" t="s">
        <v>25</v>
      </c>
      <c r="G20" s="178"/>
      <c r="H20" s="178"/>
      <c r="I20" s="178"/>
      <c r="J20" s="178"/>
      <c r="K20" s="178"/>
      <c r="L20" s="23"/>
      <c r="M20" s="24"/>
    </row>
    <row r="21" spans="1:28" ht="15" customHeight="1" x14ac:dyDescent="0.2"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3"/>
      <c r="M21" s="24"/>
    </row>
    <row r="22" spans="1:28" ht="15.75" x14ac:dyDescent="0.2">
      <c r="A22" s="182" t="s">
        <v>27</v>
      </c>
      <c r="B22" s="182" t="s">
        <v>28</v>
      </c>
      <c r="D22" s="178"/>
      <c r="E22" s="178"/>
      <c r="F22" s="178"/>
      <c r="G22" s="187"/>
      <c r="H22" s="188"/>
      <c r="I22" s="178"/>
      <c r="J22" s="178"/>
      <c r="K22" s="178"/>
      <c r="L22" s="23"/>
      <c r="M22" s="24"/>
    </row>
    <row r="23" spans="1:28" ht="15" customHeight="1" x14ac:dyDescent="0.2">
      <c r="B23" s="597" t="s">
        <v>29</v>
      </c>
      <c r="C23" s="605" t="s">
        <v>30</v>
      </c>
      <c r="D23" s="606"/>
      <c r="E23" s="606"/>
      <c r="F23" s="606"/>
      <c r="G23" s="606"/>
      <c r="H23" s="606"/>
      <c r="I23" s="601" t="s">
        <v>31</v>
      </c>
      <c r="J23" s="602"/>
      <c r="K23" s="189" t="s">
        <v>32</v>
      </c>
      <c r="M23" s="24"/>
    </row>
    <row r="24" spans="1:28" ht="17.25" customHeight="1" x14ac:dyDescent="0.2">
      <c r="B24" s="598"/>
      <c r="C24" s="607"/>
      <c r="D24" s="608"/>
      <c r="E24" s="608"/>
      <c r="F24" s="608"/>
      <c r="G24" s="608"/>
      <c r="H24" s="608"/>
      <c r="I24" s="603"/>
      <c r="J24" s="604"/>
      <c r="K24" s="190" t="s">
        <v>33</v>
      </c>
      <c r="L24" s="271" t="s">
        <v>14</v>
      </c>
      <c r="M24" s="24"/>
    </row>
    <row r="25" spans="1:28" ht="20.25" customHeight="1" x14ac:dyDescent="0.2">
      <c r="B25" s="191">
        <v>1</v>
      </c>
      <c r="C25" s="173" t="s">
        <v>34</v>
      </c>
      <c r="D25" s="192"/>
      <c r="E25" s="192"/>
      <c r="F25" s="192"/>
      <c r="G25" s="192"/>
      <c r="H25" s="192"/>
      <c r="I25" s="193"/>
      <c r="J25" s="194" t="s">
        <v>35</v>
      </c>
      <c r="K25" s="175" t="s">
        <v>36</v>
      </c>
      <c r="L25" s="273">
        <v>10</v>
      </c>
      <c r="M25" s="24"/>
    </row>
    <row r="26" spans="1:28" ht="20.25" customHeight="1" x14ac:dyDescent="0.2">
      <c r="B26" s="193">
        <v>2</v>
      </c>
      <c r="C26" s="173" t="s">
        <v>37</v>
      </c>
      <c r="D26" s="195"/>
      <c r="E26" s="195"/>
      <c r="F26" s="195"/>
      <c r="G26" s="195"/>
      <c r="H26" s="195"/>
      <c r="I26" s="173"/>
      <c r="J26" s="194" t="s">
        <v>38</v>
      </c>
      <c r="K26" s="176" t="s">
        <v>39</v>
      </c>
      <c r="L26" s="273">
        <v>10</v>
      </c>
      <c r="M26" s="24"/>
    </row>
    <row r="27" spans="1:28" ht="20.25" customHeight="1" x14ac:dyDescent="0.2">
      <c r="B27" s="193">
        <v>3</v>
      </c>
      <c r="C27" s="174" t="s">
        <v>40</v>
      </c>
      <c r="D27" s="195"/>
      <c r="E27" s="195"/>
      <c r="F27" s="195"/>
      <c r="G27" s="195"/>
      <c r="H27" s="195"/>
      <c r="I27" s="173"/>
      <c r="J27" s="194" t="s">
        <v>41</v>
      </c>
      <c r="K27" s="177" t="s">
        <v>42</v>
      </c>
      <c r="L27" s="273">
        <v>20</v>
      </c>
      <c r="M27" s="24"/>
    </row>
    <row r="28" spans="1:28" ht="15" customHeight="1" x14ac:dyDescent="0.2">
      <c r="B28" s="196"/>
      <c r="C28" s="178"/>
      <c r="D28" s="178"/>
      <c r="E28" s="178"/>
      <c r="F28" s="178"/>
      <c r="G28" s="178"/>
      <c r="H28" s="178"/>
      <c r="I28" s="178"/>
      <c r="J28" s="178"/>
      <c r="K28" s="197"/>
      <c r="L28" s="25"/>
      <c r="M28" s="24"/>
      <c r="O28" s="26"/>
      <c r="P28" s="26"/>
      <c r="Q28" s="27"/>
      <c r="R28" s="27"/>
      <c r="S28" s="28"/>
      <c r="T28" s="29"/>
      <c r="U28" s="30"/>
      <c r="V28" s="27"/>
      <c r="W28" s="27"/>
      <c r="X28" s="27"/>
      <c r="Y28" s="27"/>
      <c r="Z28" s="27"/>
      <c r="AA28" s="27"/>
      <c r="AB28" s="27"/>
    </row>
    <row r="29" spans="1:28" ht="15.75" x14ac:dyDescent="0.2">
      <c r="A29" s="182" t="s">
        <v>43</v>
      </c>
      <c r="B29" s="182" t="s">
        <v>44</v>
      </c>
      <c r="D29" s="182"/>
      <c r="E29" s="182"/>
      <c r="F29" s="182"/>
      <c r="G29" s="182"/>
      <c r="H29" s="196"/>
      <c r="I29" s="178"/>
      <c r="J29" s="178"/>
      <c r="K29" s="178"/>
      <c r="L29" s="23"/>
      <c r="M29" s="24"/>
      <c r="O29" s="18"/>
      <c r="P29" s="613"/>
      <c r="Q29" s="613"/>
      <c r="R29" s="613"/>
      <c r="S29" s="613"/>
      <c r="T29" s="613"/>
      <c r="U29" s="613"/>
      <c r="V29" s="613"/>
      <c r="W29" s="613"/>
      <c r="X29" s="613"/>
      <c r="Y29" s="614"/>
      <c r="Z29" s="614"/>
      <c r="AA29" s="614"/>
      <c r="AB29" s="614"/>
    </row>
    <row r="30" spans="1:28" ht="12.75" customHeight="1" x14ac:dyDescent="0.2">
      <c r="B30" s="590" t="s">
        <v>29</v>
      </c>
      <c r="C30" s="590" t="s">
        <v>30</v>
      </c>
      <c r="D30" s="590" t="s">
        <v>45</v>
      </c>
      <c r="E30" s="592" t="s">
        <v>46</v>
      </c>
      <c r="F30" s="592"/>
      <c r="G30" s="592"/>
      <c r="H30" s="592"/>
      <c r="I30" s="592"/>
      <c r="J30" s="592"/>
      <c r="K30" s="593" t="s">
        <v>47</v>
      </c>
      <c r="L30" s="596" t="s">
        <v>14</v>
      </c>
      <c r="M30" s="24"/>
      <c r="O30" s="18"/>
      <c r="P30" s="1"/>
      <c r="Q30" s="18"/>
      <c r="R30" s="18"/>
      <c r="S30" s="18"/>
      <c r="T30" s="18"/>
      <c r="U30" s="18"/>
      <c r="V30" s="18"/>
      <c r="W30" s="18"/>
      <c r="X30" s="18"/>
      <c r="Y30" s="19"/>
      <c r="Z30" s="2"/>
      <c r="AA30" s="2"/>
      <c r="AB30" s="2"/>
    </row>
    <row r="31" spans="1:28" ht="21.75" customHeight="1" x14ac:dyDescent="0.2">
      <c r="B31" s="591"/>
      <c r="C31" s="591"/>
      <c r="D31" s="591"/>
      <c r="E31" s="594" t="s">
        <v>48</v>
      </c>
      <c r="F31" s="595"/>
      <c r="G31" s="190" t="s">
        <v>49</v>
      </c>
      <c r="H31" s="190" t="s">
        <v>50</v>
      </c>
      <c r="I31" s="190" t="s">
        <v>51</v>
      </c>
      <c r="J31" s="190" t="s">
        <v>52</v>
      </c>
      <c r="K31" s="593"/>
      <c r="L31" s="596"/>
      <c r="M31" s="24"/>
      <c r="O31" s="19"/>
      <c r="P31" s="609"/>
      <c r="Q31" s="609"/>
      <c r="R31" s="609"/>
      <c r="S31" s="609"/>
      <c r="T31" s="609"/>
      <c r="U31" s="609"/>
      <c r="V31" s="609"/>
      <c r="W31" s="609"/>
      <c r="X31" s="609"/>
      <c r="Y31" s="27"/>
      <c r="Z31" s="31"/>
      <c r="AA31" s="612"/>
      <c r="AB31" s="612"/>
    </row>
    <row r="32" spans="1:28" ht="86.25" customHeight="1" x14ac:dyDescent="0.2">
      <c r="B32" s="184">
        <v>1</v>
      </c>
      <c r="C32" s="198" t="s">
        <v>53</v>
      </c>
      <c r="D32" s="256" t="s">
        <v>54</v>
      </c>
      <c r="E32" s="610"/>
      <c r="F32" s="611"/>
      <c r="G32" s="199"/>
      <c r="H32" s="199"/>
      <c r="I32" s="199"/>
      <c r="J32" s="199"/>
      <c r="K32" s="200" t="s">
        <v>55</v>
      </c>
      <c r="L32" s="274">
        <v>50</v>
      </c>
      <c r="M32" s="24"/>
      <c r="O32" s="19"/>
      <c r="P32" s="609"/>
      <c r="Q32" s="609"/>
      <c r="R32" s="609"/>
      <c r="S32" s="609"/>
      <c r="T32" s="609"/>
      <c r="U32" s="609"/>
      <c r="V32" s="609"/>
      <c r="W32" s="609"/>
      <c r="X32" s="609"/>
      <c r="Y32" s="27"/>
      <c r="Z32" s="32"/>
      <c r="AA32" s="612"/>
      <c r="AB32" s="612"/>
    </row>
    <row r="33" spans="1:28" ht="15" customHeight="1" x14ac:dyDescent="0.2">
      <c r="B33" s="196"/>
      <c r="C33" s="196"/>
      <c r="D33" s="197"/>
      <c r="E33" s="196"/>
      <c r="F33" s="196"/>
      <c r="G33" s="196"/>
      <c r="H33" s="196"/>
      <c r="I33" s="196"/>
      <c r="J33" s="196"/>
      <c r="K33" s="179"/>
      <c r="L33" s="8"/>
      <c r="M33" s="24"/>
      <c r="O33" s="19"/>
      <c r="P33" s="609"/>
      <c r="Q33" s="609"/>
      <c r="R33" s="609"/>
      <c r="S33" s="609"/>
      <c r="T33" s="609"/>
      <c r="U33" s="609"/>
      <c r="V33" s="609"/>
      <c r="W33" s="609"/>
      <c r="X33" s="609"/>
      <c r="Y33" s="27"/>
      <c r="Z33" s="32"/>
      <c r="AA33" s="612"/>
      <c r="AB33" s="612"/>
    </row>
    <row r="34" spans="1:28" ht="15.75" x14ac:dyDescent="0.2">
      <c r="A34" s="182" t="s">
        <v>56</v>
      </c>
      <c r="B34" s="182" t="s">
        <v>57</v>
      </c>
      <c r="D34" s="178"/>
      <c r="E34" s="178"/>
      <c r="F34" s="178"/>
      <c r="G34" s="178"/>
      <c r="H34" s="178"/>
      <c r="I34" s="178"/>
      <c r="J34" s="178"/>
      <c r="K34" s="178"/>
      <c r="L34" s="23"/>
      <c r="M34" s="24"/>
      <c r="O34" s="19"/>
      <c r="P34" s="609"/>
      <c r="Q34" s="609"/>
      <c r="R34" s="609"/>
      <c r="S34" s="609"/>
      <c r="T34" s="609"/>
      <c r="U34" s="609"/>
      <c r="V34" s="609"/>
      <c r="W34" s="609"/>
      <c r="X34" s="609"/>
      <c r="Y34" s="27"/>
      <c r="Z34" s="32"/>
      <c r="AA34" s="612"/>
      <c r="AB34" s="612"/>
    </row>
    <row r="35" spans="1:28" ht="26.25" customHeight="1" x14ac:dyDescent="0.2">
      <c r="B35" s="178"/>
      <c r="C35" s="178" t="s">
        <v>58</v>
      </c>
      <c r="D35" s="178"/>
      <c r="E35" s="178"/>
      <c r="F35" s="178"/>
      <c r="G35" s="178"/>
      <c r="H35" s="178"/>
      <c r="I35" s="178"/>
      <c r="J35" s="178"/>
      <c r="K35" s="178"/>
      <c r="L35" s="23"/>
      <c r="M35" s="24"/>
      <c r="O35" s="19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32"/>
      <c r="AA35" s="612"/>
      <c r="AB35" s="612"/>
    </row>
    <row r="36" spans="1:28" ht="26.25" customHeight="1" x14ac:dyDescent="0.2">
      <c r="B36" s="178"/>
      <c r="C36" s="197" t="s">
        <v>58</v>
      </c>
      <c r="D36" s="178"/>
      <c r="E36" s="178"/>
      <c r="F36" s="178"/>
      <c r="G36" s="178"/>
      <c r="H36" s="178"/>
      <c r="I36" s="178"/>
      <c r="J36" s="178"/>
      <c r="K36" s="178"/>
      <c r="L36" s="23"/>
      <c r="M36" s="24"/>
      <c r="O36" s="19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32"/>
      <c r="AA36" s="33"/>
      <c r="AB36" s="33"/>
    </row>
    <row r="37" spans="1:28" ht="15" customHeight="1" x14ac:dyDescent="0.2">
      <c r="B37" s="178"/>
      <c r="C37" s="197"/>
      <c r="D37" s="178"/>
      <c r="E37" s="178"/>
      <c r="F37" s="178"/>
      <c r="G37" s="178"/>
      <c r="H37" s="178"/>
      <c r="I37" s="178"/>
      <c r="J37" s="178"/>
      <c r="K37" s="178"/>
      <c r="L37" s="23"/>
      <c r="M37" s="24"/>
      <c r="O37" s="19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32"/>
      <c r="AA37" s="612"/>
      <c r="AB37" s="612"/>
    </row>
    <row r="38" spans="1:28" ht="15.75" x14ac:dyDescent="0.2">
      <c r="A38" s="182" t="s">
        <v>59</v>
      </c>
      <c r="B38" s="182" t="s">
        <v>60</v>
      </c>
      <c r="D38" s="182"/>
      <c r="E38" s="178"/>
      <c r="F38" s="178"/>
      <c r="G38" s="178"/>
      <c r="H38" s="178"/>
      <c r="I38" s="178"/>
      <c r="J38" s="178"/>
      <c r="K38" s="178"/>
      <c r="L38" s="23"/>
      <c r="M38" s="24"/>
      <c r="O38" s="19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32"/>
      <c r="AA38" s="612"/>
      <c r="AB38" s="612"/>
    </row>
    <row r="39" spans="1:28" ht="15.75" x14ac:dyDescent="0.2">
      <c r="B39" s="201"/>
      <c r="C39" s="178" t="s">
        <v>61</v>
      </c>
      <c r="D39" s="178"/>
      <c r="E39" s="178"/>
      <c r="F39" s="178"/>
      <c r="G39" s="178"/>
      <c r="H39" s="178"/>
      <c r="I39" s="178"/>
      <c r="J39" s="178"/>
      <c r="K39" s="178"/>
      <c r="L39" s="23"/>
      <c r="M39" s="24"/>
      <c r="O39" s="1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32"/>
      <c r="AA39" s="612"/>
      <c r="AB39" s="612"/>
    </row>
    <row r="40" spans="1:28" ht="15.75" x14ac:dyDescent="0.2">
      <c r="B40" s="201"/>
      <c r="C40" s="178" t="s">
        <v>62</v>
      </c>
      <c r="D40" s="178"/>
      <c r="E40" s="178"/>
      <c r="F40" s="178"/>
      <c r="G40" s="178"/>
      <c r="H40" s="178"/>
      <c r="I40" s="178"/>
      <c r="J40" s="178"/>
      <c r="K40" s="178"/>
      <c r="L40" s="23"/>
      <c r="M40" s="24"/>
      <c r="O40" s="19"/>
      <c r="P40" s="27"/>
      <c r="Q40" s="27"/>
      <c r="R40" s="27"/>
      <c r="S40" s="27"/>
      <c r="U40" s="27"/>
      <c r="V40" s="27"/>
      <c r="W40" s="27"/>
      <c r="X40" s="27"/>
      <c r="Y40" s="27"/>
      <c r="Z40" s="32"/>
      <c r="AA40" s="33"/>
      <c r="AB40" s="33"/>
    </row>
    <row r="41" spans="1:28" ht="15.75" x14ac:dyDescent="0.2">
      <c r="B41" s="201"/>
      <c r="C41" s="178" t="s">
        <v>63</v>
      </c>
      <c r="D41" s="178"/>
      <c r="E41" s="178"/>
      <c r="F41" s="178"/>
      <c r="G41" s="178"/>
      <c r="H41" s="178"/>
      <c r="I41" s="178"/>
      <c r="J41" s="178"/>
      <c r="K41" s="178"/>
      <c r="L41" s="23"/>
      <c r="M41" s="24"/>
      <c r="O41" s="19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32"/>
      <c r="AA41" s="33"/>
      <c r="AB41" s="33"/>
    </row>
    <row r="42" spans="1:28" ht="15.75" x14ac:dyDescent="0.2">
      <c r="B42" s="201"/>
      <c r="C42" s="178" t="s">
        <v>64</v>
      </c>
      <c r="D42" s="178"/>
      <c r="E42" s="178"/>
      <c r="F42" s="178"/>
      <c r="G42" s="178"/>
      <c r="H42" s="178"/>
      <c r="I42" s="178"/>
      <c r="J42" s="178"/>
      <c r="K42" s="178"/>
      <c r="L42" s="23"/>
      <c r="M42" s="24"/>
    </row>
    <row r="43" spans="1:28" ht="15.75" x14ac:dyDescent="0.2">
      <c r="B43" s="201"/>
      <c r="C43" s="178" t="s">
        <v>65</v>
      </c>
      <c r="D43" s="178"/>
      <c r="E43" s="178"/>
      <c r="F43" s="178"/>
      <c r="G43" s="178"/>
      <c r="H43" s="178"/>
      <c r="I43" s="178"/>
      <c r="J43" s="178"/>
      <c r="K43" s="178"/>
      <c r="L43" s="23"/>
      <c r="M43" s="24"/>
    </row>
    <row r="44" spans="1:28" ht="15.75" x14ac:dyDescent="0.2">
      <c r="B44" s="201"/>
      <c r="C44" s="178" t="s">
        <v>66</v>
      </c>
      <c r="D44" s="178"/>
      <c r="E44" s="178"/>
      <c r="F44" s="178"/>
      <c r="G44" s="178"/>
      <c r="H44" s="178"/>
      <c r="I44" s="178"/>
      <c r="J44" s="178"/>
      <c r="K44" s="178"/>
      <c r="L44" s="23"/>
      <c r="M44" s="24"/>
    </row>
    <row r="45" spans="1:28" ht="15.75" x14ac:dyDescent="0.2">
      <c r="B45" s="201"/>
      <c r="C45" s="389" t="s">
        <v>67</v>
      </c>
      <c r="D45" s="178"/>
      <c r="E45" s="178"/>
      <c r="F45" s="178"/>
      <c r="G45" s="178"/>
      <c r="H45" s="178"/>
      <c r="I45" s="178"/>
      <c r="J45" s="178"/>
      <c r="K45" s="178"/>
      <c r="L45" s="23"/>
      <c r="M45" s="24"/>
    </row>
    <row r="46" spans="1:28" ht="15.75" x14ac:dyDescent="0.2">
      <c r="B46" s="201"/>
      <c r="C46" s="202" t="s">
        <v>68</v>
      </c>
      <c r="D46" s="178"/>
      <c r="E46" s="178"/>
      <c r="F46" s="178"/>
      <c r="G46" s="178"/>
      <c r="H46" s="178"/>
      <c r="I46" s="178"/>
      <c r="J46" s="178"/>
      <c r="K46" s="178"/>
      <c r="L46" s="23"/>
      <c r="M46" s="24"/>
    </row>
    <row r="47" spans="1:28" ht="15" customHeight="1" thickBot="1" x14ac:dyDescent="0.25">
      <c r="B47" s="201"/>
      <c r="C47" s="203" t="s">
        <v>69</v>
      </c>
      <c r="D47" s="178"/>
      <c r="E47" s="178"/>
      <c r="F47" s="178"/>
      <c r="G47" s="178"/>
      <c r="H47" s="178"/>
      <c r="I47" s="178"/>
      <c r="J47" s="178"/>
      <c r="K47" s="178"/>
      <c r="L47" s="23"/>
      <c r="M47" s="24"/>
    </row>
    <row r="48" spans="1:28" ht="15" customHeight="1" thickBot="1" x14ac:dyDescent="0.25">
      <c r="B48" s="373"/>
      <c r="C48" s="268" t="s">
        <v>70</v>
      </c>
      <c r="D48" s="178"/>
      <c r="E48" s="178"/>
      <c r="F48" s="178"/>
      <c r="G48" s="178"/>
      <c r="H48" s="178"/>
      <c r="I48" s="178"/>
      <c r="J48" s="178"/>
      <c r="K48" s="178"/>
      <c r="L48" s="23"/>
      <c r="M48" s="24"/>
    </row>
    <row r="49" spans="1:13" ht="15" customHeight="1" x14ac:dyDescent="0.2">
      <c r="B49" s="265"/>
      <c r="C49" s="206" t="s">
        <v>71</v>
      </c>
      <c r="D49" s="178"/>
      <c r="E49" s="178"/>
      <c r="F49" s="178"/>
      <c r="G49" s="178"/>
      <c r="H49" s="178"/>
      <c r="I49" s="178"/>
      <c r="J49" s="178"/>
      <c r="K49" s="178"/>
      <c r="L49" s="23"/>
      <c r="M49" s="24"/>
    </row>
    <row r="50" spans="1:13" ht="15.75" x14ac:dyDescent="0.2">
      <c r="A50" s="182" t="s">
        <v>72</v>
      </c>
      <c r="B50" s="182" t="s">
        <v>73</v>
      </c>
      <c r="D50" s="178"/>
      <c r="E50" s="178"/>
      <c r="F50" s="178"/>
      <c r="G50" s="178"/>
      <c r="H50" s="178"/>
      <c r="I50" s="178"/>
      <c r="J50" s="178"/>
      <c r="K50" s="178"/>
      <c r="L50" s="23"/>
      <c r="M50" s="24"/>
    </row>
    <row r="51" spans="1:13" ht="21.75" customHeight="1" x14ac:dyDescent="0.2">
      <c r="B51" s="178" t="s">
        <v>74</v>
      </c>
      <c r="D51" s="178"/>
      <c r="E51" s="178"/>
      <c r="F51" s="178"/>
      <c r="G51" s="178"/>
      <c r="H51" s="178"/>
      <c r="I51" s="178"/>
      <c r="J51" s="178"/>
      <c r="K51" s="178"/>
      <c r="L51" s="23"/>
      <c r="M51" s="24"/>
    </row>
    <row r="52" spans="1:13" ht="15" customHeight="1" x14ac:dyDescent="0.2">
      <c r="B52" s="182"/>
      <c r="C52" s="178"/>
      <c r="D52" s="178"/>
      <c r="E52" s="178"/>
      <c r="F52" s="178"/>
      <c r="G52" s="178"/>
      <c r="H52" s="178"/>
      <c r="I52" s="178"/>
      <c r="J52" s="178"/>
      <c r="K52" s="178"/>
      <c r="L52" s="23"/>
      <c r="M52" s="24"/>
    </row>
    <row r="53" spans="1:13" ht="15.75" x14ac:dyDescent="0.2">
      <c r="A53" s="182" t="s">
        <v>75</v>
      </c>
      <c r="B53" s="182" t="s">
        <v>76</v>
      </c>
      <c r="D53" s="178"/>
      <c r="E53" s="178"/>
      <c r="F53" s="178"/>
      <c r="G53" s="178"/>
      <c r="H53" s="178"/>
      <c r="I53" s="178"/>
      <c r="J53" s="178"/>
      <c r="K53" s="178"/>
      <c r="L53" s="23"/>
      <c r="M53" s="24"/>
    </row>
    <row r="54" spans="1:13" ht="15.75" x14ac:dyDescent="0.2">
      <c r="B54" s="178"/>
      <c r="C54" s="204"/>
      <c r="D54" s="178"/>
      <c r="E54" s="178"/>
      <c r="F54" s="178"/>
      <c r="G54" s="178"/>
      <c r="H54" s="178"/>
      <c r="I54" s="178"/>
      <c r="J54" s="178"/>
      <c r="K54" s="178"/>
      <c r="L54" s="23"/>
      <c r="M54" s="24"/>
    </row>
    <row r="55" spans="1:13" ht="15.75" hidden="1" x14ac:dyDescent="0.2">
      <c r="B55" s="178"/>
      <c r="C55" s="178"/>
      <c r="D55" s="178"/>
      <c r="E55" s="205"/>
      <c r="F55" s="205"/>
      <c r="G55" s="178"/>
      <c r="H55" s="178"/>
      <c r="I55" s="178"/>
      <c r="J55" s="178"/>
      <c r="K55" s="178"/>
      <c r="L55" s="23"/>
      <c r="M55" s="24"/>
    </row>
    <row r="56" spans="1:13" ht="15.75" hidden="1" x14ac:dyDescent="0.2">
      <c r="B56" s="178"/>
      <c r="C56" s="187"/>
      <c r="D56" s="187"/>
      <c r="E56" s="187"/>
      <c r="F56" s="187"/>
      <c r="G56" s="187"/>
      <c r="H56" s="187"/>
      <c r="I56" s="178"/>
      <c r="J56" s="178"/>
      <c r="K56" s="181"/>
      <c r="L56" s="23"/>
      <c r="M56" s="24"/>
    </row>
    <row r="57" spans="1:13" ht="15.75" hidden="1" x14ac:dyDescent="0.2">
      <c r="B57" s="178"/>
      <c r="C57" s="179"/>
      <c r="D57" s="179"/>
      <c r="E57" s="179"/>
      <c r="F57" s="179"/>
      <c r="G57" s="179"/>
      <c r="H57" s="179"/>
      <c r="I57" s="178"/>
      <c r="J57" s="178"/>
      <c r="K57" s="178"/>
      <c r="L57" s="23"/>
      <c r="M57" s="24"/>
    </row>
    <row r="58" spans="1:13" ht="15.75" x14ac:dyDescent="0.2">
      <c r="B58" s="178"/>
      <c r="C58" s="179"/>
      <c r="D58" s="179"/>
      <c r="E58" s="179"/>
      <c r="F58" s="179"/>
      <c r="G58" s="180"/>
      <c r="H58" s="179"/>
      <c r="I58" s="178"/>
      <c r="J58" s="178"/>
      <c r="K58" s="178"/>
      <c r="L58" s="23"/>
      <c r="M58" s="24"/>
    </row>
    <row r="59" spans="1:13" ht="15.75" x14ac:dyDescent="0.2">
      <c r="B59" s="178"/>
      <c r="C59" s="179"/>
      <c r="D59" s="179"/>
      <c r="E59" s="179"/>
      <c r="F59" s="179"/>
      <c r="G59" s="180"/>
      <c r="H59" s="179"/>
      <c r="I59" s="178"/>
      <c r="J59" s="178"/>
      <c r="K59" s="178"/>
      <c r="L59" s="23"/>
      <c r="M59" s="24"/>
    </row>
    <row r="60" spans="1:13" ht="15" x14ac:dyDescent="0.2">
      <c r="B60" s="178"/>
      <c r="C60" s="179"/>
      <c r="D60" s="179"/>
      <c r="E60" s="179"/>
      <c r="F60" s="179"/>
      <c r="G60" s="180"/>
      <c r="H60" s="179"/>
      <c r="I60" s="178"/>
      <c r="J60" s="178"/>
      <c r="K60" s="178"/>
      <c r="L60" s="22"/>
    </row>
    <row r="61" spans="1:13" ht="14.25" x14ac:dyDescent="0.2">
      <c r="B61" s="206"/>
      <c r="C61" s="207"/>
      <c r="D61" s="207"/>
      <c r="E61" s="207"/>
      <c r="F61" s="207"/>
      <c r="G61" s="208"/>
      <c r="H61" s="207"/>
      <c r="I61" s="206"/>
      <c r="J61" s="206"/>
      <c r="K61" s="206"/>
    </row>
    <row r="62" spans="1:13" x14ac:dyDescent="0.2">
      <c r="C62" s="34"/>
      <c r="D62" s="34"/>
      <c r="E62" s="34"/>
      <c r="F62" s="34"/>
      <c r="G62" s="35"/>
      <c r="H62" s="34"/>
      <c r="K62" s="36"/>
    </row>
    <row r="63" spans="1:13" x14ac:dyDescent="0.2">
      <c r="C63" s="34"/>
      <c r="D63" s="34"/>
      <c r="E63" s="34"/>
      <c r="F63" s="34"/>
      <c r="G63" s="35"/>
      <c r="H63" s="34"/>
    </row>
    <row r="64" spans="1:13" x14ac:dyDescent="0.2">
      <c r="C64" s="34"/>
      <c r="D64" s="34"/>
      <c r="E64" s="34"/>
      <c r="F64" s="34"/>
      <c r="G64" s="35"/>
      <c r="H64" s="34"/>
    </row>
    <row r="65" spans="2:12" x14ac:dyDescent="0.2">
      <c r="C65" s="27"/>
    </row>
    <row r="66" spans="2:12" x14ac:dyDescent="0.2">
      <c r="K66" s="37"/>
    </row>
    <row r="67" spans="2:12" x14ac:dyDescent="0.2">
      <c r="B67" s="615"/>
      <c r="C67" s="615"/>
      <c r="D67" s="615"/>
      <c r="E67" s="615"/>
      <c r="F67" s="615"/>
      <c r="G67" s="615"/>
      <c r="H67" s="615"/>
      <c r="I67" s="615"/>
      <c r="J67" s="615"/>
      <c r="K67" s="615"/>
      <c r="L67" s="615"/>
    </row>
    <row r="68" spans="2:12" x14ac:dyDescent="0.2">
      <c r="B68" s="615"/>
      <c r="C68" s="615"/>
      <c r="D68" s="615"/>
      <c r="E68" s="615"/>
      <c r="F68" s="615"/>
      <c r="G68" s="615"/>
      <c r="H68" s="615"/>
      <c r="I68" s="615"/>
      <c r="J68" s="615"/>
      <c r="K68" s="615"/>
      <c r="L68" s="615"/>
    </row>
    <row r="70" spans="2:12" x14ac:dyDescent="0.2">
      <c r="K70" s="27"/>
    </row>
    <row r="71" spans="2:12" x14ac:dyDescent="0.2">
      <c r="K71" s="27"/>
    </row>
    <row r="72" spans="2:12" x14ac:dyDescent="0.2">
      <c r="K72" s="27"/>
    </row>
  </sheetData>
  <mergeCells count="33">
    <mergeCell ref="B68:L68"/>
    <mergeCell ref="P34:X34"/>
    <mergeCell ref="AA34:AB34"/>
    <mergeCell ref="AA35:AB35"/>
    <mergeCell ref="AA37:AB37"/>
    <mergeCell ref="AA38:AB38"/>
    <mergeCell ref="AA39:AB39"/>
    <mergeCell ref="B67:L67"/>
    <mergeCell ref="P33:X33"/>
    <mergeCell ref="E32:F32"/>
    <mergeCell ref="AA33:AB33"/>
    <mergeCell ref="P29:X29"/>
    <mergeCell ref="Y29:Z29"/>
    <mergeCell ref="AA29:AB29"/>
    <mergeCell ref="P31:X31"/>
    <mergeCell ref="AA31:AB31"/>
    <mergeCell ref="P32:X32"/>
    <mergeCell ref="AA32:AB32"/>
    <mergeCell ref="A1:L1"/>
    <mergeCell ref="A2:L2"/>
    <mergeCell ref="B30:B31"/>
    <mergeCell ref="C30:C31"/>
    <mergeCell ref="D30:D31"/>
    <mergeCell ref="E30:J30"/>
    <mergeCell ref="K30:K31"/>
    <mergeCell ref="E31:F31"/>
    <mergeCell ref="L30:L31"/>
    <mergeCell ref="B23:B24"/>
    <mergeCell ref="F16:G16"/>
    <mergeCell ref="F4:J4"/>
    <mergeCell ref="F5:J5"/>
    <mergeCell ref="I23:J24"/>
    <mergeCell ref="C23:H24"/>
  </mergeCells>
  <printOptions horizontalCentered="1"/>
  <pageMargins left="0.5" right="0.25" top="0.5" bottom="0.25" header="0.25" footer="0.25"/>
  <pageSetup paperSize="9" scale="77" orientation="portrait" r:id="rId1"/>
  <headerFooter>
    <oddHeader>&amp;R&amp;"-,Regular"&amp;8OA.LK - 038 - 18 / REV : 0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2289" r:id="rId4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89" r:id="rId4"/>
      </mc:Fallback>
    </mc:AlternateContent>
    <mc:AlternateContent xmlns:mc="http://schemas.openxmlformats.org/markup-compatibility/2006">
      <mc:Choice Requires="x14">
        <oleObject progId="Equation.3" shapeId="12290" r:id="rId6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0" r:id="rId6"/>
      </mc:Fallback>
    </mc:AlternateContent>
    <mc:AlternateContent xmlns:mc="http://schemas.openxmlformats.org/markup-compatibility/2006">
      <mc:Choice Requires="x14">
        <oleObject progId="Equation.3" shapeId="12291" r:id="rId7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1" r:id="rId7"/>
      </mc:Fallback>
    </mc:AlternateContent>
    <mc:AlternateContent xmlns:mc="http://schemas.openxmlformats.org/markup-compatibility/2006">
      <mc:Choice Requires="x14">
        <oleObject progId="Equation.3" shapeId="12292" r:id="rId8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2" r:id="rId8"/>
      </mc:Fallback>
    </mc:AlternateContent>
    <mc:AlternateContent xmlns:mc="http://schemas.openxmlformats.org/markup-compatibility/2006">
      <mc:Choice Requires="x14">
        <oleObject progId="Equation.3" shapeId="12293" r:id="rId9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3" r:id="rId9"/>
      </mc:Fallback>
    </mc:AlternateContent>
    <mc:AlternateContent xmlns:mc="http://schemas.openxmlformats.org/markup-compatibility/2006">
      <mc:Choice Requires="x14">
        <oleObject progId="Equation.3" shapeId="12294" r:id="rId10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4" r:id="rId10"/>
      </mc:Fallback>
    </mc:AlternateContent>
    <mc:AlternateContent xmlns:mc="http://schemas.openxmlformats.org/markup-compatibility/2006">
      <mc:Choice Requires="x14">
        <oleObject progId="Equation.3" shapeId="12295" r:id="rId11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5" r:id="rId11"/>
      </mc:Fallback>
    </mc:AlternateContent>
    <mc:AlternateContent xmlns:mc="http://schemas.openxmlformats.org/markup-compatibility/2006">
      <mc:Choice Requires="x14">
        <oleObject progId="Equation.3" shapeId="12296" r:id="rId12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6" r:id="rId12"/>
      </mc:Fallback>
    </mc:AlternateContent>
    <mc:AlternateContent xmlns:mc="http://schemas.openxmlformats.org/markup-compatibility/2006">
      <mc:Choice Requires="x14">
        <oleObject progId="Equation.3" shapeId="12297" r:id="rId13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7" r:id="rId13"/>
      </mc:Fallback>
    </mc:AlternateContent>
    <mc:AlternateContent xmlns:mc="http://schemas.openxmlformats.org/markup-compatibility/2006">
      <mc:Choice Requires="x14">
        <oleObject progId="Equation.3" shapeId="12298" r:id="rId14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8" r:id="rId14"/>
      </mc:Fallback>
    </mc:AlternateContent>
    <mc:AlternateContent xmlns:mc="http://schemas.openxmlformats.org/markup-compatibility/2006">
      <mc:Choice Requires="x14">
        <oleObject progId="Equation.3" shapeId="12299" r:id="rId15">
          <objectPr defaultSize="0" autoPict="0" r:id="rId5">
            <anchor moveWithCells="1" sizeWithCells="1">
              <from>
                <xdr:col>9</xdr:col>
                <xdr:colOff>428625</xdr:colOff>
                <xdr:row>20</xdr:row>
                <xdr:rowOff>0</xdr:rowOff>
              </from>
              <to>
                <xdr:col>9</xdr:col>
                <xdr:colOff>428625</xdr:colOff>
                <xdr:row>20</xdr:row>
                <xdr:rowOff>0</xdr:rowOff>
              </to>
            </anchor>
          </objectPr>
        </oleObject>
      </mc:Choice>
      <mc:Fallback>
        <oleObject progId="Equation.3" shapeId="12299" r:id="rId15"/>
      </mc:Fallback>
    </mc:AlternateContent>
    <mc:AlternateContent xmlns:mc="http://schemas.openxmlformats.org/markup-compatibility/2006">
      <mc:Choice Requires="x14">
        <oleObject progId="Equation.3" shapeId="12300" r:id="rId1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0" r:id="rId16"/>
      </mc:Fallback>
    </mc:AlternateContent>
    <mc:AlternateContent xmlns:mc="http://schemas.openxmlformats.org/markup-compatibility/2006">
      <mc:Choice Requires="x14">
        <oleObject progId="Equation.3" shapeId="12301" r:id="rId1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1" r:id="rId17"/>
      </mc:Fallback>
    </mc:AlternateContent>
    <mc:AlternateContent xmlns:mc="http://schemas.openxmlformats.org/markup-compatibility/2006">
      <mc:Choice Requires="x14">
        <oleObject progId="Equation.3" shapeId="12302" r:id="rId1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2" r:id="rId18"/>
      </mc:Fallback>
    </mc:AlternateContent>
    <mc:AlternateContent xmlns:mc="http://schemas.openxmlformats.org/markup-compatibility/2006">
      <mc:Choice Requires="x14">
        <oleObject progId="Equation.3" shapeId="12303" r:id="rId1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3" r:id="rId19"/>
      </mc:Fallback>
    </mc:AlternateContent>
    <mc:AlternateContent xmlns:mc="http://schemas.openxmlformats.org/markup-compatibility/2006">
      <mc:Choice Requires="x14">
        <oleObject progId="Equation.3" shapeId="12304" r:id="rId2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4" r:id="rId20"/>
      </mc:Fallback>
    </mc:AlternateContent>
    <mc:AlternateContent xmlns:mc="http://schemas.openxmlformats.org/markup-compatibility/2006">
      <mc:Choice Requires="x14">
        <oleObject progId="Equation.3" shapeId="12305" r:id="rId2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5" r:id="rId21"/>
      </mc:Fallback>
    </mc:AlternateContent>
    <mc:AlternateContent xmlns:mc="http://schemas.openxmlformats.org/markup-compatibility/2006">
      <mc:Choice Requires="x14">
        <oleObject progId="Equation.3" shapeId="12306" r:id="rId2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6" r:id="rId22"/>
      </mc:Fallback>
    </mc:AlternateContent>
    <mc:AlternateContent xmlns:mc="http://schemas.openxmlformats.org/markup-compatibility/2006">
      <mc:Choice Requires="x14">
        <oleObject progId="Equation.3" shapeId="12307" r:id="rId2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7" r:id="rId23"/>
      </mc:Fallback>
    </mc:AlternateContent>
    <mc:AlternateContent xmlns:mc="http://schemas.openxmlformats.org/markup-compatibility/2006">
      <mc:Choice Requires="x14">
        <oleObject progId="Equation.3" shapeId="12308" r:id="rId2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8" r:id="rId24"/>
      </mc:Fallback>
    </mc:AlternateContent>
    <mc:AlternateContent xmlns:mc="http://schemas.openxmlformats.org/markup-compatibility/2006">
      <mc:Choice Requires="x14">
        <oleObject progId="Equation.3" shapeId="12309" r:id="rId2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09" r:id="rId25"/>
      </mc:Fallback>
    </mc:AlternateContent>
    <mc:AlternateContent xmlns:mc="http://schemas.openxmlformats.org/markup-compatibility/2006">
      <mc:Choice Requires="x14">
        <oleObject progId="Equation.3" shapeId="12310" r:id="rId2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0" r:id="rId26"/>
      </mc:Fallback>
    </mc:AlternateContent>
    <mc:AlternateContent xmlns:mc="http://schemas.openxmlformats.org/markup-compatibility/2006">
      <mc:Choice Requires="x14">
        <oleObject progId="Equation.3" shapeId="12311" r:id="rId2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1" r:id="rId27"/>
      </mc:Fallback>
    </mc:AlternateContent>
    <mc:AlternateContent xmlns:mc="http://schemas.openxmlformats.org/markup-compatibility/2006">
      <mc:Choice Requires="x14">
        <oleObject progId="Equation.3" shapeId="12312" r:id="rId2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2" r:id="rId28"/>
      </mc:Fallback>
    </mc:AlternateContent>
    <mc:AlternateContent xmlns:mc="http://schemas.openxmlformats.org/markup-compatibility/2006">
      <mc:Choice Requires="x14">
        <oleObject progId="Equation.3" shapeId="12313" r:id="rId2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3" r:id="rId29"/>
      </mc:Fallback>
    </mc:AlternateContent>
    <mc:AlternateContent xmlns:mc="http://schemas.openxmlformats.org/markup-compatibility/2006">
      <mc:Choice Requires="x14">
        <oleObject progId="Equation.3" shapeId="12314" r:id="rId3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4" r:id="rId30"/>
      </mc:Fallback>
    </mc:AlternateContent>
    <mc:AlternateContent xmlns:mc="http://schemas.openxmlformats.org/markup-compatibility/2006">
      <mc:Choice Requires="x14">
        <oleObject progId="Equation.3" shapeId="12315" r:id="rId3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5" r:id="rId31"/>
      </mc:Fallback>
    </mc:AlternateContent>
    <mc:AlternateContent xmlns:mc="http://schemas.openxmlformats.org/markup-compatibility/2006">
      <mc:Choice Requires="x14">
        <oleObject progId="Equation.3" shapeId="12316" r:id="rId3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6" r:id="rId32"/>
      </mc:Fallback>
    </mc:AlternateContent>
    <mc:AlternateContent xmlns:mc="http://schemas.openxmlformats.org/markup-compatibility/2006">
      <mc:Choice Requires="x14">
        <oleObject progId="Equation.3" shapeId="12317" r:id="rId3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7" r:id="rId33"/>
      </mc:Fallback>
    </mc:AlternateContent>
    <mc:AlternateContent xmlns:mc="http://schemas.openxmlformats.org/markup-compatibility/2006">
      <mc:Choice Requires="x14">
        <oleObject progId="Equation.3" shapeId="12318" r:id="rId3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8" r:id="rId34"/>
      </mc:Fallback>
    </mc:AlternateContent>
    <mc:AlternateContent xmlns:mc="http://schemas.openxmlformats.org/markup-compatibility/2006">
      <mc:Choice Requires="x14">
        <oleObject progId="Equation.3" shapeId="12319" r:id="rId3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19" r:id="rId35"/>
      </mc:Fallback>
    </mc:AlternateContent>
    <mc:AlternateContent xmlns:mc="http://schemas.openxmlformats.org/markup-compatibility/2006">
      <mc:Choice Requires="x14">
        <oleObject progId="Equation.3" shapeId="12320" r:id="rId3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0" r:id="rId36"/>
      </mc:Fallback>
    </mc:AlternateContent>
    <mc:AlternateContent xmlns:mc="http://schemas.openxmlformats.org/markup-compatibility/2006">
      <mc:Choice Requires="x14">
        <oleObject progId="Equation.3" shapeId="12321" r:id="rId3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1" r:id="rId37"/>
      </mc:Fallback>
    </mc:AlternateContent>
    <mc:AlternateContent xmlns:mc="http://schemas.openxmlformats.org/markup-compatibility/2006">
      <mc:Choice Requires="x14">
        <oleObject progId="Equation.3" shapeId="12322" r:id="rId3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2" r:id="rId38"/>
      </mc:Fallback>
    </mc:AlternateContent>
    <mc:AlternateContent xmlns:mc="http://schemas.openxmlformats.org/markup-compatibility/2006">
      <mc:Choice Requires="x14">
        <oleObject progId="Equation.3" shapeId="12323" r:id="rId3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3" r:id="rId39"/>
      </mc:Fallback>
    </mc:AlternateContent>
    <mc:AlternateContent xmlns:mc="http://schemas.openxmlformats.org/markup-compatibility/2006">
      <mc:Choice Requires="x14">
        <oleObject progId="Equation.3" shapeId="12324" r:id="rId4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4" r:id="rId40"/>
      </mc:Fallback>
    </mc:AlternateContent>
    <mc:AlternateContent xmlns:mc="http://schemas.openxmlformats.org/markup-compatibility/2006">
      <mc:Choice Requires="x14">
        <oleObject progId="Equation.3" shapeId="12325" r:id="rId4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5" r:id="rId41"/>
      </mc:Fallback>
    </mc:AlternateContent>
    <mc:AlternateContent xmlns:mc="http://schemas.openxmlformats.org/markup-compatibility/2006">
      <mc:Choice Requires="x14">
        <oleObject progId="Equation.3" shapeId="12326" r:id="rId4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6" r:id="rId42"/>
      </mc:Fallback>
    </mc:AlternateContent>
    <mc:AlternateContent xmlns:mc="http://schemas.openxmlformats.org/markup-compatibility/2006">
      <mc:Choice Requires="x14">
        <oleObject progId="Equation.3" shapeId="12327" r:id="rId4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7" r:id="rId43"/>
      </mc:Fallback>
    </mc:AlternateContent>
    <mc:AlternateContent xmlns:mc="http://schemas.openxmlformats.org/markup-compatibility/2006">
      <mc:Choice Requires="x14">
        <oleObject progId="Equation.3" shapeId="12328" r:id="rId4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8" r:id="rId44"/>
      </mc:Fallback>
    </mc:AlternateContent>
    <mc:AlternateContent xmlns:mc="http://schemas.openxmlformats.org/markup-compatibility/2006">
      <mc:Choice Requires="x14">
        <oleObject progId="Equation.3" shapeId="12329" r:id="rId4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29" r:id="rId45"/>
      </mc:Fallback>
    </mc:AlternateContent>
    <mc:AlternateContent xmlns:mc="http://schemas.openxmlformats.org/markup-compatibility/2006">
      <mc:Choice Requires="x14">
        <oleObject progId="Equation.3" shapeId="12330" r:id="rId4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0" r:id="rId46"/>
      </mc:Fallback>
    </mc:AlternateContent>
    <mc:AlternateContent xmlns:mc="http://schemas.openxmlformats.org/markup-compatibility/2006">
      <mc:Choice Requires="x14">
        <oleObject progId="Equation.3" shapeId="12331" r:id="rId4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1" r:id="rId47"/>
      </mc:Fallback>
    </mc:AlternateContent>
    <mc:AlternateContent xmlns:mc="http://schemas.openxmlformats.org/markup-compatibility/2006">
      <mc:Choice Requires="x14">
        <oleObject progId="Equation.3" shapeId="12332" r:id="rId4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2" r:id="rId48"/>
      </mc:Fallback>
    </mc:AlternateContent>
    <mc:AlternateContent xmlns:mc="http://schemas.openxmlformats.org/markup-compatibility/2006">
      <mc:Choice Requires="x14">
        <oleObject progId="Equation.3" shapeId="12333" r:id="rId4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3" r:id="rId49"/>
      </mc:Fallback>
    </mc:AlternateContent>
    <mc:AlternateContent xmlns:mc="http://schemas.openxmlformats.org/markup-compatibility/2006">
      <mc:Choice Requires="x14">
        <oleObject progId="Equation.3" shapeId="12334" r:id="rId5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4" r:id="rId50"/>
      </mc:Fallback>
    </mc:AlternateContent>
    <mc:AlternateContent xmlns:mc="http://schemas.openxmlformats.org/markup-compatibility/2006">
      <mc:Choice Requires="x14">
        <oleObject progId="Equation.3" shapeId="12335" r:id="rId5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5" r:id="rId51"/>
      </mc:Fallback>
    </mc:AlternateContent>
    <mc:AlternateContent xmlns:mc="http://schemas.openxmlformats.org/markup-compatibility/2006">
      <mc:Choice Requires="x14">
        <oleObject progId="Equation.3" shapeId="12336" r:id="rId5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6" r:id="rId52"/>
      </mc:Fallback>
    </mc:AlternateContent>
    <mc:AlternateContent xmlns:mc="http://schemas.openxmlformats.org/markup-compatibility/2006">
      <mc:Choice Requires="x14">
        <oleObject progId="Equation.3" shapeId="12337" r:id="rId5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7" r:id="rId53"/>
      </mc:Fallback>
    </mc:AlternateContent>
    <mc:AlternateContent xmlns:mc="http://schemas.openxmlformats.org/markup-compatibility/2006">
      <mc:Choice Requires="x14">
        <oleObject progId="Equation.3" shapeId="12338" r:id="rId5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8" r:id="rId54"/>
      </mc:Fallback>
    </mc:AlternateContent>
    <mc:AlternateContent xmlns:mc="http://schemas.openxmlformats.org/markup-compatibility/2006">
      <mc:Choice Requires="x14">
        <oleObject progId="Equation.3" shapeId="12339" r:id="rId5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39" r:id="rId55"/>
      </mc:Fallback>
    </mc:AlternateContent>
    <mc:AlternateContent xmlns:mc="http://schemas.openxmlformats.org/markup-compatibility/2006">
      <mc:Choice Requires="x14">
        <oleObject progId="Equation.3" shapeId="12340" r:id="rId5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0" r:id="rId56"/>
      </mc:Fallback>
    </mc:AlternateContent>
    <mc:AlternateContent xmlns:mc="http://schemas.openxmlformats.org/markup-compatibility/2006">
      <mc:Choice Requires="x14">
        <oleObject progId="Equation.3" shapeId="12341" r:id="rId5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1" r:id="rId57"/>
      </mc:Fallback>
    </mc:AlternateContent>
    <mc:AlternateContent xmlns:mc="http://schemas.openxmlformats.org/markup-compatibility/2006">
      <mc:Choice Requires="x14">
        <oleObject progId="Equation.3" shapeId="12342" r:id="rId5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2" r:id="rId58"/>
      </mc:Fallback>
    </mc:AlternateContent>
    <mc:AlternateContent xmlns:mc="http://schemas.openxmlformats.org/markup-compatibility/2006">
      <mc:Choice Requires="x14">
        <oleObject progId="Equation.3" shapeId="12343" r:id="rId5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3" r:id="rId59"/>
      </mc:Fallback>
    </mc:AlternateContent>
    <mc:AlternateContent xmlns:mc="http://schemas.openxmlformats.org/markup-compatibility/2006">
      <mc:Choice Requires="x14">
        <oleObject progId="Equation.3" shapeId="12344" r:id="rId6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4" r:id="rId60"/>
      </mc:Fallback>
    </mc:AlternateContent>
    <mc:AlternateContent xmlns:mc="http://schemas.openxmlformats.org/markup-compatibility/2006">
      <mc:Choice Requires="x14">
        <oleObject progId="Equation.3" shapeId="12345" r:id="rId6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5" r:id="rId61"/>
      </mc:Fallback>
    </mc:AlternateContent>
    <mc:AlternateContent xmlns:mc="http://schemas.openxmlformats.org/markup-compatibility/2006">
      <mc:Choice Requires="x14">
        <oleObject progId="Equation.3" shapeId="12346" r:id="rId6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6" r:id="rId62"/>
      </mc:Fallback>
    </mc:AlternateContent>
    <mc:AlternateContent xmlns:mc="http://schemas.openxmlformats.org/markup-compatibility/2006">
      <mc:Choice Requires="x14">
        <oleObject progId="Equation.3" shapeId="12347" r:id="rId6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7" r:id="rId63"/>
      </mc:Fallback>
    </mc:AlternateContent>
    <mc:AlternateContent xmlns:mc="http://schemas.openxmlformats.org/markup-compatibility/2006">
      <mc:Choice Requires="x14">
        <oleObject progId="Equation.3" shapeId="12348" r:id="rId6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8" r:id="rId64"/>
      </mc:Fallback>
    </mc:AlternateContent>
    <mc:AlternateContent xmlns:mc="http://schemas.openxmlformats.org/markup-compatibility/2006">
      <mc:Choice Requires="x14">
        <oleObject progId="Equation.3" shapeId="12349" r:id="rId6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49" r:id="rId65"/>
      </mc:Fallback>
    </mc:AlternateContent>
    <mc:AlternateContent xmlns:mc="http://schemas.openxmlformats.org/markup-compatibility/2006">
      <mc:Choice Requires="x14">
        <oleObject progId="Equation.3" shapeId="12350" r:id="rId6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0" r:id="rId66"/>
      </mc:Fallback>
    </mc:AlternateContent>
    <mc:AlternateContent xmlns:mc="http://schemas.openxmlformats.org/markup-compatibility/2006">
      <mc:Choice Requires="x14">
        <oleObject progId="Equation.3" shapeId="12351" r:id="rId6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1" r:id="rId67"/>
      </mc:Fallback>
    </mc:AlternateContent>
    <mc:AlternateContent xmlns:mc="http://schemas.openxmlformats.org/markup-compatibility/2006">
      <mc:Choice Requires="x14">
        <oleObject progId="Equation.3" shapeId="12352" r:id="rId6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2" r:id="rId68"/>
      </mc:Fallback>
    </mc:AlternateContent>
    <mc:AlternateContent xmlns:mc="http://schemas.openxmlformats.org/markup-compatibility/2006">
      <mc:Choice Requires="x14">
        <oleObject progId="Equation.3" shapeId="12353" r:id="rId6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3" r:id="rId69"/>
      </mc:Fallback>
    </mc:AlternateContent>
    <mc:AlternateContent xmlns:mc="http://schemas.openxmlformats.org/markup-compatibility/2006">
      <mc:Choice Requires="x14">
        <oleObject progId="Equation.3" shapeId="12354" r:id="rId7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4" r:id="rId70"/>
      </mc:Fallback>
    </mc:AlternateContent>
    <mc:AlternateContent xmlns:mc="http://schemas.openxmlformats.org/markup-compatibility/2006">
      <mc:Choice Requires="x14">
        <oleObject progId="Equation.3" shapeId="12355" r:id="rId7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5" r:id="rId71"/>
      </mc:Fallback>
    </mc:AlternateContent>
    <mc:AlternateContent xmlns:mc="http://schemas.openxmlformats.org/markup-compatibility/2006">
      <mc:Choice Requires="x14">
        <oleObject progId="Equation.3" shapeId="12356" r:id="rId7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6" r:id="rId72"/>
      </mc:Fallback>
    </mc:AlternateContent>
    <mc:AlternateContent xmlns:mc="http://schemas.openxmlformats.org/markup-compatibility/2006">
      <mc:Choice Requires="x14">
        <oleObject progId="Equation.3" shapeId="12357" r:id="rId7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7" r:id="rId73"/>
      </mc:Fallback>
    </mc:AlternateContent>
    <mc:AlternateContent xmlns:mc="http://schemas.openxmlformats.org/markup-compatibility/2006">
      <mc:Choice Requires="x14">
        <oleObject progId="Equation.3" shapeId="12358" r:id="rId7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8" r:id="rId74"/>
      </mc:Fallback>
    </mc:AlternateContent>
    <mc:AlternateContent xmlns:mc="http://schemas.openxmlformats.org/markup-compatibility/2006">
      <mc:Choice Requires="x14">
        <oleObject progId="Equation.3" shapeId="12359" r:id="rId7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59" r:id="rId75"/>
      </mc:Fallback>
    </mc:AlternateContent>
    <mc:AlternateContent xmlns:mc="http://schemas.openxmlformats.org/markup-compatibility/2006">
      <mc:Choice Requires="x14">
        <oleObject progId="Equation.3" shapeId="12360" r:id="rId7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0" r:id="rId76"/>
      </mc:Fallback>
    </mc:AlternateContent>
    <mc:AlternateContent xmlns:mc="http://schemas.openxmlformats.org/markup-compatibility/2006">
      <mc:Choice Requires="x14">
        <oleObject progId="Equation.3" shapeId="12361" r:id="rId7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1" r:id="rId77"/>
      </mc:Fallback>
    </mc:AlternateContent>
    <mc:AlternateContent xmlns:mc="http://schemas.openxmlformats.org/markup-compatibility/2006">
      <mc:Choice Requires="x14">
        <oleObject progId="Equation.3" shapeId="12362" r:id="rId7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2" r:id="rId78"/>
      </mc:Fallback>
    </mc:AlternateContent>
    <mc:AlternateContent xmlns:mc="http://schemas.openxmlformats.org/markup-compatibility/2006">
      <mc:Choice Requires="x14">
        <oleObject progId="Equation.3" shapeId="12363" r:id="rId7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3" r:id="rId79"/>
      </mc:Fallback>
    </mc:AlternateContent>
    <mc:AlternateContent xmlns:mc="http://schemas.openxmlformats.org/markup-compatibility/2006">
      <mc:Choice Requires="x14">
        <oleObject progId="Equation.3" shapeId="12364" r:id="rId8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4" r:id="rId80"/>
      </mc:Fallback>
    </mc:AlternateContent>
    <mc:AlternateContent xmlns:mc="http://schemas.openxmlformats.org/markup-compatibility/2006">
      <mc:Choice Requires="x14">
        <oleObject progId="Equation.3" shapeId="12365" r:id="rId8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5" r:id="rId81"/>
      </mc:Fallback>
    </mc:AlternateContent>
    <mc:AlternateContent xmlns:mc="http://schemas.openxmlformats.org/markup-compatibility/2006">
      <mc:Choice Requires="x14">
        <oleObject progId="Equation.3" shapeId="12366" r:id="rId8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6" r:id="rId82"/>
      </mc:Fallback>
    </mc:AlternateContent>
    <mc:AlternateContent xmlns:mc="http://schemas.openxmlformats.org/markup-compatibility/2006">
      <mc:Choice Requires="x14">
        <oleObject progId="Equation.3" shapeId="12367" r:id="rId83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7" r:id="rId83"/>
      </mc:Fallback>
    </mc:AlternateContent>
    <mc:AlternateContent xmlns:mc="http://schemas.openxmlformats.org/markup-compatibility/2006">
      <mc:Choice Requires="x14">
        <oleObject progId="Equation.3" shapeId="12368" r:id="rId84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8" r:id="rId84"/>
      </mc:Fallback>
    </mc:AlternateContent>
    <mc:AlternateContent xmlns:mc="http://schemas.openxmlformats.org/markup-compatibility/2006">
      <mc:Choice Requires="x14">
        <oleObject progId="Equation.3" shapeId="12369" r:id="rId85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69" r:id="rId85"/>
      </mc:Fallback>
    </mc:AlternateContent>
    <mc:AlternateContent xmlns:mc="http://schemas.openxmlformats.org/markup-compatibility/2006">
      <mc:Choice Requires="x14">
        <oleObject progId="Equation.3" shapeId="12370" r:id="rId86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0" r:id="rId86"/>
      </mc:Fallback>
    </mc:AlternateContent>
    <mc:AlternateContent xmlns:mc="http://schemas.openxmlformats.org/markup-compatibility/2006">
      <mc:Choice Requires="x14">
        <oleObject progId="Equation.3" shapeId="12371" r:id="rId87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1" r:id="rId87"/>
      </mc:Fallback>
    </mc:AlternateContent>
    <mc:AlternateContent xmlns:mc="http://schemas.openxmlformats.org/markup-compatibility/2006">
      <mc:Choice Requires="x14">
        <oleObject progId="Equation.3" shapeId="12372" r:id="rId88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2" r:id="rId88"/>
      </mc:Fallback>
    </mc:AlternateContent>
    <mc:AlternateContent xmlns:mc="http://schemas.openxmlformats.org/markup-compatibility/2006">
      <mc:Choice Requires="x14">
        <oleObject progId="Equation.3" shapeId="12373" r:id="rId89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3" r:id="rId89"/>
      </mc:Fallback>
    </mc:AlternateContent>
    <mc:AlternateContent xmlns:mc="http://schemas.openxmlformats.org/markup-compatibility/2006">
      <mc:Choice Requires="x14">
        <oleObject progId="Equation.3" shapeId="12374" r:id="rId90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4" r:id="rId90"/>
      </mc:Fallback>
    </mc:AlternateContent>
    <mc:AlternateContent xmlns:mc="http://schemas.openxmlformats.org/markup-compatibility/2006">
      <mc:Choice Requires="x14">
        <oleObject progId="Equation.3" shapeId="12375" r:id="rId91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5" r:id="rId91"/>
      </mc:Fallback>
    </mc:AlternateContent>
    <mc:AlternateContent xmlns:mc="http://schemas.openxmlformats.org/markup-compatibility/2006">
      <mc:Choice Requires="x14">
        <oleObject progId="Equation.3" shapeId="12376" r:id="rId92">
          <objectPr defaultSize="0" autoPict="0" r:id="rId5">
            <anchor moveWithCells="1" sizeWithCells="1">
              <from>
                <xdr:col>9</xdr:col>
                <xdr:colOff>428625</xdr:colOff>
                <xdr:row>72</xdr:row>
                <xdr:rowOff>0</xdr:rowOff>
              </from>
              <to>
                <xdr:col>9</xdr:col>
                <xdr:colOff>428625</xdr:colOff>
                <xdr:row>72</xdr:row>
                <xdr:rowOff>0</xdr:rowOff>
              </to>
            </anchor>
          </objectPr>
        </oleObject>
      </mc:Choice>
      <mc:Fallback>
        <oleObject progId="Equation.3" shapeId="12376" r:id="rId92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2:K33"/>
  <sheetViews>
    <sheetView zoomScaleNormal="100" workbookViewId="0">
      <selection activeCell="D9" sqref="D9:F9"/>
    </sheetView>
  </sheetViews>
  <sheetFormatPr defaultColWidth="9.140625" defaultRowHeight="12.75" x14ac:dyDescent="0.2"/>
  <cols>
    <col min="1" max="1" width="4.85546875" style="404" customWidth="1"/>
    <col min="2" max="2" width="19.42578125" style="404" customWidth="1"/>
    <col min="3" max="3" width="1.42578125" style="404" customWidth="1"/>
    <col min="4" max="4" width="12" style="404" customWidth="1"/>
    <col min="5" max="5" width="19" style="404" customWidth="1"/>
    <col min="6" max="7" width="18.7109375" style="404" customWidth="1"/>
    <col min="8" max="8" width="9.140625" style="404"/>
    <col min="9" max="9" width="23" style="404" bestFit="1" customWidth="1"/>
    <col min="10" max="10" width="9.7109375" style="404" bestFit="1" customWidth="1"/>
    <col min="11" max="11" width="8.85546875" style="404" customWidth="1"/>
    <col min="12" max="16384" width="9.140625" style="404"/>
  </cols>
  <sheetData>
    <row r="2" spans="1:11" x14ac:dyDescent="0.2">
      <c r="G2" s="434" t="str">
        <f>VLOOKUP(B18,'DB SERTIFIKAT'!$B$2:$C$73,2,FALSE)</f>
        <v>OA.S - 038-18 / REV : 1</v>
      </c>
      <c r="I2" s="435"/>
      <c r="J2" s="779"/>
      <c r="K2" s="779"/>
    </row>
    <row r="3" spans="1:11" ht="22.5" x14ac:dyDescent="0.2">
      <c r="A3" s="780" t="s">
        <v>272</v>
      </c>
      <c r="B3" s="780"/>
      <c r="C3" s="780"/>
      <c r="D3" s="780"/>
      <c r="E3" s="780"/>
      <c r="F3" s="780"/>
      <c r="G3" s="780"/>
      <c r="I3" s="406"/>
      <c r="J3" s="781"/>
      <c r="K3" s="782"/>
    </row>
    <row r="4" spans="1:11" ht="15.75" x14ac:dyDescent="0.2">
      <c r="A4" s="783" t="str">
        <f>"Nomor : 41 /"&amp;" M - "&amp;ID!I2</f>
        <v>Nomor : 41 / M - 1 / X - 22 / E - 00.000 DL</v>
      </c>
      <c r="B4" s="783"/>
      <c r="C4" s="783"/>
      <c r="D4" s="783"/>
      <c r="E4" s="783"/>
      <c r="F4" s="783"/>
      <c r="G4" s="783"/>
      <c r="I4" s="436"/>
      <c r="J4" s="437"/>
      <c r="K4" s="438"/>
    </row>
    <row r="5" spans="1:11" x14ac:dyDescent="0.2">
      <c r="I5" s="439"/>
      <c r="J5" s="440"/>
      <c r="K5" s="438"/>
    </row>
    <row r="6" spans="1:11" x14ac:dyDescent="0.2">
      <c r="I6" s="441"/>
      <c r="J6" s="438"/>
      <c r="K6" s="438"/>
    </row>
    <row r="7" spans="1:11" ht="33.75" customHeight="1" x14ac:dyDescent="0.2">
      <c r="A7" s="771" t="s">
        <v>273</v>
      </c>
      <c r="B7" s="771"/>
      <c r="C7" s="771"/>
      <c r="D7" s="771"/>
      <c r="E7" s="771"/>
      <c r="F7" s="771"/>
      <c r="G7" s="771"/>
      <c r="I7" s="441"/>
      <c r="J7" s="442"/>
      <c r="K7" s="438"/>
    </row>
    <row r="8" spans="1:11" ht="15.75" x14ac:dyDescent="0.2">
      <c r="A8" s="443"/>
      <c r="B8" s="443"/>
      <c r="C8" s="443"/>
      <c r="D8" s="443"/>
      <c r="E8" s="443"/>
      <c r="F8" s="443"/>
      <c r="G8" s="443"/>
      <c r="I8" s="441"/>
      <c r="J8" s="438"/>
      <c r="K8" s="438"/>
    </row>
    <row r="9" spans="1:11" x14ac:dyDescent="0.2">
      <c r="I9" s="441"/>
      <c r="J9" s="438"/>
      <c r="K9" s="438"/>
    </row>
    <row r="10" spans="1:11" ht="15.75" x14ac:dyDescent="0.25">
      <c r="A10" s="444" t="s">
        <v>274</v>
      </c>
      <c r="C10" s="444" t="s">
        <v>20</v>
      </c>
      <c r="D10" s="771">
        <f>SERTIFIKAT!$B$14</f>
        <v>0</v>
      </c>
      <c r="E10" s="771"/>
      <c r="F10" s="771"/>
      <c r="G10" s="771"/>
      <c r="I10" s="441"/>
      <c r="J10" s="772"/>
      <c r="K10" s="772"/>
    </row>
    <row r="11" spans="1:11" ht="32.25" customHeight="1" x14ac:dyDescent="0.2">
      <c r="A11" s="445" t="s">
        <v>275</v>
      </c>
      <c r="C11" s="445" t="s">
        <v>20</v>
      </c>
      <c r="D11" s="771" t="str">
        <f>SERTIFIKAT!$D$16</f>
        <v>Jalan Brigjend Hasan Basri</v>
      </c>
      <c r="E11" s="771"/>
      <c r="F11" s="771"/>
      <c r="G11" s="771"/>
      <c r="I11" s="441"/>
      <c r="J11" s="772"/>
      <c r="K11" s="772"/>
    </row>
    <row r="12" spans="1:11" ht="15.75" x14ac:dyDescent="0.25">
      <c r="A12" s="444" t="s">
        <v>276</v>
      </c>
      <c r="C12" s="444" t="s">
        <v>20</v>
      </c>
      <c r="D12" s="444" t="str">
        <f>SERTIFIKAT!$F$6</f>
        <v>E - 00.000 DL</v>
      </c>
      <c r="I12" s="441"/>
      <c r="J12" s="773"/>
      <c r="K12" s="774"/>
    </row>
    <row r="15" spans="1:11" ht="15.75" x14ac:dyDescent="0.2">
      <c r="A15" s="446" t="s">
        <v>277</v>
      </c>
    </row>
    <row r="17" spans="1:7" ht="22.5" customHeight="1" x14ac:dyDescent="0.2">
      <c r="A17" s="447" t="s">
        <v>77</v>
      </c>
      <c r="B17" s="447" t="s">
        <v>278</v>
      </c>
      <c r="C17" s="775" t="s">
        <v>279</v>
      </c>
      <c r="D17" s="776"/>
      <c r="E17" s="447" t="s">
        <v>280</v>
      </c>
      <c r="F17" s="447" t="s">
        <v>281</v>
      </c>
      <c r="G17" s="447" t="s">
        <v>282</v>
      </c>
    </row>
    <row r="18" spans="1:7" ht="30.75" customHeight="1" x14ac:dyDescent="0.2">
      <c r="A18" s="448" t="s">
        <v>283</v>
      </c>
      <c r="B18" s="449" t="str">
        <f>SERTIFIKAT!$B$6</f>
        <v>PHOTOTHERAPY</v>
      </c>
      <c r="C18" s="777" t="str">
        <f>SERTIFIKAT!$D$8</f>
        <v>GEA - MEDICAL</v>
      </c>
      <c r="D18" s="778"/>
      <c r="E18" s="450" t="str">
        <f>SERTIFIKAT!$D$9</f>
        <v>XHZ - 90</v>
      </c>
      <c r="F18" s="450" t="str">
        <f>SERTIFIKAT!$D$10</f>
        <v>42140204033</v>
      </c>
      <c r="G18" s="447" t="str">
        <f>SERTIFIKAT!$D$19</f>
        <v>12 Mei 2022</v>
      </c>
    </row>
    <row r="19" spans="1:7" ht="15.75" x14ac:dyDescent="0.2">
      <c r="A19" s="451"/>
      <c r="C19" s="452"/>
      <c r="D19" s="452"/>
    </row>
    <row r="21" spans="1:7" ht="30.75" customHeight="1" x14ac:dyDescent="0.2">
      <c r="A21" s="771" t="s">
        <v>284</v>
      </c>
      <c r="B21" s="771"/>
      <c r="C21" s="771"/>
      <c r="D21" s="771"/>
      <c r="E21" s="771"/>
      <c r="F21" s="771"/>
      <c r="G21" s="771"/>
    </row>
    <row r="23" spans="1:7" ht="15.75" x14ac:dyDescent="0.2">
      <c r="A23" s="768" t="s">
        <v>285</v>
      </c>
      <c r="B23" s="768"/>
      <c r="C23" s="768"/>
      <c r="D23" s="768"/>
      <c r="E23" s="768"/>
      <c r="F23" s="768"/>
      <c r="G23" s="768"/>
    </row>
    <row r="24" spans="1:7" ht="15.75" x14ac:dyDescent="0.2">
      <c r="A24" s="453"/>
      <c r="B24" s="453"/>
      <c r="C24" s="453"/>
      <c r="D24" s="453"/>
      <c r="E24" s="453"/>
      <c r="F24" s="453"/>
      <c r="G24" s="453"/>
    </row>
    <row r="26" spans="1:7" ht="15.75" x14ac:dyDescent="0.2">
      <c r="F26" s="454" t="s">
        <v>286</v>
      </c>
      <c r="G26" s="455">
        <f ca="1">TODAY()</f>
        <v>45198</v>
      </c>
    </row>
    <row r="27" spans="1:7" ht="15.75" x14ac:dyDescent="0.25">
      <c r="F27" s="769" t="s">
        <v>287</v>
      </c>
      <c r="G27" s="769"/>
    </row>
    <row r="32" spans="1:7" ht="15.75" x14ac:dyDescent="0.25">
      <c r="F32" s="770" t="s">
        <v>270</v>
      </c>
      <c r="G32" s="770"/>
    </row>
    <row r="33" spans="6:7" ht="15.75" x14ac:dyDescent="0.25">
      <c r="F33" s="769" t="s">
        <v>271</v>
      </c>
      <c r="G33" s="769"/>
    </row>
  </sheetData>
  <sheetProtection algorithmName="SHA-512" hashValue="MLxflYyqRT3OL74ewJfcfGZxjxBuzF8DeY0iBBGu+BX2RKHMlo+ei9Ax/GgRnXFeX/ahgXay+M2SjYYCSHAM7A==" saltValue="QPWRm8eMR2aKqZm5Gf/lyQ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3"/>
  <sheetViews>
    <sheetView topLeftCell="B22" workbookViewId="0">
      <selection activeCell="D9" sqref="D9:F9"/>
    </sheetView>
  </sheetViews>
  <sheetFormatPr defaultColWidth="9.140625" defaultRowHeight="12.75" x14ac:dyDescent="0.2"/>
  <cols>
    <col min="1" max="1" width="9.140625" style="404"/>
    <col min="2" max="2" width="30.28515625" style="404" bestFit="1" customWidth="1"/>
    <col min="3" max="3" width="24.5703125" style="404" bestFit="1" customWidth="1"/>
    <col min="4" max="4" width="32.5703125" style="404" bestFit="1" customWidth="1"/>
    <col min="5" max="5" width="9.85546875" style="404" customWidth="1"/>
    <col min="6" max="6" width="30.140625" style="404" bestFit="1" customWidth="1"/>
    <col min="7" max="7" width="9.140625" style="404"/>
    <col min="8" max="8" width="15.42578125" style="404" bestFit="1" customWidth="1"/>
    <col min="9" max="9" width="9.140625" style="404"/>
    <col min="10" max="10" width="11.7109375" style="404" bestFit="1" customWidth="1"/>
    <col min="11" max="16384" width="9.140625" style="404"/>
  </cols>
  <sheetData>
    <row r="1" spans="1:15" ht="15" x14ac:dyDescent="0.25">
      <c r="A1" s="456" t="s">
        <v>29</v>
      </c>
      <c r="B1" s="456" t="s">
        <v>278</v>
      </c>
      <c r="C1" s="456" t="s">
        <v>288</v>
      </c>
      <c r="D1" s="457" t="s">
        <v>289</v>
      </c>
      <c r="E1" s="458"/>
      <c r="F1" s="459" t="s">
        <v>251</v>
      </c>
      <c r="H1" s="458"/>
      <c r="J1" s="458"/>
    </row>
    <row r="2" spans="1:15" ht="15" x14ac:dyDescent="0.25">
      <c r="A2" s="460">
        <v>1</v>
      </c>
      <c r="B2" s="460" t="s">
        <v>290</v>
      </c>
      <c r="C2" s="460" t="s">
        <v>291</v>
      </c>
      <c r="D2" s="461" t="s">
        <v>292</v>
      </c>
      <c r="F2" s="462" t="s">
        <v>293</v>
      </c>
    </row>
    <row r="3" spans="1:15" ht="15" x14ac:dyDescent="0.25">
      <c r="A3" s="460">
        <v>2</v>
      </c>
      <c r="B3" s="460" t="s">
        <v>294</v>
      </c>
      <c r="C3" s="460" t="s">
        <v>295</v>
      </c>
      <c r="D3" s="460" t="s">
        <v>296</v>
      </c>
      <c r="F3" s="462" t="s">
        <v>297</v>
      </c>
    </row>
    <row r="4" spans="1:15" ht="15" x14ac:dyDescent="0.25">
      <c r="A4" s="460">
        <v>3</v>
      </c>
      <c r="B4" s="460" t="s">
        <v>298</v>
      </c>
      <c r="C4" s="460" t="s">
        <v>299</v>
      </c>
      <c r="D4" s="460" t="s">
        <v>300</v>
      </c>
      <c r="F4" s="462" t="s">
        <v>301</v>
      </c>
    </row>
    <row r="5" spans="1:15" ht="15" x14ac:dyDescent="0.25">
      <c r="A5" s="460">
        <v>4</v>
      </c>
      <c r="B5" s="460" t="s">
        <v>302</v>
      </c>
      <c r="C5" s="460" t="s">
        <v>303</v>
      </c>
      <c r="D5" s="461" t="s">
        <v>304</v>
      </c>
      <c r="F5" s="462" t="s">
        <v>305</v>
      </c>
      <c r="H5" s="463"/>
    </row>
    <row r="6" spans="1:15" ht="15" x14ac:dyDescent="0.25">
      <c r="A6" s="460">
        <v>5</v>
      </c>
      <c r="B6" s="460" t="s">
        <v>306</v>
      </c>
      <c r="C6" s="460" t="s">
        <v>307</v>
      </c>
      <c r="D6" s="461" t="s">
        <v>308</v>
      </c>
      <c r="F6" s="462" t="s">
        <v>309</v>
      </c>
    </row>
    <row r="7" spans="1:15" ht="15" x14ac:dyDescent="0.25">
      <c r="A7" s="460">
        <v>6</v>
      </c>
      <c r="B7" s="460" t="s">
        <v>310</v>
      </c>
      <c r="C7" s="460" t="s">
        <v>311</v>
      </c>
      <c r="D7" s="461" t="s">
        <v>312</v>
      </c>
      <c r="F7" s="462" t="s">
        <v>254</v>
      </c>
    </row>
    <row r="8" spans="1:15" ht="15" x14ac:dyDescent="0.25">
      <c r="A8" s="460">
        <v>7</v>
      </c>
      <c r="B8" s="460" t="s">
        <v>313</v>
      </c>
      <c r="C8" s="460" t="s">
        <v>314</v>
      </c>
      <c r="D8" s="461" t="s">
        <v>315</v>
      </c>
      <c r="F8" s="462" t="s">
        <v>316</v>
      </c>
    </row>
    <row r="9" spans="1:15" ht="15" x14ac:dyDescent="0.25">
      <c r="A9" s="460">
        <v>8</v>
      </c>
      <c r="B9" s="460" t="s">
        <v>317</v>
      </c>
      <c r="C9" s="460" t="s">
        <v>318</v>
      </c>
      <c r="D9" s="460" t="s">
        <v>319</v>
      </c>
      <c r="F9" s="462" t="s">
        <v>320</v>
      </c>
    </row>
    <row r="10" spans="1:15" ht="15" x14ac:dyDescent="0.25">
      <c r="A10" s="460">
        <v>9</v>
      </c>
      <c r="B10" s="460" t="s">
        <v>321</v>
      </c>
      <c r="C10" s="460" t="s">
        <v>322</v>
      </c>
      <c r="D10" s="461" t="s">
        <v>323</v>
      </c>
      <c r="F10" s="462" t="s">
        <v>324</v>
      </c>
      <c r="H10" s="463"/>
    </row>
    <row r="11" spans="1:15" ht="15" x14ac:dyDescent="0.25">
      <c r="A11" s="460">
        <v>10</v>
      </c>
      <c r="B11" s="460" t="s">
        <v>325</v>
      </c>
      <c r="C11" s="460" t="s">
        <v>326</v>
      </c>
      <c r="D11" s="460" t="s">
        <v>327</v>
      </c>
      <c r="F11" s="462" t="s">
        <v>328</v>
      </c>
      <c r="L11" s="464"/>
      <c r="M11" s="465"/>
      <c r="N11" s="464"/>
      <c r="O11" s="465"/>
    </row>
    <row r="12" spans="1:15" ht="15" x14ac:dyDescent="0.25">
      <c r="A12" s="460">
        <v>11</v>
      </c>
      <c r="B12" s="460" t="s">
        <v>329</v>
      </c>
      <c r="C12" s="460" t="s">
        <v>326</v>
      </c>
      <c r="D12" s="460" t="s">
        <v>327</v>
      </c>
      <c r="F12" s="462" t="s">
        <v>330</v>
      </c>
      <c r="H12" s="466"/>
    </row>
    <row r="13" spans="1:15" ht="15" x14ac:dyDescent="0.25">
      <c r="A13" s="460">
        <v>12</v>
      </c>
      <c r="B13" s="460" t="s">
        <v>331</v>
      </c>
      <c r="C13" s="460" t="s">
        <v>332</v>
      </c>
      <c r="D13" s="461" t="s">
        <v>333</v>
      </c>
      <c r="F13" s="462" t="s">
        <v>334</v>
      </c>
    </row>
    <row r="14" spans="1:15" ht="15" x14ac:dyDescent="0.25">
      <c r="A14" s="460">
        <v>13</v>
      </c>
      <c r="B14" s="460" t="s">
        <v>335</v>
      </c>
      <c r="C14" s="460" t="s">
        <v>336</v>
      </c>
      <c r="D14" s="461" t="s">
        <v>337</v>
      </c>
    </row>
    <row r="15" spans="1:15" ht="15" x14ac:dyDescent="0.25">
      <c r="A15" s="460">
        <v>14</v>
      </c>
      <c r="B15" s="460" t="s">
        <v>338</v>
      </c>
      <c r="C15" s="460" t="s">
        <v>339</v>
      </c>
      <c r="D15" s="461" t="s">
        <v>340</v>
      </c>
      <c r="L15" s="464"/>
      <c r="M15" s="464"/>
      <c r="N15" s="464"/>
      <c r="O15" s="465"/>
    </row>
    <row r="16" spans="1:15" ht="15" x14ac:dyDescent="0.25">
      <c r="A16" s="460">
        <v>15</v>
      </c>
      <c r="B16" s="460" t="s">
        <v>341</v>
      </c>
      <c r="C16" s="460" t="s">
        <v>342</v>
      </c>
      <c r="D16" s="461" t="s">
        <v>343</v>
      </c>
      <c r="L16" s="464"/>
      <c r="M16" s="464"/>
    </row>
    <row r="17" spans="1:14" ht="15" x14ac:dyDescent="0.25">
      <c r="A17" s="460">
        <v>16</v>
      </c>
      <c r="B17" s="460" t="s">
        <v>344</v>
      </c>
      <c r="C17" s="460" t="s">
        <v>339</v>
      </c>
      <c r="D17" s="461" t="s">
        <v>340</v>
      </c>
    </row>
    <row r="18" spans="1:14" ht="15" x14ac:dyDescent="0.25">
      <c r="A18" s="460">
        <v>17</v>
      </c>
      <c r="B18" s="460" t="s">
        <v>345</v>
      </c>
      <c r="C18" s="460" t="s">
        <v>346</v>
      </c>
      <c r="D18" s="460" t="s">
        <v>347</v>
      </c>
    </row>
    <row r="19" spans="1:14" ht="15" x14ac:dyDescent="0.25">
      <c r="A19" s="460">
        <v>18</v>
      </c>
      <c r="B19" s="460" t="s">
        <v>348</v>
      </c>
      <c r="C19" s="460" t="s">
        <v>349</v>
      </c>
      <c r="D19" s="461" t="s">
        <v>350</v>
      </c>
    </row>
    <row r="20" spans="1:14" ht="15" x14ac:dyDescent="0.25">
      <c r="A20" s="460">
        <v>19</v>
      </c>
      <c r="B20" s="460" t="s">
        <v>351</v>
      </c>
      <c r="C20" s="460" t="s">
        <v>352</v>
      </c>
      <c r="D20" s="461" t="s">
        <v>353</v>
      </c>
    </row>
    <row r="21" spans="1:14" ht="15" x14ac:dyDescent="0.25">
      <c r="A21" s="460">
        <v>20</v>
      </c>
      <c r="B21" s="460" t="s">
        <v>354</v>
      </c>
      <c r="C21" s="460" t="s">
        <v>355</v>
      </c>
      <c r="D21" s="460" t="s">
        <v>356</v>
      </c>
    </row>
    <row r="22" spans="1:14" ht="15" x14ac:dyDescent="0.25">
      <c r="A22" s="460">
        <v>21</v>
      </c>
      <c r="B22" s="460" t="s">
        <v>357</v>
      </c>
      <c r="C22" s="460" t="s">
        <v>358</v>
      </c>
      <c r="D22" s="460" t="s">
        <v>359</v>
      </c>
    </row>
    <row r="23" spans="1:14" ht="15" x14ac:dyDescent="0.25">
      <c r="A23" s="460">
        <v>22</v>
      </c>
      <c r="B23" s="460" t="s">
        <v>360</v>
      </c>
      <c r="C23" s="460" t="s">
        <v>361</v>
      </c>
      <c r="D23" s="461" t="s">
        <v>362</v>
      </c>
    </row>
    <row r="24" spans="1:14" ht="15" x14ac:dyDescent="0.25">
      <c r="A24" s="460">
        <v>23</v>
      </c>
      <c r="B24" s="460" t="s">
        <v>363</v>
      </c>
      <c r="C24" s="460" t="s">
        <v>364</v>
      </c>
      <c r="D24" s="461" t="s">
        <v>365</v>
      </c>
    </row>
    <row r="25" spans="1:14" ht="15" x14ac:dyDescent="0.25">
      <c r="A25" s="460">
        <v>24</v>
      </c>
      <c r="B25" s="460" t="s">
        <v>366</v>
      </c>
      <c r="C25" s="460" t="s">
        <v>367</v>
      </c>
      <c r="D25" s="461" t="s">
        <v>368</v>
      </c>
      <c r="G25" s="465"/>
      <c r="K25" s="464"/>
      <c r="L25" s="465"/>
      <c r="M25" s="464"/>
      <c r="N25" s="465"/>
    </row>
    <row r="26" spans="1:14" ht="15" x14ac:dyDescent="0.25">
      <c r="A26" s="460">
        <v>25</v>
      </c>
      <c r="B26" s="460" t="s">
        <v>369</v>
      </c>
      <c r="C26" s="460" t="s">
        <v>370</v>
      </c>
      <c r="D26" s="460" t="s">
        <v>371</v>
      </c>
    </row>
    <row r="27" spans="1:14" ht="15" x14ac:dyDescent="0.25">
      <c r="A27" s="460">
        <v>26</v>
      </c>
      <c r="B27" s="460" t="s">
        <v>372</v>
      </c>
      <c r="C27" s="460" t="s">
        <v>373</v>
      </c>
      <c r="D27" s="460" t="s">
        <v>374</v>
      </c>
      <c r="F27" s="464"/>
      <c r="G27" s="465"/>
    </row>
    <row r="28" spans="1:14" ht="15" x14ac:dyDescent="0.25">
      <c r="A28" s="460">
        <v>27</v>
      </c>
      <c r="B28" s="460" t="s">
        <v>375</v>
      </c>
      <c r="C28" s="460"/>
      <c r="D28" s="460"/>
    </row>
    <row r="29" spans="1:14" ht="15" x14ac:dyDescent="0.25">
      <c r="A29" s="460">
        <v>28</v>
      </c>
      <c r="B29" s="460" t="s">
        <v>376</v>
      </c>
      <c r="C29" s="460" t="s">
        <v>377</v>
      </c>
      <c r="D29" s="461" t="s">
        <v>378</v>
      </c>
    </row>
    <row r="30" spans="1:14" ht="15" x14ac:dyDescent="0.25">
      <c r="A30" s="460">
        <v>29</v>
      </c>
      <c r="B30" s="460" t="s">
        <v>379</v>
      </c>
      <c r="C30" s="460" t="s">
        <v>380</v>
      </c>
      <c r="D30" s="461" t="s">
        <v>381</v>
      </c>
      <c r="F30" s="464"/>
      <c r="G30" s="465"/>
    </row>
    <row r="31" spans="1:14" ht="15" x14ac:dyDescent="0.25">
      <c r="A31" s="460">
        <v>30</v>
      </c>
      <c r="B31" s="460" t="s">
        <v>382</v>
      </c>
      <c r="C31" s="460" t="s">
        <v>383</v>
      </c>
      <c r="D31" s="460" t="s">
        <v>384</v>
      </c>
      <c r="G31" s="464"/>
    </row>
    <row r="32" spans="1:14" ht="15" x14ac:dyDescent="0.25">
      <c r="A32" s="460">
        <v>31</v>
      </c>
      <c r="B32" s="460" t="s">
        <v>385</v>
      </c>
      <c r="C32" s="460" t="s">
        <v>386</v>
      </c>
      <c r="D32" s="460" t="s">
        <v>387</v>
      </c>
      <c r="G32" s="464"/>
    </row>
    <row r="33" spans="1:7" ht="15" x14ac:dyDescent="0.25">
      <c r="A33" s="460">
        <v>32</v>
      </c>
      <c r="B33" s="460" t="s">
        <v>388</v>
      </c>
      <c r="C33" s="460" t="s">
        <v>389</v>
      </c>
      <c r="D33" s="460" t="s">
        <v>390</v>
      </c>
      <c r="F33" s="464"/>
      <c r="G33" s="464"/>
    </row>
    <row r="34" spans="1:7" ht="15" x14ac:dyDescent="0.25">
      <c r="A34" s="460">
        <v>33</v>
      </c>
      <c r="B34" s="460" t="s">
        <v>391</v>
      </c>
      <c r="C34" s="460" t="s">
        <v>392</v>
      </c>
      <c r="D34" s="461" t="s">
        <v>393</v>
      </c>
      <c r="F34" s="464"/>
      <c r="G34" s="464"/>
    </row>
    <row r="35" spans="1:7" ht="15" x14ac:dyDescent="0.25">
      <c r="A35" s="460">
        <v>34</v>
      </c>
      <c r="B35" s="460" t="s">
        <v>394</v>
      </c>
      <c r="C35" s="460" t="s">
        <v>392</v>
      </c>
      <c r="D35" s="461" t="s">
        <v>393</v>
      </c>
      <c r="G35" s="464"/>
    </row>
    <row r="36" spans="1:7" ht="15" x14ac:dyDescent="0.25">
      <c r="A36" s="460">
        <v>35</v>
      </c>
      <c r="B36" s="460" t="s">
        <v>395</v>
      </c>
      <c r="C36" s="460" t="s">
        <v>396</v>
      </c>
      <c r="D36" s="461" t="s">
        <v>397</v>
      </c>
      <c r="G36" s="464"/>
    </row>
    <row r="37" spans="1:7" ht="15" x14ac:dyDescent="0.25">
      <c r="A37" s="460">
        <v>36</v>
      </c>
      <c r="B37" s="460" t="s">
        <v>398</v>
      </c>
      <c r="C37" s="460" t="s">
        <v>399</v>
      </c>
      <c r="D37" s="460" t="s">
        <v>400</v>
      </c>
      <c r="G37" s="464"/>
    </row>
    <row r="38" spans="1:7" ht="15" x14ac:dyDescent="0.25">
      <c r="A38" s="460">
        <v>37</v>
      </c>
      <c r="B38" s="460" t="s">
        <v>401</v>
      </c>
      <c r="C38" s="460" t="s">
        <v>402</v>
      </c>
      <c r="D38" s="460" t="s">
        <v>403</v>
      </c>
      <c r="G38" s="464"/>
    </row>
    <row r="39" spans="1:7" ht="15" x14ac:dyDescent="0.25">
      <c r="A39" s="460">
        <v>38</v>
      </c>
      <c r="B39" s="460" t="s">
        <v>404</v>
      </c>
      <c r="C39" s="460" t="s">
        <v>405</v>
      </c>
      <c r="D39" s="461" t="s">
        <v>406</v>
      </c>
      <c r="F39" s="464"/>
      <c r="G39" s="465"/>
    </row>
    <row r="40" spans="1:7" ht="15" x14ac:dyDescent="0.25">
      <c r="A40" s="460">
        <v>39</v>
      </c>
      <c r="B40" s="460" t="s">
        <v>407</v>
      </c>
      <c r="C40" s="460" t="s">
        <v>408</v>
      </c>
      <c r="D40" s="460" t="s">
        <v>409</v>
      </c>
    </row>
    <row r="41" spans="1:7" ht="15" x14ac:dyDescent="0.25">
      <c r="A41" s="460">
        <v>40</v>
      </c>
      <c r="B41" s="460" t="s">
        <v>410</v>
      </c>
      <c r="C41" s="460" t="s">
        <v>411</v>
      </c>
      <c r="D41" s="460" t="s">
        <v>412</v>
      </c>
    </row>
    <row r="42" spans="1:7" ht="15" x14ac:dyDescent="0.25">
      <c r="A42" s="460">
        <v>41</v>
      </c>
      <c r="B42" s="460" t="s">
        <v>256</v>
      </c>
      <c r="C42" s="460" t="s">
        <v>413</v>
      </c>
      <c r="D42" s="460" t="s">
        <v>122</v>
      </c>
    </row>
    <row r="43" spans="1:7" ht="15" x14ac:dyDescent="0.25">
      <c r="A43" s="460">
        <v>42</v>
      </c>
      <c r="B43" s="460" t="s">
        <v>414</v>
      </c>
      <c r="C43" s="460" t="s">
        <v>415</v>
      </c>
      <c r="D43" s="460" t="s">
        <v>416</v>
      </c>
    </row>
    <row r="44" spans="1:7" ht="15" x14ac:dyDescent="0.25">
      <c r="A44" s="460">
        <v>43</v>
      </c>
      <c r="B44" s="460" t="s">
        <v>417</v>
      </c>
      <c r="C44" s="460"/>
      <c r="D44" s="460"/>
    </row>
    <row r="45" spans="1:7" ht="15" x14ac:dyDescent="0.25">
      <c r="A45" s="460">
        <v>44</v>
      </c>
      <c r="B45" s="460" t="s">
        <v>418</v>
      </c>
      <c r="C45" s="460" t="s">
        <v>419</v>
      </c>
      <c r="D45" s="461" t="s">
        <v>420</v>
      </c>
    </row>
    <row r="46" spans="1:7" ht="15" x14ac:dyDescent="0.25">
      <c r="A46" s="460">
        <v>45</v>
      </c>
      <c r="B46" s="460" t="s">
        <v>421</v>
      </c>
      <c r="C46" s="460" t="s">
        <v>422</v>
      </c>
      <c r="D46" s="461" t="s">
        <v>423</v>
      </c>
    </row>
    <row r="47" spans="1:7" ht="15" x14ac:dyDescent="0.25">
      <c r="A47" s="460">
        <v>46</v>
      </c>
      <c r="B47" s="460" t="s">
        <v>424</v>
      </c>
      <c r="C47" s="460" t="s">
        <v>425</v>
      </c>
      <c r="D47" s="460" t="s">
        <v>426</v>
      </c>
    </row>
    <row r="48" spans="1:7" ht="15" x14ac:dyDescent="0.25">
      <c r="A48" s="460">
        <v>47</v>
      </c>
      <c r="B48" s="460" t="s">
        <v>427</v>
      </c>
      <c r="C48" s="460" t="s">
        <v>428</v>
      </c>
      <c r="D48" s="461" t="s">
        <v>429</v>
      </c>
    </row>
    <row r="49" spans="1:7" ht="15" x14ac:dyDescent="0.25">
      <c r="A49" s="460">
        <v>48</v>
      </c>
      <c r="B49" s="460" t="s">
        <v>430</v>
      </c>
      <c r="C49" s="460"/>
      <c r="D49" s="460"/>
    </row>
    <row r="50" spans="1:7" ht="15" x14ac:dyDescent="0.25">
      <c r="A50" s="460">
        <v>49</v>
      </c>
      <c r="B50" s="460" t="s">
        <v>431</v>
      </c>
      <c r="C50" s="460" t="s">
        <v>432</v>
      </c>
      <c r="D50" s="461" t="s">
        <v>433</v>
      </c>
      <c r="F50" s="464"/>
      <c r="G50" s="465"/>
    </row>
    <row r="51" spans="1:7" ht="15" x14ac:dyDescent="0.25">
      <c r="A51" s="460">
        <v>50</v>
      </c>
      <c r="B51" s="460" t="s">
        <v>434</v>
      </c>
      <c r="C51" s="460" t="s">
        <v>435</v>
      </c>
      <c r="D51" s="460" t="s">
        <v>436</v>
      </c>
    </row>
    <row r="52" spans="1:7" ht="15" x14ac:dyDescent="0.25">
      <c r="A52" s="460">
        <v>51</v>
      </c>
      <c r="B52" s="460" t="s">
        <v>437</v>
      </c>
      <c r="C52" s="460" t="s">
        <v>438</v>
      </c>
      <c r="D52" s="461" t="s">
        <v>439</v>
      </c>
      <c r="F52" s="464"/>
      <c r="G52" s="465"/>
    </row>
    <row r="53" spans="1:7" ht="15" x14ac:dyDescent="0.25">
      <c r="A53" s="460">
        <v>52</v>
      </c>
      <c r="B53" s="460" t="s">
        <v>440</v>
      </c>
      <c r="C53" s="460" t="s">
        <v>441</v>
      </c>
      <c r="D53" s="461" t="s">
        <v>442</v>
      </c>
    </row>
    <row r="54" spans="1:7" ht="15" x14ac:dyDescent="0.25">
      <c r="A54" s="460">
        <v>53</v>
      </c>
      <c r="B54" s="460" t="s">
        <v>443</v>
      </c>
      <c r="C54" s="460" t="s">
        <v>444</v>
      </c>
      <c r="D54" s="460" t="s">
        <v>445</v>
      </c>
    </row>
    <row r="55" spans="1:7" ht="15" x14ac:dyDescent="0.25">
      <c r="A55" s="460">
        <v>54</v>
      </c>
      <c r="B55" s="460" t="s">
        <v>446</v>
      </c>
      <c r="C55" s="460" t="s">
        <v>444</v>
      </c>
      <c r="D55" s="460" t="s">
        <v>445</v>
      </c>
    </row>
    <row r="56" spans="1:7" ht="15" x14ac:dyDescent="0.25">
      <c r="A56" s="460">
        <v>55</v>
      </c>
      <c r="B56" s="460" t="s">
        <v>447</v>
      </c>
      <c r="C56" s="460" t="s">
        <v>358</v>
      </c>
      <c r="D56" s="460" t="s">
        <v>448</v>
      </c>
    </row>
    <row r="57" spans="1:7" ht="15" x14ac:dyDescent="0.25">
      <c r="A57" s="460">
        <v>56</v>
      </c>
      <c r="B57" s="460" t="s">
        <v>449</v>
      </c>
      <c r="C57" s="460" t="s">
        <v>450</v>
      </c>
      <c r="D57" s="461" t="s">
        <v>451</v>
      </c>
      <c r="F57" s="464"/>
      <c r="G57" s="465"/>
    </row>
    <row r="58" spans="1:7" ht="15" x14ac:dyDescent="0.25">
      <c r="A58" s="460">
        <v>57</v>
      </c>
      <c r="B58" s="460" t="s">
        <v>452</v>
      </c>
      <c r="C58" s="460"/>
      <c r="D58" s="460"/>
    </row>
    <row r="59" spans="1:7" ht="15" x14ac:dyDescent="0.25">
      <c r="A59" s="460">
        <v>58</v>
      </c>
      <c r="B59" s="460" t="s">
        <v>453</v>
      </c>
      <c r="C59" s="460" t="s">
        <v>454</v>
      </c>
      <c r="D59" s="460" t="s">
        <v>455</v>
      </c>
    </row>
    <row r="60" spans="1:7" ht="15" x14ac:dyDescent="0.25">
      <c r="A60" s="460">
        <v>59</v>
      </c>
      <c r="B60" s="460" t="s">
        <v>456</v>
      </c>
      <c r="C60" s="460"/>
      <c r="D60" s="460"/>
    </row>
    <row r="61" spans="1:7" ht="15" x14ac:dyDescent="0.25">
      <c r="A61" s="460">
        <v>60</v>
      </c>
      <c r="B61" s="460" t="s">
        <v>457</v>
      </c>
      <c r="C61" s="460" t="s">
        <v>458</v>
      </c>
      <c r="D61" s="461" t="s">
        <v>459</v>
      </c>
    </row>
    <row r="62" spans="1:7" ht="15" x14ac:dyDescent="0.25">
      <c r="A62" s="460">
        <v>61</v>
      </c>
      <c r="B62" s="460" t="s">
        <v>460</v>
      </c>
      <c r="C62" s="460" t="s">
        <v>461</v>
      </c>
      <c r="D62" s="460" t="s">
        <v>462</v>
      </c>
    </row>
    <row r="63" spans="1:7" ht="15" x14ac:dyDescent="0.25">
      <c r="A63" s="460">
        <v>62</v>
      </c>
      <c r="B63" s="460" t="s">
        <v>463</v>
      </c>
      <c r="C63" s="460" t="s">
        <v>464</v>
      </c>
      <c r="D63" s="461" t="s">
        <v>465</v>
      </c>
    </row>
    <row r="64" spans="1:7" ht="15" x14ac:dyDescent="0.25">
      <c r="A64" s="460">
        <v>63</v>
      </c>
      <c r="B64" s="460" t="s">
        <v>466</v>
      </c>
      <c r="C64" s="460" t="s">
        <v>467</v>
      </c>
      <c r="D64" s="460" t="s">
        <v>468</v>
      </c>
    </row>
    <row r="65" spans="1:4" ht="15" x14ac:dyDescent="0.25">
      <c r="A65" s="460">
        <v>64</v>
      </c>
      <c r="B65" s="460" t="s">
        <v>469</v>
      </c>
      <c r="C65" s="460"/>
      <c r="D65" s="460"/>
    </row>
    <row r="66" spans="1:4" ht="15" x14ac:dyDescent="0.25">
      <c r="A66" s="460">
        <v>65</v>
      </c>
      <c r="B66" s="460" t="s">
        <v>470</v>
      </c>
      <c r="C66" s="460"/>
      <c r="D66" s="460"/>
    </row>
    <row r="67" spans="1:4" ht="15" x14ac:dyDescent="0.25">
      <c r="A67" s="460">
        <v>66</v>
      </c>
      <c r="B67" s="460" t="s">
        <v>471</v>
      </c>
      <c r="C67" s="460"/>
      <c r="D67" s="460"/>
    </row>
    <row r="68" spans="1:4" ht="15" x14ac:dyDescent="0.25">
      <c r="A68" s="460">
        <v>67</v>
      </c>
      <c r="B68" s="460" t="s">
        <v>472</v>
      </c>
      <c r="C68" s="460"/>
      <c r="D68" s="460"/>
    </row>
    <row r="69" spans="1:4" ht="15" x14ac:dyDescent="0.25">
      <c r="A69" s="460">
        <v>68</v>
      </c>
      <c r="B69" s="460" t="s">
        <v>473</v>
      </c>
      <c r="C69" s="460" t="s">
        <v>474</v>
      </c>
      <c r="D69" s="460" t="s">
        <v>475</v>
      </c>
    </row>
    <row r="70" spans="1:4" ht="15" x14ac:dyDescent="0.25">
      <c r="A70" s="460">
        <v>71</v>
      </c>
      <c r="B70" s="460" t="s">
        <v>476</v>
      </c>
      <c r="C70" s="460" t="s">
        <v>342</v>
      </c>
      <c r="D70" s="461" t="s">
        <v>343</v>
      </c>
    </row>
    <row r="71" spans="1:4" ht="15" x14ac:dyDescent="0.25">
      <c r="A71" s="460">
        <v>70</v>
      </c>
      <c r="B71" s="460" t="s">
        <v>477</v>
      </c>
      <c r="C71" s="460" t="s">
        <v>478</v>
      </c>
      <c r="D71" s="460" t="s">
        <v>343</v>
      </c>
    </row>
    <row r="72" spans="1:4" ht="15" x14ac:dyDescent="0.25">
      <c r="A72" s="460">
        <v>76</v>
      </c>
      <c r="B72" s="460" t="s">
        <v>479</v>
      </c>
      <c r="C72" s="460" t="s">
        <v>480</v>
      </c>
      <c r="D72" s="461" t="s">
        <v>481</v>
      </c>
    </row>
    <row r="73" spans="1:4" ht="15" x14ac:dyDescent="0.25">
      <c r="A73" s="460">
        <v>78</v>
      </c>
      <c r="B73" s="460" t="s">
        <v>482</v>
      </c>
      <c r="C73" s="460" t="s">
        <v>483</v>
      </c>
      <c r="D73" s="460" t="s">
        <v>484</v>
      </c>
    </row>
  </sheetData>
  <sheetProtection algorithmName="SHA-512" hashValue="Ww+sM8qACxgXhdMPEJwS/+IKz8RrjhGsr2pe0Fx/p8b/BxH77yjHTj+z344xBcN4NDQPI9zRb0+24kAtseoSXg==" saltValue="RKxrSzKQzVFp3nssY0ohf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R372"/>
  <sheetViews>
    <sheetView topLeftCell="A333" zoomScaleNormal="100" zoomScaleSheetLayoutView="80" workbookViewId="0">
      <selection activeCell="A353" sqref="A353:K353"/>
    </sheetView>
  </sheetViews>
  <sheetFormatPr defaultColWidth="9.140625" defaultRowHeight="12.75" x14ac:dyDescent="0.2"/>
  <cols>
    <col min="1" max="5" width="9.140625" style="110"/>
    <col min="6" max="6" width="11.5703125" style="110" customWidth="1"/>
    <col min="7" max="16384" width="9.140625" style="110"/>
  </cols>
  <sheetData>
    <row r="1" spans="1:18" ht="19.5" thickBot="1" x14ac:dyDescent="0.25">
      <c r="A1" s="855" t="s">
        <v>485</v>
      </c>
      <c r="B1" s="856"/>
      <c r="C1" s="856"/>
      <c r="D1" s="856"/>
      <c r="E1" s="856"/>
      <c r="F1" s="856"/>
      <c r="G1" s="857"/>
      <c r="H1" s="856"/>
      <c r="I1" s="856"/>
      <c r="J1" s="856"/>
      <c r="K1" s="856"/>
      <c r="L1" s="856"/>
      <c r="M1" s="857"/>
      <c r="N1" s="856"/>
      <c r="O1" s="858"/>
      <c r="P1" s="280"/>
    </row>
    <row r="2" spans="1:18" x14ac:dyDescent="0.2">
      <c r="A2" s="849">
        <v>1</v>
      </c>
      <c r="B2" s="852" t="s">
        <v>486</v>
      </c>
      <c r="C2" s="852"/>
      <c r="D2" s="852"/>
      <c r="E2" s="852"/>
      <c r="F2" s="852"/>
      <c r="G2" s="281"/>
      <c r="H2" s="852" t="str">
        <f>B2</f>
        <v>KOREKSI KIMO THERMOHYGROMETER 15062873</v>
      </c>
      <c r="I2" s="852"/>
      <c r="J2" s="852"/>
      <c r="K2" s="852"/>
      <c r="L2" s="852"/>
      <c r="M2" s="281"/>
      <c r="N2" s="853" t="s">
        <v>158</v>
      </c>
      <c r="O2" s="853"/>
      <c r="P2" s="280"/>
    </row>
    <row r="3" spans="1:18" x14ac:dyDescent="0.2">
      <c r="A3" s="850"/>
      <c r="B3" s="854" t="s">
        <v>487</v>
      </c>
      <c r="C3" s="854"/>
      <c r="D3" s="854" t="s">
        <v>252</v>
      </c>
      <c r="E3" s="854"/>
      <c r="F3" s="854" t="s">
        <v>488</v>
      </c>
      <c r="G3" s="282"/>
      <c r="H3" s="854" t="s">
        <v>489</v>
      </c>
      <c r="I3" s="854"/>
      <c r="J3" s="854" t="s">
        <v>252</v>
      </c>
      <c r="K3" s="854"/>
      <c r="L3" s="854" t="s">
        <v>488</v>
      </c>
      <c r="M3" s="282"/>
      <c r="N3" s="283" t="s">
        <v>487</v>
      </c>
      <c r="O3" s="112">
        <v>0.6</v>
      </c>
      <c r="P3" s="280"/>
    </row>
    <row r="4" spans="1:18" ht="15" x14ac:dyDescent="0.2">
      <c r="A4" s="850"/>
      <c r="B4" s="847" t="s">
        <v>490</v>
      </c>
      <c r="C4" s="847"/>
      <c r="D4" s="113">
        <v>2020</v>
      </c>
      <c r="E4" s="113">
        <v>2017</v>
      </c>
      <c r="F4" s="854"/>
      <c r="G4" s="282"/>
      <c r="H4" s="848" t="s">
        <v>491</v>
      </c>
      <c r="I4" s="847"/>
      <c r="J4" s="284">
        <f>D4</f>
        <v>2020</v>
      </c>
      <c r="K4" s="284">
        <v>2021</v>
      </c>
      <c r="L4" s="854"/>
      <c r="M4" s="282"/>
      <c r="N4" s="283" t="s">
        <v>491</v>
      </c>
      <c r="O4" s="112">
        <v>3.1</v>
      </c>
      <c r="P4" s="280"/>
    </row>
    <row r="5" spans="1:18" x14ac:dyDescent="0.2">
      <c r="A5" s="850"/>
      <c r="B5" s="285"/>
      <c r="C5" s="114">
        <v>15</v>
      </c>
      <c r="D5" s="114">
        <v>-0.5</v>
      </c>
      <c r="E5" s="114">
        <v>0.3</v>
      </c>
      <c r="F5" s="286">
        <f t="shared" ref="F5:F11" si="0">0.5*(MAX(D5:E5)-MIN(D5:E5))</f>
        <v>0.4</v>
      </c>
      <c r="G5" s="282"/>
      <c r="H5" s="285"/>
      <c r="I5" s="114">
        <v>35</v>
      </c>
      <c r="J5" s="114">
        <v>-6</v>
      </c>
      <c r="K5" s="114">
        <v>1.0000000000000001E-5</v>
      </c>
      <c r="L5" s="286">
        <f t="shared" ref="L5:L11" si="1">0.5*(MAX(J5:K5)-MIN(J5:K5))</f>
        <v>3.0000049999999998</v>
      </c>
      <c r="M5" s="282"/>
      <c r="N5" s="282"/>
      <c r="O5" s="287"/>
      <c r="P5" s="280"/>
    </row>
    <row r="6" spans="1:18" x14ac:dyDescent="0.2">
      <c r="A6" s="850"/>
      <c r="B6" s="285"/>
      <c r="C6" s="114">
        <v>20</v>
      </c>
      <c r="D6" s="114">
        <v>-0.2</v>
      </c>
      <c r="E6" s="114">
        <v>0.2</v>
      </c>
      <c r="F6" s="286">
        <f>0.5*(MAX(D6:E6)-MIN(D6:E6))</f>
        <v>0.2</v>
      </c>
      <c r="G6" s="282"/>
      <c r="H6" s="285"/>
      <c r="I6" s="114">
        <v>40</v>
      </c>
      <c r="J6" s="114">
        <v>-5.8</v>
      </c>
      <c r="K6" s="114">
        <v>1.0000000000000001E-5</v>
      </c>
      <c r="L6" s="286">
        <f t="shared" si="1"/>
        <v>2.9000049999999997</v>
      </c>
      <c r="M6" s="282"/>
      <c r="N6" s="282"/>
      <c r="O6" s="287"/>
      <c r="P6" s="280"/>
    </row>
    <row r="7" spans="1:18" x14ac:dyDescent="0.2">
      <c r="A7" s="850"/>
      <c r="B7" s="285"/>
      <c r="C7" s="114">
        <v>25</v>
      </c>
      <c r="D7" s="114">
        <v>1.0000000000000001E-5</v>
      </c>
      <c r="E7" s="114">
        <v>0.1</v>
      </c>
      <c r="F7" s="286">
        <f t="shared" si="0"/>
        <v>4.9995000000000005E-2</v>
      </c>
      <c r="G7" s="282"/>
      <c r="H7" s="285"/>
      <c r="I7" s="114">
        <v>50</v>
      </c>
      <c r="J7" s="114">
        <v>-5.3</v>
      </c>
      <c r="K7" s="114">
        <v>1.0000000000000001E-5</v>
      </c>
      <c r="L7" s="286">
        <f t="shared" si="1"/>
        <v>2.6500049999999997</v>
      </c>
      <c r="M7" s="282"/>
      <c r="N7" s="282"/>
      <c r="O7" s="287"/>
      <c r="P7" s="280"/>
      <c r="R7" s="115"/>
    </row>
    <row r="8" spans="1:18" x14ac:dyDescent="0.2">
      <c r="A8" s="850"/>
      <c r="B8" s="285"/>
      <c r="C8" s="116">
        <v>30</v>
      </c>
      <c r="D8" s="114">
        <v>1.0000000000000001E-5</v>
      </c>
      <c r="E8" s="289">
        <v>-0.2</v>
      </c>
      <c r="F8" s="286">
        <f t="shared" si="0"/>
        <v>0.10000500000000001</v>
      </c>
      <c r="G8" s="282"/>
      <c r="H8" s="285"/>
      <c r="I8" s="116">
        <v>60</v>
      </c>
      <c r="J8" s="288">
        <v>-4.4000000000000004</v>
      </c>
      <c r="K8" s="114">
        <v>1.0000000000000001E-5</v>
      </c>
      <c r="L8" s="286">
        <f t="shared" si="1"/>
        <v>2.200005</v>
      </c>
      <c r="M8" s="282"/>
      <c r="N8" s="282"/>
      <c r="O8" s="287"/>
      <c r="P8" s="280"/>
    </row>
    <row r="9" spans="1:18" x14ac:dyDescent="0.2">
      <c r="A9" s="850"/>
      <c r="B9" s="285"/>
      <c r="C9" s="116">
        <v>35</v>
      </c>
      <c r="D9" s="288">
        <v>-0.1</v>
      </c>
      <c r="E9" s="289">
        <v>-0.5</v>
      </c>
      <c r="F9" s="286">
        <f t="shared" si="0"/>
        <v>0.2</v>
      </c>
      <c r="G9" s="282"/>
      <c r="H9" s="285"/>
      <c r="I9" s="116">
        <v>70</v>
      </c>
      <c r="J9" s="288">
        <v>-3.2</v>
      </c>
      <c r="K9" s="114">
        <v>1.0000000000000001E-5</v>
      </c>
      <c r="L9" s="286">
        <f t="shared" si="1"/>
        <v>1.6000050000000001</v>
      </c>
      <c r="M9" s="282"/>
      <c r="N9" s="282"/>
      <c r="O9" s="287"/>
      <c r="P9" s="280"/>
    </row>
    <row r="10" spans="1:18" x14ac:dyDescent="0.2">
      <c r="A10" s="850"/>
      <c r="B10" s="285"/>
      <c r="C10" s="116">
        <v>37</v>
      </c>
      <c r="D10" s="288">
        <v>-0.2</v>
      </c>
      <c r="E10" s="289">
        <v>-0.6</v>
      </c>
      <c r="F10" s="286">
        <f t="shared" si="0"/>
        <v>0.19999999999999998</v>
      </c>
      <c r="G10" s="282"/>
      <c r="H10" s="285"/>
      <c r="I10" s="116">
        <v>80</v>
      </c>
      <c r="J10" s="288">
        <v>-1.6</v>
      </c>
      <c r="K10" s="114">
        <v>1.0000000000000001E-5</v>
      </c>
      <c r="L10" s="286">
        <f t="shared" si="1"/>
        <v>0.80000500000000008</v>
      </c>
      <c r="M10" s="282"/>
      <c r="N10" s="282"/>
      <c r="O10" s="287"/>
      <c r="P10" s="280"/>
    </row>
    <row r="11" spans="1:18" ht="13.5" thickBot="1" x14ac:dyDescent="0.25">
      <c r="A11" s="851"/>
      <c r="B11" s="285"/>
      <c r="C11" s="116">
        <v>40</v>
      </c>
      <c r="D11" s="288">
        <v>-0.3</v>
      </c>
      <c r="E11" s="289">
        <v>-0.8</v>
      </c>
      <c r="F11" s="286">
        <f t="shared" si="0"/>
        <v>0.25</v>
      </c>
      <c r="G11" s="290"/>
      <c r="H11" s="285"/>
      <c r="I11" s="116">
        <v>90</v>
      </c>
      <c r="J11" s="288">
        <v>0.3</v>
      </c>
      <c r="K11" s="114">
        <v>1.0000000000000001E-5</v>
      </c>
      <c r="L11" s="286">
        <f t="shared" si="1"/>
        <v>0.14999499999999999</v>
      </c>
      <c r="M11" s="290"/>
      <c r="N11" s="290"/>
      <c r="O11" s="291"/>
      <c r="P11" s="280"/>
    </row>
    <row r="12" spans="1:18" ht="13.5" thickBot="1" x14ac:dyDescent="0.25">
      <c r="A12" s="292"/>
      <c r="B12" s="29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7"/>
      <c r="P12" s="280"/>
    </row>
    <row r="13" spans="1:18" x14ac:dyDescent="0.2">
      <c r="A13" s="849">
        <v>2</v>
      </c>
      <c r="B13" s="852" t="s">
        <v>492</v>
      </c>
      <c r="C13" s="852"/>
      <c r="D13" s="852"/>
      <c r="E13" s="852"/>
      <c r="F13" s="852"/>
      <c r="G13" s="281"/>
      <c r="H13" s="852" t="str">
        <f>B13</f>
        <v>KOREKSI KIMO THERMOHYGROMETER 15062874</v>
      </c>
      <c r="I13" s="852"/>
      <c r="J13" s="852"/>
      <c r="K13" s="852"/>
      <c r="L13" s="852"/>
      <c r="M13" s="281"/>
      <c r="N13" s="853" t="s">
        <v>158</v>
      </c>
      <c r="O13" s="853"/>
      <c r="P13" s="280"/>
    </row>
    <row r="14" spans="1:18" x14ac:dyDescent="0.2">
      <c r="A14" s="850"/>
      <c r="B14" s="854" t="s">
        <v>487</v>
      </c>
      <c r="C14" s="854"/>
      <c r="D14" s="854" t="s">
        <v>252</v>
      </c>
      <c r="E14" s="854"/>
      <c r="F14" s="854" t="s">
        <v>488</v>
      </c>
      <c r="G14" s="282"/>
      <c r="H14" s="854" t="s">
        <v>489</v>
      </c>
      <c r="I14" s="854"/>
      <c r="J14" s="854" t="s">
        <v>252</v>
      </c>
      <c r="K14" s="854"/>
      <c r="L14" s="854" t="s">
        <v>488</v>
      </c>
      <c r="M14" s="282"/>
      <c r="N14" s="283" t="s">
        <v>487</v>
      </c>
      <c r="O14" s="117">
        <v>0.3</v>
      </c>
      <c r="P14" s="280"/>
    </row>
    <row r="15" spans="1:18" ht="15" x14ac:dyDescent="0.2">
      <c r="A15" s="850"/>
      <c r="B15" s="847" t="s">
        <v>490</v>
      </c>
      <c r="C15" s="847"/>
      <c r="D15" s="113">
        <v>2018</v>
      </c>
      <c r="E15" s="113">
        <v>2017</v>
      </c>
      <c r="F15" s="854"/>
      <c r="G15" s="282"/>
      <c r="H15" s="848" t="s">
        <v>491</v>
      </c>
      <c r="I15" s="847"/>
      <c r="J15" s="284">
        <f>D15</f>
        <v>2018</v>
      </c>
      <c r="K15" s="284">
        <f>E15</f>
        <v>2017</v>
      </c>
      <c r="L15" s="854"/>
      <c r="M15" s="282"/>
      <c r="N15" s="283" t="s">
        <v>491</v>
      </c>
      <c r="O15" s="117">
        <v>3.3</v>
      </c>
      <c r="P15" s="280"/>
    </row>
    <row r="16" spans="1:18" x14ac:dyDescent="0.2">
      <c r="A16" s="850"/>
      <c r="B16" s="285"/>
      <c r="C16" s="114">
        <v>15</v>
      </c>
      <c r="D16" s="114">
        <v>1.0000000000000001E-5</v>
      </c>
      <c r="E16" s="114">
        <v>0.5</v>
      </c>
      <c r="F16" s="286">
        <f t="shared" ref="F16:F22" si="2">0.5*(MAX(D16:E16)-MIN(D16:E16))</f>
        <v>0.24999499999999999</v>
      </c>
      <c r="G16" s="282"/>
      <c r="H16" s="285"/>
      <c r="I16" s="114">
        <v>35</v>
      </c>
      <c r="J16" s="114">
        <v>-1.6</v>
      </c>
      <c r="K16" s="114">
        <v>-0.9</v>
      </c>
      <c r="L16" s="286">
        <f t="shared" ref="L16:L22" si="3">0.5*(MAX(J16:K16)-MIN(J16:K16))</f>
        <v>0.35000000000000003</v>
      </c>
      <c r="M16" s="282"/>
      <c r="N16" s="282"/>
      <c r="O16" s="287"/>
      <c r="P16" s="280"/>
    </row>
    <row r="17" spans="1:16" x14ac:dyDescent="0.2">
      <c r="A17" s="850"/>
      <c r="B17" s="285"/>
      <c r="C17" s="114">
        <v>20</v>
      </c>
      <c r="D17" s="114">
        <v>-0.1</v>
      </c>
      <c r="E17" s="114">
        <v>1.0000000000000001E-5</v>
      </c>
      <c r="F17" s="286">
        <f t="shared" si="2"/>
        <v>5.0005000000000001E-2</v>
      </c>
      <c r="G17" s="282"/>
      <c r="H17" s="285"/>
      <c r="I17" s="114">
        <v>40</v>
      </c>
      <c r="J17" s="114">
        <v>-1.6</v>
      </c>
      <c r="K17" s="114">
        <v>-1.1000000000000001</v>
      </c>
      <c r="L17" s="286">
        <f t="shared" si="3"/>
        <v>0.25</v>
      </c>
      <c r="M17" s="282"/>
      <c r="N17" s="282"/>
      <c r="O17" s="287"/>
      <c r="P17" s="280"/>
    </row>
    <row r="18" spans="1:16" x14ac:dyDescent="0.2">
      <c r="A18" s="850"/>
      <c r="B18" s="285"/>
      <c r="C18" s="114">
        <v>25</v>
      </c>
      <c r="D18" s="114">
        <v>-0.2</v>
      </c>
      <c r="E18" s="114">
        <v>-0.5</v>
      </c>
      <c r="F18" s="286">
        <f t="shared" si="2"/>
        <v>0.15</v>
      </c>
      <c r="G18" s="282"/>
      <c r="H18" s="285"/>
      <c r="I18" s="114">
        <v>50</v>
      </c>
      <c r="J18" s="114">
        <v>-1.5</v>
      </c>
      <c r="K18" s="114">
        <v>-1.4</v>
      </c>
      <c r="L18" s="286">
        <f t="shared" si="3"/>
        <v>5.0000000000000044E-2</v>
      </c>
      <c r="M18" s="282"/>
      <c r="N18" s="282"/>
      <c r="O18" s="287"/>
      <c r="P18" s="280"/>
    </row>
    <row r="19" spans="1:16" x14ac:dyDescent="0.2">
      <c r="A19" s="850"/>
      <c r="B19" s="285"/>
      <c r="C19" s="116">
        <v>30</v>
      </c>
      <c r="D19" s="289">
        <v>-0.3</v>
      </c>
      <c r="E19" s="116">
        <v>-1</v>
      </c>
      <c r="F19" s="286">
        <f t="shared" si="2"/>
        <v>0.35</v>
      </c>
      <c r="G19" s="282"/>
      <c r="H19" s="285"/>
      <c r="I19" s="116">
        <v>60</v>
      </c>
      <c r="J19" s="289">
        <v>-1.3</v>
      </c>
      <c r="K19" s="116">
        <v>-1.3</v>
      </c>
      <c r="L19" s="286">
        <f t="shared" si="3"/>
        <v>0</v>
      </c>
      <c r="M19" s="282"/>
      <c r="N19" s="282"/>
      <c r="O19" s="287"/>
      <c r="P19" s="280"/>
    </row>
    <row r="20" spans="1:16" x14ac:dyDescent="0.2">
      <c r="A20" s="850"/>
      <c r="B20" s="285"/>
      <c r="C20" s="116">
        <v>35</v>
      </c>
      <c r="D20" s="289">
        <v>-0.3</v>
      </c>
      <c r="E20" s="116">
        <v>-1.6</v>
      </c>
      <c r="F20" s="286">
        <f t="shared" si="2"/>
        <v>0.65</v>
      </c>
      <c r="G20" s="282"/>
      <c r="H20" s="285"/>
      <c r="I20" s="116">
        <v>70</v>
      </c>
      <c r="J20" s="289">
        <v>-1.1000000000000001</v>
      </c>
      <c r="K20" s="116">
        <v>-1</v>
      </c>
      <c r="L20" s="286">
        <f t="shared" si="3"/>
        <v>5.0000000000000044E-2</v>
      </c>
      <c r="M20" s="282"/>
      <c r="N20" s="282"/>
      <c r="O20" s="287"/>
      <c r="P20" s="280"/>
    </row>
    <row r="21" spans="1:16" x14ac:dyDescent="0.2">
      <c r="A21" s="850"/>
      <c r="B21" s="285"/>
      <c r="C21" s="116">
        <v>37</v>
      </c>
      <c r="D21" s="289">
        <v>-0.3</v>
      </c>
      <c r="E21" s="116">
        <v>-1.8</v>
      </c>
      <c r="F21" s="286">
        <f t="shared" si="2"/>
        <v>0.75</v>
      </c>
      <c r="G21" s="282"/>
      <c r="H21" s="285"/>
      <c r="I21" s="116">
        <v>80</v>
      </c>
      <c r="J21" s="289">
        <v>-0.7</v>
      </c>
      <c r="K21" s="116">
        <v>-0.4</v>
      </c>
      <c r="L21" s="286">
        <f t="shared" si="3"/>
        <v>0.14999999999999997</v>
      </c>
      <c r="M21" s="282"/>
      <c r="N21" s="282"/>
      <c r="O21" s="287"/>
      <c r="P21" s="280"/>
    </row>
    <row r="22" spans="1:16" ht="13.5" thickBot="1" x14ac:dyDescent="0.25">
      <c r="A22" s="851"/>
      <c r="B22" s="285"/>
      <c r="C22" s="116">
        <v>40</v>
      </c>
      <c r="D22" s="289">
        <v>-0.3</v>
      </c>
      <c r="E22" s="116">
        <v>-2.1</v>
      </c>
      <c r="F22" s="286">
        <f t="shared" si="2"/>
        <v>0.9</v>
      </c>
      <c r="G22" s="290"/>
      <c r="H22" s="285"/>
      <c r="I22" s="116">
        <v>90</v>
      </c>
      <c r="J22" s="289">
        <v>-0.3</v>
      </c>
      <c r="K22" s="116">
        <v>0.6</v>
      </c>
      <c r="L22" s="286">
        <f t="shared" si="3"/>
        <v>0.44999999999999996</v>
      </c>
      <c r="M22" s="290"/>
      <c r="N22" s="290"/>
      <c r="O22" s="291"/>
      <c r="P22" s="280"/>
    </row>
    <row r="23" spans="1:16" ht="13.5" thickBot="1" x14ac:dyDescent="0.25">
      <c r="A23" s="292"/>
      <c r="B23" s="29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7"/>
      <c r="P23" s="280"/>
    </row>
    <row r="24" spans="1:16" x14ac:dyDescent="0.2">
      <c r="A24" s="849">
        <v>3</v>
      </c>
      <c r="B24" s="852" t="s">
        <v>493</v>
      </c>
      <c r="C24" s="852"/>
      <c r="D24" s="852"/>
      <c r="E24" s="852"/>
      <c r="F24" s="852"/>
      <c r="G24" s="281"/>
      <c r="H24" s="852" t="str">
        <f>B24</f>
        <v>KOREKSI KIMO THERMOHYGROMETER 14082463</v>
      </c>
      <c r="I24" s="852"/>
      <c r="J24" s="852"/>
      <c r="K24" s="852"/>
      <c r="L24" s="852"/>
      <c r="M24" s="281"/>
      <c r="N24" s="853" t="s">
        <v>158</v>
      </c>
      <c r="O24" s="853"/>
      <c r="P24" s="280"/>
    </row>
    <row r="25" spans="1:16" x14ac:dyDescent="0.2">
      <c r="A25" s="850"/>
      <c r="B25" s="854" t="s">
        <v>487</v>
      </c>
      <c r="C25" s="854"/>
      <c r="D25" s="854" t="s">
        <v>252</v>
      </c>
      <c r="E25" s="854"/>
      <c r="F25" s="854" t="s">
        <v>488</v>
      </c>
      <c r="G25" s="282"/>
      <c r="H25" s="854" t="s">
        <v>489</v>
      </c>
      <c r="I25" s="854"/>
      <c r="J25" s="854" t="s">
        <v>252</v>
      </c>
      <c r="K25" s="854"/>
      <c r="L25" s="854" t="s">
        <v>488</v>
      </c>
      <c r="M25" s="282"/>
      <c r="N25" s="283" t="s">
        <v>487</v>
      </c>
      <c r="O25" s="117">
        <v>0.3</v>
      </c>
      <c r="P25" s="280"/>
    </row>
    <row r="26" spans="1:16" ht="15" x14ac:dyDescent="0.2">
      <c r="A26" s="850"/>
      <c r="B26" s="847" t="s">
        <v>490</v>
      </c>
      <c r="C26" s="847"/>
      <c r="D26" s="113">
        <v>2018</v>
      </c>
      <c r="E26" s="113">
        <v>2017</v>
      </c>
      <c r="F26" s="854"/>
      <c r="G26" s="282"/>
      <c r="H26" s="848" t="s">
        <v>491</v>
      </c>
      <c r="I26" s="847"/>
      <c r="J26" s="284">
        <f>D26</f>
        <v>2018</v>
      </c>
      <c r="K26" s="284">
        <f>E26</f>
        <v>2017</v>
      </c>
      <c r="L26" s="854"/>
      <c r="M26" s="282"/>
      <c r="N26" s="283" t="s">
        <v>491</v>
      </c>
      <c r="O26" s="117">
        <v>3.1</v>
      </c>
      <c r="P26" s="280"/>
    </row>
    <row r="27" spans="1:16" x14ac:dyDescent="0.2">
      <c r="A27" s="850"/>
      <c r="B27" s="285"/>
      <c r="C27" s="114">
        <v>15</v>
      </c>
      <c r="D27" s="114">
        <v>1.0000000000000001E-5</v>
      </c>
      <c r="E27" s="114">
        <v>0.2</v>
      </c>
      <c r="F27" s="286">
        <f t="shared" ref="F27:F33" si="4">0.5*(MAX(D27:E27)-MIN(D27:E27))</f>
        <v>9.9995000000000001E-2</v>
      </c>
      <c r="G27" s="282"/>
      <c r="H27" s="285"/>
      <c r="I27" s="114">
        <v>30</v>
      </c>
      <c r="J27" s="114">
        <v>-5.7</v>
      </c>
      <c r="K27" s="114">
        <v>-1.1000000000000001</v>
      </c>
      <c r="L27" s="286">
        <f t="shared" ref="L27:L33" si="5">0.5*(MAX(J27:K27)-MIN(J27:K27))</f>
        <v>2.2999999999999998</v>
      </c>
      <c r="M27" s="282"/>
      <c r="N27" s="282"/>
      <c r="O27" s="287"/>
      <c r="P27" s="280"/>
    </row>
    <row r="28" spans="1:16" x14ac:dyDescent="0.2">
      <c r="A28" s="850"/>
      <c r="B28" s="285"/>
      <c r="C28" s="114">
        <v>20</v>
      </c>
      <c r="D28" s="114">
        <v>1.0000000000000001E-5</v>
      </c>
      <c r="E28" s="114">
        <v>1.0000000000000001E-5</v>
      </c>
      <c r="F28" s="286">
        <f t="shared" si="4"/>
        <v>0</v>
      </c>
      <c r="G28" s="282"/>
      <c r="H28" s="285"/>
      <c r="I28" s="114">
        <v>40</v>
      </c>
      <c r="J28" s="114">
        <v>-5.3</v>
      </c>
      <c r="K28" s="114">
        <v>-1.9</v>
      </c>
      <c r="L28" s="286">
        <f t="shared" si="5"/>
        <v>1.7</v>
      </c>
      <c r="M28" s="282"/>
      <c r="N28" s="282"/>
      <c r="O28" s="287"/>
      <c r="P28" s="280"/>
    </row>
    <row r="29" spans="1:16" x14ac:dyDescent="0.2">
      <c r="A29" s="850"/>
      <c r="B29" s="285"/>
      <c r="C29" s="114">
        <v>25</v>
      </c>
      <c r="D29" s="114">
        <v>-0.1</v>
      </c>
      <c r="E29" s="114">
        <v>-0.2</v>
      </c>
      <c r="F29" s="286">
        <f t="shared" si="4"/>
        <v>0.05</v>
      </c>
      <c r="G29" s="282"/>
      <c r="H29" s="285"/>
      <c r="I29" s="114">
        <v>50</v>
      </c>
      <c r="J29" s="114">
        <v>-4.9000000000000004</v>
      </c>
      <c r="K29" s="114">
        <v>-2.2999999999999998</v>
      </c>
      <c r="L29" s="286">
        <f t="shared" si="5"/>
        <v>1.3000000000000003</v>
      </c>
      <c r="M29" s="282"/>
      <c r="N29" s="282"/>
      <c r="O29" s="287"/>
      <c r="P29" s="280"/>
    </row>
    <row r="30" spans="1:16" x14ac:dyDescent="0.2">
      <c r="A30" s="850"/>
      <c r="B30" s="285"/>
      <c r="C30" s="116">
        <v>30</v>
      </c>
      <c r="D30" s="289">
        <v>-0.3</v>
      </c>
      <c r="E30" s="116">
        <v>-0.3</v>
      </c>
      <c r="F30" s="286">
        <f t="shared" si="4"/>
        <v>0</v>
      </c>
      <c r="G30" s="282"/>
      <c r="H30" s="285"/>
      <c r="I30" s="116">
        <v>60</v>
      </c>
      <c r="J30" s="289">
        <v>-4.3</v>
      </c>
      <c r="K30" s="116">
        <v>-2.2000000000000002</v>
      </c>
      <c r="L30" s="286">
        <f t="shared" si="5"/>
        <v>1.0499999999999998</v>
      </c>
      <c r="M30" s="282"/>
      <c r="N30" s="282"/>
      <c r="O30" s="287"/>
      <c r="P30" s="280"/>
    </row>
    <row r="31" spans="1:16" x14ac:dyDescent="0.2">
      <c r="A31" s="850"/>
      <c r="B31" s="285"/>
      <c r="C31" s="116">
        <v>35</v>
      </c>
      <c r="D31" s="289">
        <v>-0.5</v>
      </c>
      <c r="E31" s="116">
        <v>-0.4</v>
      </c>
      <c r="F31" s="286">
        <f t="shared" si="4"/>
        <v>4.9999999999999989E-2</v>
      </c>
      <c r="G31" s="282"/>
      <c r="H31" s="285"/>
      <c r="I31" s="116">
        <v>70</v>
      </c>
      <c r="J31" s="289">
        <v>-3.6</v>
      </c>
      <c r="K31" s="116">
        <v>-1.6</v>
      </c>
      <c r="L31" s="286">
        <f t="shared" si="5"/>
        <v>1</v>
      </c>
      <c r="M31" s="282"/>
      <c r="N31" s="282"/>
      <c r="O31" s="287"/>
      <c r="P31" s="280"/>
    </row>
    <row r="32" spans="1:16" x14ac:dyDescent="0.2">
      <c r="A32" s="850"/>
      <c r="B32" s="285"/>
      <c r="C32" s="116">
        <v>37</v>
      </c>
      <c r="D32" s="289">
        <v>-0.6</v>
      </c>
      <c r="E32" s="116">
        <v>-0.5</v>
      </c>
      <c r="F32" s="286">
        <f t="shared" si="4"/>
        <v>4.9999999999999989E-2</v>
      </c>
      <c r="G32" s="282"/>
      <c r="H32" s="285"/>
      <c r="I32" s="116">
        <v>80</v>
      </c>
      <c r="J32" s="289">
        <v>-2.9</v>
      </c>
      <c r="K32" s="116">
        <v>-0.6</v>
      </c>
      <c r="L32" s="286">
        <f t="shared" si="5"/>
        <v>1.1499999999999999</v>
      </c>
      <c r="M32" s="282"/>
      <c r="N32" s="282"/>
      <c r="O32" s="287"/>
      <c r="P32" s="280"/>
    </row>
    <row r="33" spans="1:16" ht="13.5" thickBot="1" x14ac:dyDescent="0.25">
      <c r="A33" s="851"/>
      <c r="B33" s="285"/>
      <c r="C33" s="116">
        <v>40</v>
      </c>
      <c r="D33" s="289">
        <v>-0.7</v>
      </c>
      <c r="E33" s="116">
        <v>-0.5</v>
      </c>
      <c r="F33" s="286">
        <f t="shared" si="4"/>
        <v>9.9999999999999978E-2</v>
      </c>
      <c r="G33" s="290"/>
      <c r="H33" s="285"/>
      <c r="I33" s="116">
        <v>90</v>
      </c>
      <c r="J33" s="289">
        <v>-2</v>
      </c>
      <c r="K33" s="116">
        <v>0.9</v>
      </c>
      <c r="L33" s="286">
        <f t="shared" si="5"/>
        <v>1.45</v>
      </c>
      <c r="M33" s="290"/>
      <c r="N33" s="290"/>
      <c r="O33" s="291"/>
      <c r="P33" s="280"/>
    </row>
    <row r="34" spans="1:16" ht="13.5" thickBot="1" x14ac:dyDescent="0.25">
      <c r="A34" s="292"/>
      <c r="B34" s="292"/>
      <c r="C34" s="282"/>
      <c r="D34" s="282"/>
      <c r="E34" s="282"/>
      <c r="F34" s="282"/>
      <c r="G34" s="282"/>
      <c r="H34" s="293"/>
      <c r="I34" s="282"/>
      <c r="J34" s="282"/>
      <c r="K34" s="282"/>
      <c r="L34" s="282"/>
      <c r="M34" s="282"/>
      <c r="N34" s="282"/>
      <c r="O34" s="287"/>
      <c r="P34" s="280"/>
    </row>
    <row r="35" spans="1:16" ht="13.5" thickBot="1" x14ac:dyDescent="0.25">
      <c r="A35" s="838">
        <v>4</v>
      </c>
      <c r="B35" s="841" t="s">
        <v>494</v>
      </c>
      <c r="C35" s="842"/>
      <c r="D35" s="842"/>
      <c r="E35" s="842"/>
      <c r="F35" s="843"/>
      <c r="G35" s="281"/>
      <c r="H35" s="841" t="str">
        <f>B35</f>
        <v>KOREKSI KIMO THERMOHYGROMETER 15062872</v>
      </c>
      <c r="I35" s="842"/>
      <c r="J35" s="842"/>
      <c r="K35" s="842"/>
      <c r="L35" s="843"/>
      <c r="M35" s="281"/>
      <c r="N35" s="826" t="s">
        <v>158</v>
      </c>
      <c r="O35" s="827"/>
      <c r="P35" s="280"/>
    </row>
    <row r="36" spans="1:16" ht="13.5" thickBot="1" x14ac:dyDescent="0.25">
      <c r="A36" s="839"/>
      <c r="B36" s="828" t="s">
        <v>487</v>
      </c>
      <c r="C36" s="829"/>
      <c r="D36" s="830" t="s">
        <v>252</v>
      </c>
      <c r="E36" s="831"/>
      <c r="F36" s="832" t="s">
        <v>488</v>
      </c>
      <c r="G36" s="282"/>
      <c r="H36" s="828" t="s">
        <v>489</v>
      </c>
      <c r="I36" s="829"/>
      <c r="J36" s="830" t="s">
        <v>252</v>
      </c>
      <c r="K36" s="831"/>
      <c r="L36" s="832" t="s">
        <v>488</v>
      </c>
      <c r="M36" s="282"/>
      <c r="N36" s="294" t="s">
        <v>487</v>
      </c>
      <c r="O36" s="118">
        <v>0.6</v>
      </c>
      <c r="P36" s="280"/>
    </row>
    <row r="37" spans="1:16" ht="15.75" thickBot="1" x14ac:dyDescent="0.25">
      <c r="A37" s="839"/>
      <c r="B37" s="834" t="s">
        <v>490</v>
      </c>
      <c r="C37" s="835"/>
      <c r="D37" s="119">
        <v>2017</v>
      </c>
      <c r="E37" s="119">
        <v>2015</v>
      </c>
      <c r="F37" s="833"/>
      <c r="G37" s="282"/>
      <c r="H37" s="836" t="s">
        <v>491</v>
      </c>
      <c r="I37" s="837"/>
      <c r="J37" s="295">
        <f>D37</f>
        <v>2017</v>
      </c>
      <c r="K37" s="295">
        <f>E37</f>
        <v>2015</v>
      </c>
      <c r="L37" s="833"/>
      <c r="M37" s="282"/>
      <c r="N37" s="296" t="s">
        <v>491</v>
      </c>
      <c r="O37" s="120">
        <v>2.6</v>
      </c>
      <c r="P37" s="280"/>
    </row>
    <row r="38" spans="1:16" x14ac:dyDescent="0.2">
      <c r="A38" s="839"/>
      <c r="B38" s="282"/>
      <c r="C38" s="121">
        <v>15</v>
      </c>
      <c r="D38" s="122">
        <v>-0.1</v>
      </c>
      <c r="E38" s="122">
        <v>0.4</v>
      </c>
      <c r="F38" s="297">
        <f t="shared" ref="F38:F44" si="6">0.5*(MAX(D38:E38)-MIN(D38:E38))</f>
        <v>0.25</v>
      </c>
      <c r="G38" s="282"/>
      <c r="H38" s="292"/>
      <c r="I38" s="121">
        <v>35</v>
      </c>
      <c r="J38" s="122">
        <v>-1.7</v>
      </c>
      <c r="K38" s="122">
        <v>-0.8</v>
      </c>
      <c r="L38" s="297">
        <f t="shared" ref="L38:L44" si="7">0.5*(MAX(J38:K38)-MIN(J38:K38))</f>
        <v>0.44999999999999996</v>
      </c>
      <c r="M38" s="282"/>
      <c r="N38" s="282"/>
      <c r="O38" s="287"/>
      <c r="P38" s="280"/>
    </row>
    <row r="39" spans="1:16" x14ac:dyDescent="0.2">
      <c r="A39" s="839"/>
      <c r="B39" s="282"/>
      <c r="C39" s="123">
        <v>20</v>
      </c>
      <c r="D39" s="114">
        <v>-0.3</v>
      </c>
      <c r="E39" s="114">
        <v>1.0000000000000001E-5</v>
      </c>
      <c r="F39" s="298">
        <f>0.5*(MAX(D39:E39)-MIN(D39:E39))</f>
        <v>0.150005</v>
      </c>
      <c r="G39" s="282"/>
      <c r="H39" s="292"/>
      <c r="I39" s="123">
        <v>40</v>
      </c>
      <c r="J39" s="114">
        <v>-1.5</v>
      </c>
      <c r="K39" s="114">
        <v>-0.9</v>
      </c>
      <c r="L39" s="298">
        <f t="shared" si="7"/>
        <v>0.3</v>
      </c>
      <c r="M39" s="282"/>
      <c r="N39" s="282"/>
      <c r="O39" s="287"/>
      <c r="P39" s="280"/>
    </row>
    <row r="40" spans="1:16" x14ac:dyDescent="0.2">
      <c r="A40" s="839"/>
      <c r="B40" s="282"/>
      <c r="C40" s="123">
        <v>25</v>
      </c>
      <c r="D40" s="114">
        <v>-0.5</v>
      </c>
      <c r="E40" s="114">
        <v>-0.5</v>
      </c>
      <c r="F40" s="298">
        <f t="shared" si="6"/>
        <v>0</v>
      </c>
      <c r="G40" s="282"/>
      <c r="H40" s="292"/>
      <c r="I40" s="123">
        <v>50</v>
      </c>
      <c r="J40" s="114">
        <v>-1</v>
      </c>
      <c r="K40" s="114">
        <v>-1</v>
      </c>
      <c r="L40" s="298">
        <f t="shared" si="7"/>
        <v>0</v>
      </c>
      <c r="M40" s="282"/>
      <c r="N40" s="282"/>
      <c r="O40" s="287"/>
      <c r="P40" s="280"/>
    </row>
    <row r="41" spans="1:16" x14ac:dyDescent="0.2">
      <c r="A41" s="839"/>
      <c r="B41" s="282"/>
      <c r="C41" s="124">
        <v>30</v>
      </c>
      <c r="D41" s="288">
        <v>-0.6</v>
      </c>
      <c r="E41" s="116">
        <v>-1</v>
      </c>
      <c r="F41" s="298">
        <f t="shared" si="6"/>
        <v>0.2</v>
      </c>
      <c r="G41" s="282"/>
      <c r="H41" s="292"/>
      <c r="I41" s="124">
        <v>60</v>
      </c>
      <c r="J41" s="288">
        <v>-0.3</v>
      </c>
      <c r="K41" s="116">
        <v>-0.9</v>
      </c>
      <c r="L41" s="298">
        <f t="shared" si="7"/>
        <v>0.30000000000000004</v>
      </c>
      <c r="M41" s="282"/>
      <c r="N41" s="282"/>
      <c r="O41" s="287"/>
      <c r="P41" s="280"/>
    </row>
    <row r="42" spans="1:16" x14ac:dyDescent="0.2">
      <c r="A42" s="839"/>
      <c r="B42" s="282"/>
      <c r="C42" s="124">
        <v>35</v>
      </c>
      <c r="D42" s="288">
        <v>-0.6</v>
      </c>
      <c r="E42" s="116">
        <v>-1.5</v>
      </c>
      <c r="F42" s="298">
        <f t="shared" si="6"/>
        <v>0.45</v>
      </c>
      <c r="G42" s="282"/>
      <c r="H42" s="292"/>
      <c r="I42" s="124">
        <v>70</v>
      </c>
      <c r="J42" s="288">
        <v>0.7</v>
      </c>
      <c r="K42" s="116">
        <v>-0.7</v>
      </c>
      <c r="L42" s="298">
        <f t="shared" si="7"/>
        <v>0.7</v>
      </c>
      <c r="M42" s="282"/>
      <c r="N42" s="282"/>
      <c r="O42" s="287"/>
      <c r="P42" s="280"/>
    </row>
    <row r="43" spans="1:16" x14ac:dyDescent="0.2">
      <c r="A43" s="839"/>
      <c r="B43" s="282"/>
      <c r="C43" s="124">
        <v>37</v>
      </c>
      <c r="D43" s="288">
        <v>-0.6</v>
      </c>
      <c r="E43" s="116">
        <v>-1.8</v>
      </c>
      <c r="F43" s="298">
        <f t="shared" si="6"/>
        <v>0.60000000000000009</v>
      </c>
      <c r="G43" s="282"/>
      <c r="H43" s="292"/>
      <c r="I43" s="124">
        <v>80</v>
      </c>
      <c r="J43" s="288">
        <v>1.9</v>
      </c>
      <c r="K43" s="116">
        <v>-0.4</v>
      </c>
      <c r="L43" s="298">
        <f t="shared" si="7"/>
        <v>1.1499999999999999</v>
      </c>
      <c r="M43" s="282"/>
      <c r="N43" s="282"/>
      <c r="O43" s="287"/>
      <c r="P43" s="280"/>
    </row>
    <row r="44" spans="1:16" ht="13.5" thickBot="1" x14ac:dyDescent="0.25">
      <c r="A44" s="840"/>
      <c r="B44" s="290"/>
      <c r="C44" s="125">
        <v>40</v>
      </c>
      <c r="D44" s="288">
        <v>-0.6</v>
      </c>
      <c r="E44" s="126">
        <v>-2.1</v>
      </c>
      <c r="F44" s="299">
        <f t="shared" si="6"/>
        <v>0.75</v>
      </c>
      <c r="G44" s="290"/>
      <c r="H44" s="300"/>
      <c r="I44" s="125">
        <v>90</v>
      </c>
      <c r="J44" s="301">
        <v>3.3</v>
      </c>
      <c r="K44" s="126">
        <v>0.2</v>
      </c>
      <c r="L44" s="299">
        <f t="shared" si="7"/>
        <v>1.5499999999999998</v>
      </c>
      <c r="M44" s="290"/>
      <c r="N44" s="290"/>
      <c r="O44" s="291"/>
      <c r="P44" s="280"/>
    </row>
    <row r="45" spans="1:16" ht="13.5" thickBot="1" x14ac:dyDescent="0.25">
      <c r="A45" s="292"/>
      <c r="B45" s="29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7"/>
      <c r="P45" s="280"/>
    </row>
    <row r="46" spans="1:16" ht="13.5" thickBot="1" x14ac:dyDescent="0.25">
      <c r="A46" s="838">
        <v>5</v>
      </c>
      <c r="B46" s="841" t="s">
        <v>495</v>
      </c>
      <c r="C46" s="842"/>
      <c r="D46" s="842"/>
      <c r="E46" s="842"/>
      <c r="F46" s="843"/>
      <c r="G46" s="281"/>
      <c r="H46" s="841" t="str">
        <f>B46</f>
        <v>KOREKSI KIMO THERMOHYGROMETER 15062875</v>
      </c>
      <c r="I46" s="842"/>
      <c r="J46" s="842"/>
      <c r="K46" s="842"/>
      <c r="L46" s="843"/>
      <c r="M46" s="281"/>
      <c r="N46" s="826" t="s">
        <v>158</v>
      </c>
      <c r="O46" s="827"/>
      <c r="P46" s="280"/>
    </row>
    <row r="47" spans="1:16" ht="13.5" thickBot="1" x14ac:dyDescent="0.25">
      <c r="A47" s="839"/>
      <c r="B47" s="828" t="s">
        <v>487</v>
      </c>
      <c r="C47" s="829"/>
      <c r="D47" s="830" t="s">
        <v>252</v>
      </c>
      <c r="E47" s="831"/>
      <c r="F47" s="832" t="s">
        <v>488</v>
      </c>
      <c r="G47" s="282"/>
      <c r="H47" s="828" t="s">
        <v>489</v>
      </c>
      <c r="I47" s="829"/>
      <c r="J47" s="830" t="s">
        <v>252</v>
      </c>
      <c r="K47" s="831"/>
      <c r="L47" s="832" t="s">
        <v>488</v>
      </c>
      <c r="M47" s="282"/>
      <c r="N47" s="294" t="s">
        <v>487</v>
      </c>
      <c r="O47" s="118">
        <v>0.3</v>
      </c>
      <c r="P47" s="280"/>
    </row>
    <row r="48" spans="1:16" ht="15.75" thickBot="1" x14ac:dyDescent="0.25">
      <c r="A48" s="839"/>
      <c r="B48" s="834" t="s">
        <v>490</v>
      </c>
      <c r="C48" s="835"/>
      <c r="D48" s="119">
        <v>2017</v>
      </c>
      <c r="E48" s="119">
        <v>2015</v>
      </c>
      <c r="F48" s="833"/>
      <c r="G48" s="282"/>
      <c r="H48" s="836" t="s">
        <v>491</v>
      </c>
      <c r="I48" s="837"/>
      <c r="J48" s="295">
        <f>D48</f>
        <v>2017</v>
      </c>
      <c r="K48" s="295">
        <f>E48</f>
        <v>2015</v>
      </c>
      <c r="L48" s="833"/>
      <c r="M48" s="282"/>
      <c r="N48" s="296" t="s">
        <v>491</v>
      </c>
      <c r="O48" s="120">
        <v>3.2</v>
      </c>
      <c r="P48" s="280"/>
    </row>
    <row r="49" spans="1:16" x14ac:dyDescent="0.2">
      <c r="A49" s="839"/>
      <c r="B49" s="282"/>
      <c r="C49" s="121">
        <v>15</v>
      </c>
      <c r="D49" s="122">
        <v>0.3</v>
      </c>
      <c r="E49" s="122">
        <v>0.4</v>
      </c>
      <c r="F49" s="297">
        <f t="shared" ref="F49:F55" si="8">0.5*(MAX(D49:E49)-MIN(D49:E49))</f>
        <v>5.0000000000000017E-2</v>
      </c>
      <c r="G49" s="282"/>
      <c r="H49" s="292"/>
      <c r="I49" s="121">
        <v>35</v>
      </c>
      <c r="J49" s="122">
        <v>-9.6</v>
      </c>
      <c r="K49" s="122">
        <v>-1.6</v>
      </c>
      <c r="L49" s="297">
        <f t="shared" ref="L49:L55" si="9">0.5*(MAX(J49:K49)-MIN(J49:K49))</f>
        <v>4</v>
      </c>
      <c r="M49" s="282"/>
      <c r="N49" s="282"/>
      <c r="O49" s="287"/>
      <c r="P49" s="280"/>
    </row>
    <row r="50" spans="1:16" x14ac:dyDescent="0.2">
      <c r="A50" s="839"/>
      <c r="B50" s="282"/>
      <c r="C50" s="123">
        <v>20</v>
      </c>
      <c r="D50" s="114">
        <v>0.3</v>
      </c>
      <c r="E50" s="114">
        <v>1.0000000000000001E-5</v>
      </c>
      <c r="F50" s="298">
        <f t="shared" si="8"/>
        <v>0.14999499999999999</v>
      </c>
      <c r="G50" s="282"/>
      <c r="H50" s="292"/>
      <c r="I50" s="123">
        <v>40</v>
      </c>
      <c r="J50" s="114">
        <v>-8</v>
      </c>
      <c r="K50" s="114">
        <v>-1.8</v>
      </c>
      <c r="L50" s="298">
        <f t="shared" si="9"/>
        <v>3.1</v>
      </c>
      <c r="M50" s="282"/>
      <c r="N50" s="282"/>
      <c r="O50" s="287"/>
      <c r="P50" s="280"/>
    </row>
    <row r="51" spans="1:16" x14ac:dyDescent="0.2">
      <c r="A51" s="839"/>
      <c r="B51" s="282"/>
      <c r="C51" s="123">
        <v>25</v>
      </c>
      <c r="D51" s="114">
        <v>0.2</v>
      </c>
      <c r="E51" s="114">
        <v>-0.3</v>
      </c>
      <c r="F51" s="298">
        <f t="shared" si="8"/>
        <v>0.25</v>
      </c>
      <c r="G51" s="282"/>
      <c r="H51" s="292"/>
      <c r="I51" s="123">
        <v>50</v>
      </c>
      <c r="J51" s="114">
        <v>-6.2</v>
      </c>
      <c r="K51" s="114">
        <v>-2.1</v>
      </c>
      <c r="L51" s="298">
        <f t="shared" si="9"/>
        <v>2.0499999999999998</v>
      </c>
      <c r="M51" s="282"/>
      <c r="N51" s="282"/>
      <c r="O51" s="287"/>
      <c r="P51" s="280"/>
    </row>
    <row r="52" spans="1:16" x14ac:dyDescent="0.2">
      <c r="A52" s="839"/>
      <c r="B52" s="282"/>
      <c r="C52" s="124">
        <v>30</v>
      </c>
      <c r="D52" s="288">
        <v>0.1</v>
      </c>
      <c r="E52" s="116">
        <v>-0.7</v>
      </c>
      <c r="F52" s="298">
        <f t="shared" si="8"/>
        <v>0.39999999999999997</v>
      </c>
      <c r="G52" s="282"/>
      <c r="H52" s="292"/>
      <c r="I52" s="124">
        <v>60</v>
      </c>
      <c r="J52" s="288">
        <v>-4.2</v>
      </c>
      <c r="K52" s="116">
        <v>-2</v>
      </c>
      <c r="L52" s="298">
        <f t="shared" si="9"/>
        <v>1.1000000000000001</v>
      </c>
      <c r="M52" s="282"/>
      <c r="N52" s="282"/>
      <c r="O52" s="287"/>
      <c r="P52" s="280"/>
    </row>
    <row r="53" spans="1:16" x14ac:dyDescent="0.2">
      <c r="A53" s="839"/>
      <c r="B53" s="282"/>
      <c r="C53" s="124">
        <v>35</v>
      </c>
      <c r="D53" s="114">
        <v>1.0000000000000001E-5</v>
      </c>
      <c r="E53" s="116">
        <v>-1.1000000000000001</v>
      </c>
      <c r="F53" s="298">
        <f t="shared" si="8"/>
        <v>0.55000500000000008</v>
      </c>
      <c r="G53" s="282"/>
      <c r="H53" s="292"/>
      <c r="I53" s="124">
        <v>70</v>
      </c>
      <c r="J53" s="288">
        <v>-2.1</v>
      </c>
      <c r="K53" s="116">
        <v>-1.6</v>
      </c>
      <c r="L53" s="298">
        <f t="shared" si="9"/>
        <v>0.25</v>
      </c>
      <c r="M53" s="282"/>
      <c r="N53" s="282"/>
      <c r="O53" s="287"/>
      <c r="P53" s="280"/>
    </row>
    <row r="54" spans="1:16" x14ac:dyDescent="0.2">
      <c r="A54" s="839"/>
      <c r="B54" s="282"/>
      <c r="C54" s="124">
        <v>37</v>
      </c>
      <c r="D54" s="114">
        <v>1.0000000000000001E-5</v>
      </c>
      <c r="E54" s="116">
        <v>-1.2</v>
      </c>
      <c r="F54" s="298">
        <f t="shared" si="8"/>
        <v>0.60000500000000001</v>
      </c>
      <c r="G54" s="282"/>
      <c r="H54" s="292"/>
      <c r="I54" s="124">
        <v>80</v>
      </c>
      <c r="J54" s="288">
        <v>0.2</v>
      </c>
      <c r="K54" s="116">
        <v>-0.9</v>
      </c>
      <c r="L54" s="298">
        <f t="shared" si="9"/>
        <v>0.55000000000000004</v>
      </c>
      <c r="M54" s="282"/>
      <c r="N54" s="282"/>
      <c r="O54" s="287"/>
      <c r="P54" s="280"/>
    </row>
    <row r="55" spans="1:16" ht="13.5" thickBot="1" x14ac:dyDescent="0.25">
      <c r="A55" s="840"/>
      <c r="B55" s="290"/>
      <c r="C55" s="125">
        <v>40</v>
      </c>
      <c r="D55" s="301">
        <v>-0.1</v>
      </c>
      <c r="E55" s="126">
        <v>-1.5</v>
      </c>
      <c r="F55" s="299">
        <f t="shared" si="8"/>
        <v>0.7</v>
      </c>
      <c r="G55" s="290"/>
      <c r="H55" s="300"/>
      <c r="I55" s="125">
        <v>90</v>
      </c>
      <c r="J55" s="301">
        <v>2.7</v>
      </c>
      <c r="K55" s="126">
        <v>0.2</v>
      </c>
      <c r="L55" s="299">
        <f t="shared" si="9"/>
        <v>1.25</v>
      </c>
      <c r="M55" s="290"/>
      <c r="N55" s="290"/>
      <c r="O55" s="291"/>
      <c r="P55" s="280"/>
    </row>
    <row r="56" spans="1:16" ht="13.5" thickBot="1" x14ac:dyDescent="0.25">
      <c r="A56" s="278"/>
      <c r="B56" s="127"/>
      <c r="C56" s="127"/>
      <c r="D56" s="127"/>
      <c r="E56" s="302"/>
      <c r="F56" s="303"/>
      <c r="G56" s="111"/>
      <c r="H56" s="127"/>
      <c r="I56" s="127"/>
      <c r="J56" s="127"/>
      <c r="K56" s="302"/>
      <c r="L56" s="303"/>
      <c r="M56" s="282"/>
      <c r="N56" s="282"/>
      <c r="O56" s="287"/>
      <c r="P56" s="280"/>
    </row>
    <row r="57" spans="1:16" ht="13.5" thickBot="1" x14ac:dyDescent="0.25">
      <c r="A57" s="838">
        <v>6</v>
      </c>
      <c r="B57" s="841" t="s">
        <v>496</v>
      </c>
      <c r="C57" s="842"/>
      <c r="D57" s="842"/>
      <c r="E57" s="842"/>
      <c r="F57" s="843"/>
      <c r="G57" s="281"/>
      <c r="H57" s="841" t="str">
        <f>B57</f>
        <v>KOREKSI GREISINGER 34903046</v>
      </c>
      <c r="I57" s="842"/>
      <c r="J57" s="842"/>
      <c r="K57" s="842"/>
      <c r="L57" s="843"/>
      <c r="M57" s="281"/>
      <c r="N57" s="826" t="s">
        <v>158</v>
      </c>
      <c r="O57" s="827"/>
      <c r="P57" s="280"/>
    </row>
    <row r="58" spans="1:16" ht="13.5" thickBot="1" x14ac:dyDescent="0.25">
      <c r="A58" s="839"/>
      <c r="B58" s="828" t="s">
        <v>487</v>
      </c>
      <c r="C58" s="829"/>
      <c r="D58" s="830" t="s">
        <v>252</v>
      </c>
      <c r="E58" s="831"/>
      <c r="F58" s="832" t="s">
        <v>488</v>
      </c>
      <c r="G58" s="282"/>
      <c r="H58" s="828" t="s">
        <v>489</v>
      </c>
      <c r="I58" s="829"/>
      <c r="J58" s="830" t="s">
        <v>252</v>
      </c>
      <c r="K58" s="831"/>
      <c r="L58" s="832" t="s">
        <v>488</v>
      </c>
      <c r="M58" s="282"/>
      <c r="N58" s="294" t="s">
        <v>487</v>
      </c>
      <c r="O58" s="118">
        <v>0.5</v>
      </c>
      <c r="P58" s="280"/>
    </row>
    <row r="59" spans="1:16" ht="15.75" thickBot="1" x14ac:dyDescent="0.25">
      <c r="A59" s="839"/>
      <c r="B59" s="834" t="s">
        <v>490</v>
      </c>
      <c r="C59" s="835"/>
      <c r="D59" s="119">
        <v>2018</v>
      </c>
      <c r="E59" s="119">
        <v>2017</v>
      </c>
      <c r="F59" s="833"/>
      <c r="G59" s="282"/>
      <c r="H59" s="836" t="s">
        <v>491</v>
      </c>
      <c r="I59" s="837"/>
      <c r="J59" s="295">
        <f>D59</f>
        <v>2018</v>
      </c>
      <c r="K59" s="295">
        <f>E59</f>
        <v>2017</v>
      </c>
      <c r="L59" s="833"/>
      <c r="M59" s="282"/>
      <c r="N59" s="296" t="s">
        <v>491</v>
      </c>
      <c r="O59" s="128">
        <v>2</v>
      </c>
      <c r="P59" s="280"/>
    </row>
    <row r="60" spans="1:16" x14ac:dyDescent="0.2">
      <c r="A60" s="839"/>
      <c r="B60" s="282"/>
      <c r="C60" s="121">
        <v>15</v>
      </c>
      <c r="D60" s="122">
        <v>0.4</v>
      </c>
      <c r="E60" s="122">
        <v>-0.2</v>
      </c>
      <c r="F60" s="297">
        <f t="shared" ref="F60:F66" si="10">0.5*(MAX(D60:E60)-MIN(D60:E60))</f>
        <v>0.30000000000000004</v>
      </c>
      <c r="G60" s="282"/>
      <c r="H60" s="292"/>
      <c r="I60" s="121">
        <v>30</v>
      </c>
      <c r="J60" s="122">
        <v>1.7</v>
      </c>
      <c r="K60" s="122">
        <v>-4.9000000000000004</v>
      </c>
      <c r="L60" s="297">
        <f t="shared" ref="L60:L66" si="11">0.5*(MAX(J60:K60)-MIN(J60:K60))</f>
        <v>3.3000000000000003</v>
      </c>
      <c r="M60" s="282"/>
      <c r="N60" s="282"/>
      <c r="O60" s="287"/>
      <c r="P60" s="280"/>
    </row>
    <row r="61" spans="1:16" x14ac:dyDescent="0.2">
      <c r="A61" s="839"/>
      <c r="B61" s="282"/>
      <c r="C61" s="123">
        <v>20</v>
      </c>
      <c r="D61" s="114">
        <v>0.2</v>
      </c>
      <c r="E61" s="114">
        <v>1.0000000000000001E-5</v>
      </c>
      <c r="F61" s="298">
        <f t="shared" si="10"/>
        <v>9.9995000000000001E-2</v>
      </c>
      <c r="G61" s="282"/>
      <c r="H61" s="292"/>
      <c r="I61" s="123">
        <v>40</v>
      </c>
      <c r="J61" s="114">
        <v>1.5</v>
      </c>
      <c r="K61" s="114">
        <v>-3.4</v>
      </c>
      <c r="L61" s="298">
        <f t="shared" si="11"/>
        <v>2.4500000000000002</v>
      </c>
      <c r="M61" s="282"/>
      <c r="N61" s="282"/>
      <c r="O61" s="287"/>
      <c r="P61" s="280"/>
    </row>
    <row r="62" spans="1:16" x14ac:dyDescent="0.2">
      <c r="A62" s="839"/>
      <c r="B62" s="282"/>
      <c r="C62" s="123">
        <v>25</v>
      </c>
      <c r="D62" s="114">
        <v>-0.1</v>
      </c>
      <c r="E62" s="114">
        <v>0.1</v>
      </c>
      <c r="F62" s="298">
        <f t="shared" si="10"/>
        <v>0.1</v>
      </c>
      <c r="G62" s="282"/>
      <c r="H62" s="292"/>
      <c r="I62" s="123">
        <v>50</v>
      </c>
      <c r="J62" s="114">
        <v>1.2</v>
      </c>
      <c r="K62" s="114">
        <v>-2.5</v>
      </c>
      <c r="L62" s="298">
        <f t="shared" si="11"/>
        <v>1.85</v>
      </c>
      <c r="M62" s="282"/>
      <c r="N62" s="282"/>
      <c r="O62" s="287"/>
      <c r="P62" s="280"/>
    </row>
    <row r="63" spans="1:16" x14ac:dyDescent="0.2">
      <c r="A63" s="839"/>
      <c r="B63" s="282"/>
      <c r="C63" s="124">
        <v>30</v>
      </c>
      <c r="D63" s="116">
        <v>-0.5</v>
      </c>
      <c r="E63" s="116">
        <v>0.13</v>
      </c>
      <c r="F63" s="298">
        <f t="shared" si="10"/>
        <v>0.315</v>
      </c>
      <c r="G63" s="282"/>
      <c r="H63" s="292"/>
      <c r="I63" s="124">
        <v>60</v>
      </c>
      <c r="J63" s="116">
        <v>1.1000000000000001</v>
      </c>
      <c r="K63" s="116">
        <v>-2</v>
      </c>
      <c r="L63" s="298">
        <f t="shared" si="11"/>
        <v>1.55</v>
      </c>
      <c r="M63" s="282"/>
      <c r="N63" s="282"/>
      <c r="O63" s="287"/>
      <c r="P63" s="280"/>
    </row>
    <row r="64" spans="1:16" x14ac:dyDescent="0.2">
      <c r="A64" s="839"/>
      <c r="B64" s="282"/>
      <c r="C64" s="124">
        <v>35</v>
      </c>
      <c r="D64" s="116">
        <v>-0.9</v>
      </c>
      <c r="E64" s="116">
        <v>0.1</v>
      </c>
      <c r="F64" s="298">
        <f t="shared" si="10"/>
        <v>0.5</v>
      </c>
      <c r="G64" s="282"/>
      <c r="H64" s="292"/>
      <c r="I64" s="124">
        <v>70</v>
      </c>
      <c r="J64" s="116">
        <v>0.9</v>
      </c>
      <c r="K64" s="116">
        <v>-2.1</v>
      </c>
      <c r="L64" s="298">
        <f t="shared" si="11"/>
        <v>1.5</v>
      </c>
      <c r="M64" s="282"/>
      <c r="N64" s="282"/>
      <c r="O64" s="287"/>
      <c r="P64" s="280"/>
    </row>
    <row r="65" spans="1:16" x14ac:dyDescent="0.2">
      <c r="A65" s="839"/>
      <c r="B65" s="282"/>
      <c r="C65" s="124">
        <v>37</v>
      </c>
      <c r="D65" s="116">
        <v>-1.1000000000000001</v>
      </c>
      <c r="E65" s="114">
        <v>1.0000000000000001E-5</v>
      </c>
      <c r="F65" s="298">
        <f t="shared" si="10"/>
        <v>0.55000500000000008</v>
      </c>
      <c r="G65" s="282"/>
      <c r="H65" s="292"/>
      <c r="I65" s="124">
        <v>80</v>
      </c>
      <c r="J65" s="116">
        <v>0.8</v>
      </c>
      <c r="K65" s="116">
        <v>-2.6</v>
      </c>
      <c r="L65" s="298">
        <f t="shared" si="11"/>
        <v>1.7000000000000002</v>
      </c>
      <c r="M65" s="282"/>
      <c r="N65" s="282"/>
      <c r="O65" s="287"/>
      <c r="P65" s="280"/>
    </row>
    <row r="66" spans="1:16" ht="13.5" thickBot="1" x14ac:dyDescent="0.25">
      <c r="A66" s="840"/>
      <c r="B66" s="290"/>
      <c r="C66" s="125">
        <v>40</v>
      </c>
      <c r="D66" s="126">
        <v>-1.4</v>
      </c>
      <c r="E66" s="126">
        <v>-0.1</v>
      </c>
      <c r="F66" s="299">
        <f t="shared" si="10"/>
        <v>0.64999999999999991</v>
      </c>
      <c r="G66" s="290"/>
      <c r="H66" s="300"/>
      <c r="I66" s="125">
        <v>90</v>
      </c>
      <c r="J66" s="126">
        <v>0.7</v>
      </c>
      <c r="K66" s="126">
        <v>-2.6</v>
      </c>
      <c r="L66" s="299">
        <f t="shared" si="11"/>
        <v>1.65</v>
      </c>
      <c r="M66" s="290"/>
      <c r="N66" s="290"/>
      <c r="O66" s="291"/>
      <c r="P66" s="280"/>
    </row>
    <row r="67" spans="1:16" ht="13.5" thickBot="1" x14ac:dyDescent="0.25">
      <c r="A67" s="278"/>
      <c r="B67" s="127"/>
      <c r="C67" s="127"/>
      <c r="D67" s="127"/>
      <c r="E67" s="302"/>
      <c r="F67" s="303"/>
      <c r="G67" s="111"/>
      <c r="H67" s="127"/>
      <c r="I67" s="127"/>
      <c r="J67" s="127"/>
      <c r="K67" s="302"/>
      <c r="L67" s="303"/>
      <c r="M67" s="282"/>
      <c r="N67" s="282"/>
      <c r="O67" s="287"/>
      <c r="P67" s="280"/>
    </row>
    <row r="68" spans="1:16" ht="13.5" thickBot="1" x14ac:dyDescent="0.25">
      <c r="A68" s="838">
        <v>7</v>
      </c>
      <c r="B68" s="841" t="s">
        <v>497</v>
      </c>
      <c r="C68" s="842"/>
      <c r="D68" s="842"/>
      <c r="E68" s="842"/>
      <c r="F68" s="843"/>
      <c r="G68" s="281"/>
      <c r="H68" s="841" t="str">
        <f>B68</f>
        <v>KOREKSI GREISINGER 34903053</v>
      </c>
      <c r="I68" s="842"/>
      <c r="J68" s="842"/>
      <c r="K68" s="842"/>
      <c r="L68" s="843"/>
      <c r="M68" s="281"/>
      <c r="N68" s="826" t="s">
        <v>158</v>
      </c>
      <c r="O68" s="827"/>
      <c r="P68" s="280"/>
    </row>
    <row r="69" spans="1:16" ht="13.5" thickBot="1" x14ac:dyDescent="0.25">
      <c r="A69" s="839"/>
      <c r="B69" s="828" t="s">
        <v>487</v>
      </c>
      <c r="C69" s="829"/>
      <c r="D69" s="830" t="s">
        <v>252</v>
      </c>
      <c r="E69" s="831"/>
      <c r="F69" s="832" t="s">
        <v>488</v>
      </c>
      <c r="G69" s="282"/>
      <c r="H69" s="828" t="s">
        <v>489</v>
      </c>
      <c r="I69" s="829"/>
      <c r="J69" s="830" t="s">
        <v>252</v>
      </c>
      <c r="K69" s="831"/>
      <c r="L69" s="832" t="s">
        <v>488</v>
      </c>
      <c r="M69" s="282"/>
      <c r="N69" s="294" t="s">
        <v>487</v>
      </c>
      <c r="O69" s="118">
        <v>0.3</v>
      </c>
      <c r="P69" s="280"/>
    </row>
    <row r="70" spans="1:16" ht="15.75" thickBot="1" x14ac:dyDescent="0.25">
      <c r="A70" s="839"/>
      <c r="B70" s="834" t="s">
        <v>490</v>
      </c>
      <c r="C70" s="835"/>
      <c r="D70" s="119">
        <v>2018</v>
      </c>
      <c r="E70" s="119">
        <v>2017</v>
      </c>
      <c r="F70" s="833"/>
      <c r="G70" s="282"/>
      <c r="H70" s="836" t="s">
        <v>491</v>
      </c>
      <c r="I70" s="837"/>
      <c r="J70" s="295">
        <f>D70</f>
        <v>2018</v>
      </c>
      <c r="K70" s="295">
        <f>E70</f>
        <v>2017</v>
      </c>
      <c r="L70" s="833"/>
      <c r="M70" s="282"/>
      <c r="N70" s="296" t="s">
        <v>491</v>
      </c>
      <c r="O70" s="120">
        <v>2.2999999999999998</v>
      </c>
      <c r="P70" s="280"/>
    </row>
    <row r="71" spans="1:16" x14ac:dyDescent="0.2">
      <c r="A71" s="839"/>
      <c r="B71" s="282"/>
      <c r="C71" s="121">
        <v>15</v>
      </c>
      <c r="D71" s="122">
        <v>0.3</v>
      </c>
      <c r="E71" s="122">
        <v>0.2</v>
      </c>
      <c r="F71" s="297">
        <f t="shared" ref="F71:F77" si="12">0.5*(MAX(D71:E71)-MIN(D71:E71))</f>
        <v>4.9999999999999989E-2</v>
      </c>
      <c r="G71" s="282"/>
      <c r="H71" s="292"/>
      <c r="I71" s="121">
        <v>30</v>
      </c>
      <c r="J71" s="122">
        <v>1.8</v>
      </c>
      <c r="K71" s="122">
        <v>-0.1</v>
      </c>
      <c r="L71" s="297">
        <f t="shared" ref="L71:L77" si="13">0.5*(MAX(J71:K71)-MIN(J71:K71))</f>
        <v>0.95000000000000007</v>
      </c>
      <c r="M71" s="282"/>
      <c r="N71" s="282"/>
      <c r="O71" s="287"/>
      <c r="P71" s="280"/>
    </row>
    <row r="72" spans="1:16" x14ac:dyDescent="0.2">
      <c r="A72" s="839"/>
      <c r="B72" s="282"/>
      <c r="C72" s="123">
        <v>20</v>
      </c>
      <c r="D72" s="114">
        <v>0.1</v>
      </c>
      <c r="E72" s="114">
        <v>0.1</v>
      </c>
      <c r="F72" s="298">
        <f t="shared" si="12"/>
        <v>0</v>
      </c>
      <c r="G72" s="282"/>
      <c r="H72" s="292"/>
      <c r="I72" s="123">
        <v>40</v>
      </c>
      <c r="J72" s="114">
        <v>1.2</v>
      </c>
      <c r="K72" s="114">
        <v>1.0000000000000001E-5</v>
      </c>
      <c r="L72" s="298">
        <f t="shared" si="13"/>
        <v>0.59999499999999995</v>
      </c>
      <c r="M72" s="282"/>
      <c r="N72" s="282"/>
      <c r="O72" s="287"/>
      <c r="P72" s="280"/>
    </row>
    <row r="73" spans="1:16" x14ac:dyDescent="0.2">
      <c r="A73" s="839"/>
      <c r="B73" s="282"/>
      <c r="C73" s="123">
        <v>25</v>
      </c>
      <c r="D73" s="114">
        <v>-0.2</v>
      </c>
      <c r="E73" s="114">
        <v>1.0000000000000001E-5</v>
      </c>
      <c r="F73" s="298">
        <f t="shared" si="12"/>
        <v>0.10000500000000001</v>
      </c>
      <c r="G73" s="282"/>
      <c r="H73" s="292"/>
      <c r="I73" s="123">
        <v>50</v>
      </c>
      <c r="J73" s="114">
        <v>0.8</v>
      </c>
      <c r="K73" s="114">
        <v>0.6</v>
      </c>
      <c r="L73" s="298">
        <f t="shared" si="13"/>
        <v>0.10000000000000003</v>
      </c>
      <c r="M73" s="282"/>
      <c r="N73" s="282"/>
      <c r="O73" s="287"/>
      <c r="P73" s="280"/>
    </row>
    <row r="74" spans="1:16" x14ac:dyDescent="0.2">
      <c r="A74" s="839"/>
      <c r="B74" s="282"/>
      <c r="C74" s="124">
        <v>30</v>
      </c>
      <c r="D74" s="116">
        <v>-0.6</v>
      </c>
      <c r="E74" s="116">
        <v>-0.1</v>
      </c>
      <c r="F74" s="298">
        <f t="shared" si="12"/>
        <v>0.25</v>
      </c>
      <c r="G74" s="282"/>
      <c r="H74" s="292"/>
      <c r="I74" s="124">
        <v>60</v>
      </c>
      <c r="J74" s="116">
        <v>0.7</v>
      </c>
      <c r="K74" s="116">
        <v>1.5</v>
      </c>
      <c r="L74" s="298">
        <f t="shared" si="13"/>
        <v>0.4</v>
      </c>
      <c r="M74" s="282"/>
      <c r="N74" s="282"/>
      <c r="O74" s="287"/>
      <c r="P74" s="280"/>
    </row>
    <row r="75" spans="1:16" x14ac:dyDescent="0.2">
      <c r="A75" s="839"/>
      <c r="B75" s="282"/>
      <c r="C75" s="124">
        <v>35</v>
      </c>
      <c r="D75" s="116">
        <v>-1.1000000000000001</v>
      </c>
      <c r="E75" s="116">
        <v>-0.1</v>
      </c>
      <c r="F75" s="298">
        <f t="shared" si="12"/>
        <v>0.5</v>
      </c>
      <c r="G75" s="282"/>
      <c r="H75" s="292"/>
      <c r="I75" s="124">
        <v>70</v>
      </c>
      <c r="J75" s="116">
        <v>0.9</v>
      </c>
      <c r="K75" s="116">
        <v>2.8</v>
      </c>
      <c r="L75" s="298">
        <f t="shared" si="13"/>
        <v>0.95</v>
      </c>
      <c r="M75" s="282"/>
      <c r="N75" s="282"/>
      <c r="O75" s="287"/>
      <c r="P75" s="280"/>
    </row>
    <row r="76" spans="1:16" x14ac:dyDescent="0.2">
      <c r="A76" s="839"/>
      <c r="B76" s="282"/>
      <c r="C76" s="124">
        <v>37</v>
      </c>
      <c r="D76" s="116">
        <v>-1.4</v>
      </c>
      <c r="E76" s="116">
        <v>-0.1</v>
      </c>
      <c r="F76" s="298">
        <f t="shared" si="12"/>
        <v>0.64999999999999991</v>
      </c>
      <c r="G76" s="282"/>
      <c r="H76" s="292"/>
      <c r="I76" s="124">
        <v>80</v>
      </c>
      <c r="J76" s="116">
        <v>1.2</v>
      </c>
      <c r="K76" s="116">
        <v>4.4000000000000004</v>
      </c>
      <c r="L76" s="298">
        <f t="shared" si="13"/>
        <v>1.6</v>
      </c>
      <c r="M76" s="282"/>
      <c r="N76" s="282"/>
      <c r="O76" s="287"/>
      <c r="P76" s="280"/>
    </row>
    <row r="77" spans="1:16" ht="13.5" thickBot="1" x14ac:dyDescent="0.25">
      <c r="A77" s="840"/>
      <c r="B77" s="290"/>
      <c r="C77" s="125">
        <v>40</v>
      </c>
      <c r="D77" s="126">
        <v>-1.7</v>
      </c>
      <c r="E77" s="126">
        <v>-0.1</v>
      </c>
      <c r="F77" s="299">
        <f t="shared" si="12"/>
        <v>0.79999999999999993</v>
      </c>
      <c r="G77" s="290"/>
      <c r="H77" s="300"/>
      <c r="I77" s="125">
        <v>90</v>
      </c>
      <c r="J77" s="126">
        <v>1.8</v>
      </c>
      <c r="K77" s="126">
        <v>4.4000000000000004</v>
      </c>
      <c r="L77" s="299">
        <f t="shared" si="13"/>
        <v>1.3000000000000003</v>
      </c>
      <c r="M77" s="290"/>
      <c r="N77" s="290"/>
      <c r="O77" s="291"/>
      <c r="P77" s="280"/>
    </row>
    <row r="78" spans="1:16" ht="13.5" thickBot="1" x14ac:dyDescent="0.25">
      <c r="A78" s="278"/>
      <c r="B78" s="127"/>
      <c r="C78" s="127"/>
      <c r="D78" s="127"/>
      <c r="E78" s="302"/>
      <c r="F78" s="303"/>
      <c r="G78" s="111"/>
      <c r="H78" s="127"/>
      <c r="I78" s="127"/>
      <c r="J78" s="127"/>
      <c r="K78" s="302"/>
      <c r="L78" s="303"/>
      <c r="M78" s="282"/>
      <c r="N78" s="282"/>
      <c r="O78" s="287"/>
      <c r="P78" s="280"/>
    </row>
    <row r="79" spans="1:16" ht="13.5" thickBot="1" x14ac:dyDescent="0.25">
      <c r="A79" s="838">
        <v>8</v>
      </c>
      <c r="B79" s="841" t="s">
        <v>498</v>
      </c>
      <c r="C79" s="842"/>
      <c r="D79" s="842"/>
      <c r="E79" s="842"/>
      <c r="F79" s="843"/>
      <c r="G79" s="281"/>
      <c r="H79" s="841" t="str">
        <f>B79</f>
        <v>KOREKSI GREISINGER 34903051</v>
      </c>
      <c r="I79" s="842"/>
      <c r="J79" s="842"/>
      <c r="K79" s="842"/>
      <c r="L79" s="843"/>
      <c r="M79" s="281"/>
      <c r="N79" s="826" t="s">
        <v>158</v>
      </c>
      <c r="O79" s="827"/>
      <c r="P79" s="280"/>
    </row>
    <row r="80" spans="1:16" ht="13.5" thickBot="1" x14ac:dyDescent="0.25">
      <c r="A80" s="839"/>
      <c r="B80" s="828" t="s">
        <v>487</v>
      </c>
      <c r="C80" s="829"/>
      <c r="D80" s="830" t="s">
        <v>252</v>
      </c>
      <c r="E80" s="831"/>
      <c r="F80" s="832" t="s">
        <v>488</v>
      </c>
      <c r="G80" s="282"/>
      <c r="H80" s="828" t="s">
        <v>489</v>
      </c>
      <c r="I80" s="829"/>
      <c r="J80" s="830" t="s">
        <v>252</v>
      </c>
      <c r="K80" s="831"/>
      <c r="L80" s="832" t="s">
        <v>488</v>
      </c>
      <c r="M80" s="282"/>
      <c r="N80" s="294" t="s">
        <v>487</v>
      </c>
      <c r="O80" s="129">
        <v>0.3</v>
      </c>
      <c r="P80" s="280"/>
    </row>
    <row r="81" spans="1:16" ht="15.75" thickBot="1" x14ac:dyDescent="0.25">
      <c r="A81" s="839"/>
      <c r="B81" s="834" t="s">
        <v>490</v>
      </c>
      <c r="C81" s="835"/>
      <c r="D81" s="119">
        <v>2019</v>
      </c>
      <c r="E81" s="119">
        <v>2017</v>
      </c>
      <c r="F81" s="833"/>
      <c r="G81" s="282"/>
      <c r="H81" s="836" t="s">
        <v>491</v>
      </c>
      <c r="I81" s="837"/>
      <c r="J81" s="295">
        <f>D81</f>
        <v>2019</v>
      </c>
      <c r="K81" s="295">
        <f>E81</f>
        <v>2017</v>
      </c>
      <c r="L81" s="833"/>
      <c r="M81" s="282"/>
      <c r="N81" s="296" t="s">
        <v>491</v>
      </c>
      <c r="O81" s="128">
        <v>2.6</v>
      </c>
      <c r="P81" s="280"/>
    </row>
    <row r="82" spans="1:16" x14ac:dyDescent="0.2">
      <c r="A82" s="839"/>
      <c r="B82" s="282"/>
      <c r="C82" s="304">
        <v>15</v>
      </c>
      <c r="D82" s="114">
        <v>1.0000000000000001E-5</v>
      </c>
      <c r="E82" s="122">
        <v>-0.2</v>
      </c>
      <c r="F82" s="297">
        <f t="shared" ref="F82:F88" si="14">0.5*(MAX(D82:E82)-MIN(D82:E82))</f>
        <v>0.10000500000000001</v>
      </c>
      <c r="G82" s="282"/>
      <c r="H82" s="292"/>
      <c r="I82" s="304">
        <v>30</v>
      </c>
      <c r="J82" s="122">
        <v>-1.4</v>
      </c>
      <c r="K82" s="122">
        <v>1</v>
      </c>
      <c r="L82" s="297">
        <f t="shared" ref="L82:L88" si="15">0.5*(MAX(J82:K82)-MIN(J82:K82))</f>
        <v>1.2</v>
      </c>
      <c r="M82" s="282"/>
      <c r="N82" s="282"/>
      <c r="O82" s="287"/>
      <c r="P82" s="280"/>
    </row>
    <row r="83" spans="1:16" x14ac:dyDescent="0.2">
      <c r="A83" s="839"/>
      <c r="B83" s="282"/>
      <c r="C83" s="305">
        <v>20</v>
      </c>
      <c r="D83" s="122">
        <v>-0.2</v>
      </c>
      <c r="E83" s="122">
        <v>-0.2</v>
      </c>
      <c r="F83" s="298">
        <f>0.5*(MAX(D83:E83)-MIN(D83:E83))</f>
        <v>0</v>
      </c>
      <c r="G83" s="282"/>
      <c r="H83" s="292"/>
      <c r="I83" s="305">
        <v>40</v>
      </c>
      <c r="J83" s="114">
        <v>-1.2</v>
      </c>
      <c r="K83" s="114">
        <v>1.1000000000000001</v>
      </c>
      <c r="L83" s="298">
        <f t="shared" si="15"/>
        <v>1.1499999999999999</v>
      </c>
      <c r="M83" s="282"/>
      <c r="N83" s="282"/>
      <c r="O83" s="287"/>
      <c r="P83" s="280"/>
    </row>
    <row r="84" spans="1:16" x14ac:dyDescent="0.2">
      <c r="A84" s="839"/>
      <c r="B84" s="282"/>
      <c r="C84" s="305">
        <v>25</v>
      </c>
      <c r="D84" s="122">
        <v>-0.4</v>
      </c>
      <c r="E84" s="122">
        <v>-0.2</v>
      </c>
      <c r="F84" s="298">
        <f t="shared" si="14"/>
        <v>0.1</v>
      </c>
      <c r="G84" s="282"/>
      <c r="H84" s="292"/>
      <c r="I84" s="305">
        <v>50</v>
      </c>
      <c r="J84" s="114">
        <v>-1.2</v>
      </c>
      <c r="K84" s="114">
        <v>1.3</v>
      </c>
      <c r="L84" s="298">
        <f t="shared" si="15"/>
        <v>1.25</v>
      </c>
      <c r="M84" s="282"/>
      <c r="N84" s="282"/>
      <c r="O84" s="287"/>
      <c r="P84" s="280"/>
    </row>
    <row r="85" spans="1:16" x14ac:dyDescent="0.2">
      <c r="A85" s="839"/>
      <c r="B85" s="282"/>
      <c r="C85" s="306">
        <v>30</v>
      </c>
      <c r="D85" s="122">
        <v>-0.4</v>
      </c>
      <c r="E85" s="122">
        <v>-0.2</v>
      </c>
      <c r="F85" s="298">
        <f t="shared" si="14"/>
        <v>0.1</v>
      </c>
      <c r="G85" s="282"/>
      <c r="H85" s="292"/>
      <c r="I85" s="306">
        <v>60</v>
      </c>
      <c r="J85" s="116">
        <v>-1.1000000000000001</v>
      </c>
      <c r="K85" s="116">
        <v>1.7</v>
      </c>
      <c r="L85" s="298">
        <f t="shared" si="15"/>
        <v>1.4</v>
      </c>
      <c r="M85" s="282"/>
      <c r="N85" s="282"/>
      <c r="O85" s="287"/>
      <c r="P85" s="280"/>
    </row>
    <row r="86" spans="1:16" x14ac:dyDescent="0.2">
      <c r="A86" s="839"/>
      <c r="B86" s="282"/>
      <c r="C86" s="306">
        <v>35</v>
      </c>
      <c r="D86" s="116">
        <v>-0.5</v>
      </c>
      <c r="E86" s="116">
        <v>-0.3</v>
      </c>
      <c r="F86" s="298">
        <f t="shared" si="14"/>
        <v>0.1</v>
      </c>
      <c r="G86" s="282"/>
      <c r="H86" s="292"/>
      <c r="I86" s="306">
        <v>70</v>
      </c>
      <c r="J86" s="116">
        <v>-1.2</v>
      </c>
      <c r="K86" s="116">
        <v>2.1</v>
      </c>
      <c r="L86" s="298">
        <f t="shared" si="15"/>
        <v>1.65</v>
      </c>
      <c r="M86" s="282"/>
      <c r="N86" s="282"/>
      <c r="O86" s="287"/>
      <c r="P86" s="280"/>
    </row>
    <row r="87" spans="1:16" x14ac:dyDescent="0.2">
      <c r="A87" s="839"/>
      <c r="B87" s="282"/>
      <c r="C87" s="306">
        <v>37</v>
      </c>
      <c r="D87" s="116">
        <v>-0.5</v>
      </c>
      <c r="E87" s="116">
        <v>-0.3</v>
      </c>
      <c r="F87" s="298">
        <f t="shared" si="14"/>
        <v>0.1</v>
      </c>
      <c r="G87" s="282"/>
      <c r="H87" s="292"/>
      <c r="I87" s="306">
        <v>80</v>
      </c>
      <c r="J87" s="116">
        <v>-1.2</v>
      </c>
      <c r="K87" s="116">
        <v>2.6</v>
      </c>
      <c r="L87" s="298">
        <f t="shared" si="15"/>
        <v>1.9</v>
      </c>
      <c r="M87" s="282"/>
      <c r="N87" s="282"/>
      <c r="O87" s="287"/>
      <c r="P87" s="280"/>
    </row>
    <row r="88" spans="1:16" ht="13.5" thickBot="1" x14ac:dyDescent="0.25">
      <c r="A88" s="840"/>
      <c r="B88" s="290"/>
      <c r="C88" s="307">
        <v>40</v>
      </c>
      <c r="D88" s="126">
        <v>-0.4</v>
      </c>
      <c r="E88" s="126">
        <v>-0.4</v>
      </c>
      <c r="F88" s="299">
        <f t="shared" si="14"/>
        <v>0</v>
      </c>
      <c r="G88" s="290"/>
      <c r="H88" s="300"/>
      <c r="I88" s="307">
        <v>90</v>
      </c>
      <c r="J88" s="126">
        <v>-1.3</v>
      </c>
      <c r="K88" s="126">
        <v>2.6</v>
      </c>
      <c r="L88" s="299">
        <f t="shared" si="15"/>
        <v>1.9500000000000002</v>
      </c>
      <c r="M88" s="290"/>
      <c r="N88" s="290"/>
      <c r="O88" s="291"/>
      <c r="P88" s="280"/>
    </row>
    <row r="89" spans="1:16" ht="13.5" thickBot="1" x14ac:dyDescent="0.25">
      <c r="A89" s="278"/>
      <c r="B89" s="127"/>
      <c r="C89" s="127"/>
      <c r="D89" s="127"/>
      <c r="E89" s="302"/>
      <c r="F89" s="308"/>
      <c r="G89" s="111"/>
      <c r="H89" s="127"/>
      <c r="I89" s="127"/>
      <c r="J89" s="127"/>
      <c r="K89" s="302"/>
      <c r="L89" s="308"/>
      <c r="M89" s="282"/>
      <c r="N89" s="282"/>
      <c r="O89" s="287"/>
      <c r="P89" s="280"/>
    </row>
    <row r="90" spans="1:16" ht="13.5" thickBot="1" x14ac:dyDescent="0.25">
      <c r="A90" s="838">
        <v>9</v>
      </c>
      <c r="B90" s="841" t="s">
        <v>499</v>
      </c>
      <c r="C90" s="842"/>
      <c r="D90" s="842"/>
      <c r="E90" s="842"/>
      <c r="F90" s="843"/>
      <c r="G90" s="281"/>
      <c r="H90" s="841" t="str">
        <f>B90</f>
        <v>KOREKSI GREISINGER 34904091</v>
      </c>
      <c r="I90" s="842"/>
      <c r="J90" s="842"/>
      <c r="K90" s="842"/>
      <c r="L90" s="843"/>
      <c r="M90" s="281"/>
      <c r="N90" s="826" t="s">
        <v>158</v>
      </c>
      <c r="O90" s="827"/>
      <c r="P90" s="280"/>
    </row>
    <row r="91" spans="1:16" ht="13.5" thickBot="1" x14ac:dyDescent="0.25">
      <c r="A91" s="839"/>
      <c r="B91" s="828" t="s">
        <v>487</v>
      </c>
      <c r="C91" s="829"/>
      <c r="D91" s="830" t="s">
        <v>252</v>
      </c>
      <c r="E91" s="831"/>
      <c r="F91" s="832" t="s">
        <v>488</v>
      </c>
      <c r="G91" s="282"/>
      <c r="H91" s="828" t="s">
        <v>489</v>
      </c>
      <c r="I91" s="829"/>
      <c r="J91" s="830" t="s">
        <v>252</v>
      </c>
      <c r="K91" s="831"/>
      <c r="L91" s="832" t="s">
        <v>488</v>
      </c>
      <c r="M91" s="282"/>
      <c r="N91" s="294" t="s">
        <v>487</v>
      </c>
      <c r="O91" s="129">
        <v>0.3</v>
      </c>
      <c r="P91" s="280"/>
    </row>
    <row r="92" spans="1:16" ht="15.75" thickBot="1" x14ac:dyDescent="0.25">
      <c r="A92" s="839"/>
      <c r="B92" s="834" t="s">
        <v>490</v>
      </c>
      <c r="C92" s="835"/>
      <c r="D92" s="119">
        <v>2019</v>
      </c>
      <c r="E92" s="247" t="s">
        <v>81</v>
      </c>
      <c r="F92" s="833"/>
      <c r="G92" s="282"/>
      <c r="H92" s="836" t="s">
        <v>491</v>
      </c>
      <c r="I92" s="837"/>
      <c r="J92" s="295">
        <f>D92</f>
        <v>2019</v>
      </c>
      <c r="K92" s="295" t="str">
        <f>E92</f>
        <v>-</v>
      </c>
      <c r="L92" s="833"/>
      <c r="M92" s="282"/>
      <c r="N92" s="296" t="s">
        <v>491</v>
      </c>
      <c r="O92" s="128">
        <v>2.4</v>
      </c>
      <c r="P92" s="280"/>
    </row>
    <row r="93" spans="1:16" x14ac:dyDescent="0.2">
      <c r="A93" s="839"/>
      <c r="B93" s="292"/>
      <c r="C93" s="304">
        <v>15</v>
      </c>
      <c r="D93" s="114">
        <v>1.0000000000000001E-5</v>
      </c>
      <c r="E93" s="309" t="s">
        <v>81</v>
      </c>
      <c r="F93" s="297">
        <f t="shared" ref="F93" si="16">0.5*(MAX(D93:E93)-MIN(D93:E93))</f>
        <v>0</v>
      </c>
      <c r="G93" s="282"/>
      <c r="H93" s="292"/>
      <c r="I93" s="304">
        <v>30</v>
      </c>
      <c r="J93" s="122">
        <v>-1.2</v>
      </c>
      <c r="K93" s="309" t="s">
        <v>81</v>
      </c>
      <c r="L93" s="297">
        <f t="shared" ref="L93:L99" si="17">0.5*(MAX(J93:K93)-MIN(J93:K93))</f>
        <v>0</v>
      </c>
      <c r="M93" s="282"/>
      <c r="N93" s="282"/>
      <c r="O93" s="287"/>
      <c r="P93" s="280"/>
    </row>
    <row r="94" spans="1:16" x14ac:dyDescent="0.2">
      <c r="A94" s="839"/>
      <c r="B94" s="292"/>
      <c r="C94" s="305">
        <v>20</v>
      </c>
      <c r="D94" s="122">
        <v>-0.2</v>
      </c>
      <c r="E94" s="310" t="s">
        <v>81</v>
      </c>
      <c r="F94" s="298">
        <f>0.5*(MAX(D94:E94)-MIN(D94:E94))</f>
        <v>0</v>
      </c>
      <c r="G94" s="282"/>
      <c r="H94" s="292"/>
      <c r="I94" s="305">
        <v>40</v>
      </c>
      <c r="J94" s="122">
        <v>-1</v>
      </c>
      <c r="K94" s="310" t="s">
        <v>81</v>
      </c>
      <c r="L94" s="298">
        <f t="shared" si="17"/>
        <v>0</v>
      </c>
      <c r="M94" s="282"/>
      <c r="N94" s="282"/>
      <c r="O94" s="287"/>
      <c r="P94" s="280"/>
    </row>
    <row r="95" spans="1:16" x14ac:dyDescent="0.2">
      <c r="A95" s="839"/>
      <c r="B95" s="292"/>
      <c r="C95" s="305">
        <v>25</v>
      </c>
      <c r="D95" s="122">
        <v>-0.4</v>
      </c>
      <c r="E95" s="310" t="s">
        <v>81</v>
      </c>
      <c r="F95" s="298">
        <f t="shared" ref="F95:F99" si="18">0.5*(MAX(D95:E95)-MIN(D95:E95))</f>
        <v>0</v>
      </c>
      <c r="G95" s="282"/>
      <c r="H95" s="292"/>
      <c r="I95" s="305">
        <v>50</v>
      </c>
      <c r="J95" s="122">
        <v>-0.9</v>
      </c>
      <c r="K95" s="310" t="s">
        <v>81</v>
      </c>
      <c r="L95" s="298">
        <f t="shared" si="17"/>
        <v>0</v>
      </c>
      <c r="M95" s="282"/>
      <c r="N95" s="282"/>
      <c r="O95" s="287"/>
      <c r="P95" s="280"/>
    </row>
    <row r="96" spans="1:16" x14ac:dyDescent="0.2">
      <c r="A96" s="839"/>
      <c r="B96" s="292"/>
      <c r="C96" s="306">
        <v>30</v>
      </c>
      <c r="D96" s="122">
        <v>-0.5</v>
      </c>
      <c r="E96" s="288" t="s">
        <v>81</v>
      </c>
      <c r="F96" s="298">
        <f t="shared" si="18"/>
        <v>0</v>
      </c>
      <c r="G96" s="282"/>
      <c r="H96" s="292"/>
      <c r="I96" s="306">
        <v>60</v>
      </c>
      <c r="J96" s="122">
        <v>-0.8</v>
      </c>
      <c r="K96" s="288" t="s">
        <v>81</v>
      </c>
      <c r="L96" s="298">
        <f t="shared" si="17"/>
        <v>0</v>
      </c>
      <c r="M96" s="282"/>
      <c r="N96" s="282"/>
      <c r="O96" s="287"/>
      <c r="P96" s="280"/>
    </row>
    <row r="97" spans="1:16" x14ac:dyDescent="0.2">
      <c r="A97" s="839"/>
      <c r="B97" s="292"/>
      <c r="C97" s="306">
        <v>35</v>
      </c>
      <c r="D97" s="122">
        <v>-0.5</v>
      </c>
      <c r="E97" s="288" t="s">
        <v>81</v>
      </c>
      <c r="F97" s="298">
        <f t="shared" si="18"/>
        <v>0</v>
      </c>
      <c r="G97" s="282"/>
      <c r="H97" s="292"/>
      <c r="I97" s="306">
        <v>70</v>
      </c>
      <c r="J97" s="122">
        <v>-0.6</v>
      </c>
      <c r="K97" s="288" t="s">
        <v>81</v>
      </c>
      <c r="L97" s="298">
        <f t="shared" si="17"/>
        <v>0</v>
      </c>
      <c r="M97" s="282"/>
      <c r="N97" s="282"/>
      <c r="O97" s="287"/>
      <c r="P97" s="280"/>
    </row>
    <row r="98" spans="1:16" x14ac:dyDescent="0.2">
      <c r="A98" s="839"/>
      <c r="B98" s="292"/>
      <c r="C98" s="306">
        <v>37</v>
      </c>
      <c r="D98" s="122">
        <v>-0.5</v>
      </c>
      <c r="E98" s="288" t="s">
        <v>81</v>
      </c>
      <c r="F98" s="298">
        <f t="shared" si="18"/>
        <v>0</v>
      </c>
      <c r="G98" s="282"/>
      <c r="H98" s="292"/>
      <c r="I98" s="306">
        <v>80</v>
      </c>
      <c r="J98" s="122">
        <v>-0.5</v>
      </c>
      <c r="K98" s="288" t="s">
        <v>81</v>
      </c>
      <c r="L98" s="298">
        <f t="shared" si="17"/>
        <v>0</v>
      </c>
      <c r="M98" s="282"/>
      <c r="N98" s="282"/>
      <c r="O98" s="287"/>
      <c r="P98" s="280"/>
    </row>
    <row r="99" spans="1:16" ht="13.5" thickBot="1" x14ac:dyDescent="0.25">
      <c r="A99" s="840"/>
      <c r="B99" s="300"/>
      <c r="C99" s="307">
        <v>40</v>
      </c>
      <c r="D99" s="311">
        <v>-0.4</v>
      </c>
      <c r="E99" s="301" t="s">
        <v>81</v>
      </c>
      <c r="F99" s="299">
        <f t="shared" si="18"/>
        <v>0</v>
      </c>
      <c r="G99" s="290"/>
      <c r="H99" s="300"/>
      <c r="I99" s="307">
        <v>90</v>
      </c>
      <c r="J99" s="311">
        <v>-0.2</v>
      </c>
      <c r="K99" s="301" t="s">
        <v>81</v>
      </c>
      <c r="L99" s="299">
        <f t="shared" si="17"/>
        <v>0</v>
      </c>
      <c r="M99" s="290"/>
      <c r="N99" s="290"/>
      <c r="O99" s="291"/>
      <c r="P99" s="280"/>
    </row>
    <row r="100" spans="1:16" ht="13.5" thickBot="1" x14ac:dyDescent="0.25">
      <c r="A100" s="278"/>
      <c r="B100" s="127"/>
      <c r="C100" s="127"/>
      <c r="D100" s="127"/>
      <c r="E100" s="302"/>
      <c r="F100" s="308"/>
      <c r="G100" s="111"/>
      <c r="H100" s="127"/>
      <c r="I100" s="127"/>
      <c r="J100" s="127"/>
      <c r="K100" s="302"/>
      <c r="L100" s="308"/>
      <c r="M100" s="111"/>
      <c r="N100" s="282"/>
      <c r="O100" s="287"/>
      <c r="P100" s="280"/>
    </row>
    <row r="101" spans="1:16" ht="13.5" thickBot="1" x14ac:dyDescent="0.25">
      <c r="A101" s="838">
        <v>10</v>
      </c>
      <c r="B101" s="841" t="s">
        <v>500</v>
      </c>
      <c r="C101" s="842"/>
      <c r="D101" s="842"/>
      <c r="E101" s="842"/>
      <c r="F101" s="843"/>
      <c r="G101" s="281"/>
      <c r="H101" s="844" t="str">
        <f>B101</f>
        <v>KOREKSI Sekonic HE-21.000669</v>
      </c>
      <c r="I101" s="845"/>
      <c r="J101" s="845"/>
      <c r="K101" s="845"/>
      <c r="L101" s="846"/>
      <c r="M101" s="281"/>
      <c r="N101" s="826" t="s">
        <v>158</v>
      </c>
      <c r="O101" s="827"/>
      <c r="P101" s="280"/>
    </row>
    <row r="102" spans="1:16" ht="13.5" thickBot="1" x14ac:dyDescent="0.25">
      <c r="A102" s="839"/>
      <c r="B102" s="828" t="s">
        <v>487</v>
      </c>
      <c r="C102" s="829"/>
      <c r="D102" s="830" t="s">
        <v>252</v>
      </c>
      <c r="E102" s="831"/>
      <c r="F102" s="832" t="s">
        <v>488</v>
      </c>
      <c r="G102" s="282"/>
      <c r="H102" s="828" t="s">
        <v>489</v>
      </c>
      <c r="I102" s="829"/>
      <c r="J102" s="830" t="s">
        <v>252</v>
      </c>
      <c r="K102" s="831"/>
      <c r="L102" s="832" t="s">
        <v>488</v>
      </c>
      <c r="M102" s="282"/>
      <c r="N102" s="294" t="s">
        <v>487</v>
      </c>
      <c r="O102" s="129">
        <v>0.3</v>
      </c>
      <c r="P102" s="280"/>
    </row>
    <row r="103" spans="1:16" ht="15.75" thickBot="1" x14ac:dyDescent="0.25">
      <c r="A103" s="839"/>
      <c r="B103" s="834" t="s">
        <v>490</v>
      </c>
      <c r="C103" s="835"/>
      <c r="D103" s="119">
        <v>2019</v>
      </c>
      <c r="E103" s="119">
        <v>2016</v>
      </c>
      <c r="F103" s="833"/>
      <c r="G103" s="282"/>
      <c r="H103" s="836" t="s">
        <v>491</v>
      </c>
      <c r="I103" s="837"/>
      <c r="J103" s="295">
        <f>D103</f>
        <v>2019</v>
      </c>
      <c r="K103" s="295">
        <f>E103</f>
        <v>2016</v>
      </c>
      <c r="L103" s="833"/>
      <c r="M103" s="282"/>
      <c r="N103" s="296" t="s">
        <v>491</v>
      </c>
      <c r="O103" s="128">
        <v>1.5</v>
      </c>
      <c r="P103" s="280"/>
    </row>
    <row r="104" spans="1:16" x14ac:dyDescent="0.2">
      <c r="A104" s="839"/>
      <c r="B104" s="282"/>
      <c r="C104" s="304">
        <v>15</v>
      </c>
      <c r="D104" s="122">
        <v>0.2</v>
      </c>
      <c r="E104" s="122">
        <v>0.2</v>
      </c>
      <c r="F104" s="297">
        <f t="shared" ref="F104:F110" si="19">0.5*(MAX(D104:E104)-MIN(D104:E104))</f>
        <v>0</v>
      </c>
      <c r="G104" s="282"/>
      <c r="H104" s="292"/>
      <c r="I104" s="304">
        <v>30</v>
      </c>
      <c r="J104" s="122">
        <v>-2.9</v>
      </c>
      <c r="K104" s="122">
        <v>-5.8</v>
      </c>
      <c r="L104" s="297">
        <f t="shared" ref="L104:L107" si="20">0.5*(MAX(J104:K104)-MIN(J104:K104))</f>
        <v>1.45</v>
      </c>
      <c r="M104" s="282"/>
      <c r="N104" s="282"/>
      <c r="O104" s="287"/>
      <c r="P104" s="280"/>
    </row>
    <row r="105" spans="1:16" x14ac:dyDescent="0.2">
      <c r="A105" s="839"/>
      <c r="B105" s="282"/>
      <c r="C105" s="305">
        <v>20</v>
      </c>
      <c r="D105" s="114">
        <v>0.2</v>
      </c>
      <c r="E105" s="114">
        <v>-0.7</v>
      </c>
      <c r="F105" s="298">
        <f t="shared" si="19"/>
        <v>0.44999999999999996</v>
      </c>
      <c r="G105" s="282"/>
      <c r="H105" s="292"/>
      <c r="I105" s="305">
        <v>40</v>
      </c>
      <c r="J105" s="114">
        <v>-3.3</v>
      </c>
      <c r="K105" s="114">
        <v>-6.4</v>
      </c>
      <c r="L105" s="298">
        <f t="shared" si="20"/>
        <v>1.5500000000000003</v>
      </c>
      <c r="M105" s="282"/>
      <c r="N105" s="282"/>
      <c r="O105" s="287"/>
      <c r="P105" s="280"/>
    </row>
    <row r="106" spans="1:16" x14ac:dyDescent="0.2">
      <c r="A106" s="839"/>
      <c r="B106" s="282"/>
      <c r="C106" s="305">
        <v>25</v>
      </c>
      <c r="D106" s="114">
        <v>0.1</v>
      </c>
      <c r="E106" s="114">
        <v>-0.5</v>
      </c>
      <c r="F106" s="298">
        <f t="shared" si="19"/>
        <v>0.3</v>
      </c>
      <c r="G106" s="282"/>
      <c r="H106" s="292"/>
      <c r="I106" s="305">
        <v>50</v>
      </c>
      <c r="J106" s="114">
        <v>-3.1</v>
      </c>
      <c r="K106" s="114">
        <v>-6.1</v>
      </c>
      <c r="L106" s="298">
        <f t="shared" si="20"/>
        <v>1.4999999999999998</v>
      </c>
      <c r="M106" s="282"/>
      <c r="N106" s="282"/>
      <c r="O106" s="287"/>
      <c r="P106" s="280"/>
    </row>
    <row r="107" spans="1:16" x14ac:dyDescent="0.2">
      <c r="A107" s="839"/>
      <c r="B107" s="282"/>
      <c r="C107" s="306">
        <v>30</v>
      </c>
      <c r="D107" s="116">
        <v>0.1</v>
      </c>
      <c r="E107" s="116">
        <v>0.2</v>
      </c>
      <c r="F107" s="298">
        <f t="shared" si="19"/>
        <v>0.05</v>
      </c>
      <c r="G107" s="282"/>
      <c r="H107" s="292"/>
      <c r="I107" s="306">
        <v>60</v>
      </c>
      <c r="J107" s="116">
        <v>-2.1</v>
      </c>
      <c r="K107" s="116">
        <v>-5.6</v>
      </c>
      <c r="L107" s="298">
        <f t="shared" si="20"/>
        <v>1.7499999999999998</v>
      </c>
      <c r="M107" s="282"/>
      <c r="N107" s="282"/>
      <c r="O107" s="287"/>
      <c r="P107" s="280"/>
    </row>
    <row r="108" spans="1:16" x14ac:dyDescent="0.2">
      <c r="A108" s="839"/>
      <c r="B108" s="282"/>
      <c r="C108" s="306">
        <v>35</v>
      </c>
      <c r="D108" s="116">
        <v>0.2</v>
      </c>
      <c r="E108" s="116">
        <v>0.8</v>
      </c>
      <c r="F108" s="298">
        <f t="shared" si="19"/>
        <v>0.30000000000000004</v>
      </c>
      <c r="G108" s="282"/>
      <c r="H108" s="292"/>
      <c r="I108" s="306">
        <v>70</v>
      </c>
      <c r="J108" s="116">
        <v>-0.3</v>
      </c>
      <c r="K108" s="116">
        <v>-5.0999999999999996</v>
      </c>
      <c r="L108" s="298">
        <f>0.5*(MAX(J108:K108)-MIN(J108:K108))</f>
        <v>2.4</v>
      </c>
      <c r="M108" s="282"/>
      <c r="N108" s="282"/>
      <c r="O108" s="287"/>
      <c r="P108" s="280"/>
    </row>
    <row r="109" spans="1:16" x14ac:dyDescent="0.2">
      <c r="A109" s="839"/>
      <c r="B109" s="282"/>
      <c r="C109" s="306">
        <v>37</v>
      </c>
      <c r="D109" s="116">
        <v>0.2</v>
      </c>
      <c r="E109" s="116">
        <v>0.4</v>
      </c>
      <c r="F109" s="298">
        <f t="shared" si="19"/>
        <v>0.1</v>
      </c>
      <c r="G109" s="282"/>
      <c r="H109" s="292"/>
      <c r="I109" s="306">
        <v>80</v>
      </c>
      <c r="J109" s="116">
        <v>2.2000000000000002</v>
      </c>
      <c r="K109" s="116">
        <v>-4.7</v>
      </c>
      <c r="L109" s="298">
        <f t="shared" ref="L109:L110" si="21">0.5*(MAX(J109:K109)-MIN(J109:K109))</f>
        <v>3.45</v>
      </c>
      <c r="M109" s="282"/>
      <c r="N109" s="282"/>
      <c r="O109" s="287"/>
      <c r="P109" s="280"/>
    </row>
    <row r="110" spans="1:16" ht="13.5" thickBot="1" x14ac:dyDescent="0.25">
      <c r="A110" s="840"/>
      <c r="B110" s="290"/>
      <c r="C110" s="307">
        <v>40</v>
      </c>
      <c r="D110" s="312">
        <v>0.2</v>
      </c>
      <c r="E110" s="114">
        <v>1.0000000000000001E-5</v>
      </c>
      <c r="F110" s="299">
        <f t="shared" si="19"/>
        <v>9.9995000000000001E-2</v>
      </c>
      <c r="G110" s="290"/>
      <c r="H110" s="300"/>
      <c r="I110" s="307">
        <v>90</v>
      </c>
      <c r="J110" s="125">
        <v>5.4</v>
      </c>
      <c r="K110" s="114">
        <v>1.0000000000000001E-5</v>
      </c>
      <c r="L110" s="299">
        <f t="shared" si="21"/>
        <v>2.6999950000000004</v>
      </c>
      <c r="M110" s="290"/>
      <c r="N110" s="290"/>
      <c r="O110" s="291"/>
      <c r="P110" s="280"/>
    </row>
    <row r="111" spans="1:16" ht="13.5" thickBot="1" x14ac:dyDescent="0.25">
      <c r="A111" s="278"/>
      <c r="B111" s="127"/>
      <c r="C111" s="127"/>
      <c r="D111" s="127"/>
      <c r="E111" s="302"/>
      <c r="F111" s="308"/>
      <c r="G111" s="111"/>
      <c r="H111" s="127"/>
      <c r="I111" s="127"/>
      <c r="J111" s="127"/>
      <c r="K111" s="302"/>
      <c r="L111" s="308"/>
      <c r="M111" s="111"/>
      <c r="N111" s="282"/>
      <c r="O111" s="287"/>
      <c r="P111" s="280"/>
    </row>
    <row r="112" spans="1:16" ht="13.5" thickBot="1" x14ac:dyDescent="0.25">
      <c r="A112" s="838">
        <v>11</v>
      </c>
      <c r="B112" s="841" t="s">
        <v>501</v>
      </c>
      <c r="C112" s="842"/>
      <c r="D112" s="842"/>
      <c r="E112" s="842"/>
      <c r="F112" s="843"/>
      <c r="G112" s="281"/>
      <c r="H112" s="844" t="str">
        <f>B112</f>
        <v>KOREKSI Sekonic HE-21.000670</v>
      </c>
      <c r="I112" s="845"/>
      <c r="J112" s="845"/>
      <c r="K112" s="845"/>
      <c r="L112" s="846"/>
      <c r="M112" s="281"/>
      <c r="N112" s="826" t="s">
        <v>158</v>
      </c>
      <c r="O112" s="827"/>
      <c r="P112" s="280"/>
    </row>
    <row r="113" spans="1:16" ht="13.5" thickBot="1" x14ac:dyDescent="0.25">
      <c r="A113" s="839"/>
      <c r="B113" s="828" t="s">
        <v>487</v>
      </c>
      <c r="C113" s="829"/>
      <c r="D113" s="830" t="s">
        <v>252</v>
      </c>
      <c r="E113" s="831"/>
      <c r="F113" s="832" t="s">
        <v>488</v>
      </c>
      <c r="G113" s="282"/>
      <c r="H113" s="828" t="s">
        <v>489</v>
      </c>
      <c r="I113" s="829"/>
      <c r="J113" s="830" t="s">
        <v>252</v>
      </c>
      <c r="K113" s="831"/>
      <c r="L113" s="832" t="s">
        <v>488</v>
      </c>
      <c r="M113" s="282"/>
      <c r="N113" s="294" t="s">
        <v>487</v>
      </c>
      <c r="O113" s="129">
        <v>0.3</v>
      </c>
      <c r="P113" s="280"/>
    </row>
    <row r="114" spans="1:16" ht="15.75" thickBot="1" x14ac:dyDescent="0.25">
      <c r="A114" s="839"/>
      <c r="B114" s="834" t="s">
        <v>490</v>
      </c>
      <c r="C114" s="835"/>
      <c r="D114" s="119">
        <v>2020</v>
      </c>
      <c r="E114" s="247" t="s">
        <v>81</v>
      </c>
      <c r="F114" s="833"/>
      <c r="G114" s="282"/>
      <c r="H114" s="836" t="s">
        <v>491</v>
      </c>
      <c r="I114" s="837"/>
      <c r="J114" s="295">
        <f>D114</f>
        <v>2020</v>
      </c>
      <c r="K114" s="295" t="str">
        <f>E114</f>
        <v>-</v>
      </c>
      <c r="L114" s="833"/>
      <c r="M114" s="282"/>
      <c r="N114" s="296" t="s">
        <v>491</v>
      </c>
      <c r="O114" s="128">
        <v>1.8</v>
      </c>
      <c r="P114" s="280"/>
    </row>
    <row r="115" spans="1:16" x14ac:dyDescent="0.2">
      <c r="A115" s="839"/>
      <c r="B115" s="282"/>
      <c r="C115" s="304">
        <v>15</v>
      </c>
      <c r="D115" s="122">
        <v>0.3</v>
      </c>
      <c r="E115" s="309" t="s">
        <v>81</v>
      </c>
      <c r="F115" s="297">
        <f t="shared" ref="F115:F121" si="22">0.5*(MAX(D115:E115)-MIN(D115:E115))</f>
        <v>0</v>
      </c>
      <c r="G115" s="282"/>
      <c r="H115" s="292"/>
      <c r="I115" s="304">
        <v>30</v>
      </c>
      <c r="J115" s="122">
        <v>-5.2</v>
      </c>
      <c r="K115" s="309" t="s">
        <v>81</v>
      </c>
      <c r="L115" s="297">
        <f t="shared" ref="L115:L121" si="23">0.5*(MAX(J115:K115)-MIN(J115:K115))</f>
        <v>0</v>
      </c>
      <c r="M115" s="282"/>
      <c r="N115" s="282"/>
      <c r="O115" s="287"/>
      <c r="P115" s="280"/>
    </row>
    <row r="116" spans="1:16" x14ac:dyDescent="0.2">
      <c r="A116" s="839"/>
      <c r="B116" s="282"/>
      <c r="C116" s="305">
        <v>20</v>
      </c>
      <c r="D116" s="114">
        <v>0.4</v>
      </c>
      <c r="E116" s="310" t="s">
        <v>81</v>
      </c>
      <c r="F116" s="298">
        <f t="shared" si="22"/>
        <v>0</v>
      </c>
      <c r="G116" s="282"/>
      <c r="H116" s="292"/>
      <c r="I116" s="305">
        <v>40</v>
      </c>
      <c r="J116" s="114">
        <v>-5.5</v>
      </c>
      <c r="K116" s="310" t="s">
        <v>81</v>
      </c>
      <c r="L116" s="298">
        <f t="shared" si="23"/>
        <v>0</v>
      </c>
      <c r="M116" s="282"/>
      <c r="N116" s="282"/>
      <c r="O116" s="287"/>
      <c r="P116" s="280"/>
    </row>
    <row r="117" spans="1:16" x14ac:dyDescent="0.2">
      <c r="A117" s="839"/>
      <c r="B117" s="282"/>
      <c r="C117" s="305">
        <v>25</v>
      </c>
      <c r="D117" s="114">
        <v>0.4</v>
      </c>
      <c r="E117" s="310" t="s">
        <v>81</v>
      </c>
      <c r="F117" s="298">
        <f t="shared" si="22"/>
        <v>0</v>
      </c>
      <c r="G117" s="282"/>
      <c r="H117" s="292"/>
      <c r="I117" s="305">
        <v>50</v>
      </c>
      <c r="J117" s="114">
        <v>-5.5</v>
      </c>
      <c r="K117" s="310" t="s">
        <v>81</v>
      </c>
      <c r="L117" s="298">
        <f t="shared" si="23"/>
        <v>0</v>
      </c>
      <c r="M117" s="282"/>
      <c r="N117" s="282"/>
      <c r="O117" s="287"/>
      <c r="P117" s="280"/>
    </row>
    <row r="118" spans="1:16" x14ac:dyDescent="0.2">
      <c r="A118" s="839"/>
      <c r="B118" s="282"/>
      <c r="C118" s="306">
        <v>30</v>
      </c>
      <c r="D118" s="116">
        <v>0.5</v>
      </c>
      <c r="E118" s="288" t="s">
        <v>81</v>
      </c>
      <c r="F118" s="298">
        <f t="shared" si="22"/>
        <v>0</v>
      </c>
      <c r="G118" s="282"/>
      <c r="H118" s="292"/>
      <c r="I118" s="306">
        <v>60</v>
      </c>
      <c r="J118" s="116">
        <v>-4.8</v>
      </c>
      <c r="K118" s="288" t="s">
        <v>81</v>
      </c>
      <c r="L118" s="298">
        <f t="shared" si="23"/>
        <v>0</v>
      </c>
      <c r="M118" s="282"/>
      <c r="N118" s="282"/>
      <c r="O118" s="287"/>
      <c r="P118" s="280"/>
    </row>
    <row r="119" spans="1:16" x14ac:dyDescent="0.2">
      <c r="A119" s="839"/>
      <c r="B119" s="282"/>
      <c r="C119" s="306">
        <v>35</v>
      </c>
      <c r="D119" s="116">
        <v>0.5</v>
      </c>
      <c r="E119" s="288" t="s">
        <v>81</v>
      </c>
      <c r="F119" s="298">
        <f t="shared" si="22"/>
        <v>0</v>
      </c>
      <c r="G119" s="282"/>
      <c r="H119" s="292"/>
      <c r="I119" s="306">
        <v>70</v>
      </c>
      <c r="J119" s="116">
        <v>-3.4</v>
      </c>
      <c r="K119" s="288" t="s">
        <v>81</v>
      </c>
      <c r="L119" s="298">
        <f t="shared" si="23"/>
        <v>0</v>
      </c>
      <c r="M119" s="282"/>
      <c r="N119" s="282"/>
      <c r="O119" s="287"/>
      <c r="P119" s="280"/>
    </row>
    <row r="120" spans="1:16" x14ac:dyDescent="0.2">
      <c r="A120" s="839"/>
      <c r="B120" s="282"/>
      <c r="C120" s="306">
        <v>37</v>
      </c>
      <c r="D120" s="116">
        <v>0.5</v>
      </c>
      <c r="E120" s="288" t="s">
        <v>81</v>
      </c>
      <c r="F120" s="298">
        <f t="shared" si="22"/>
        <v>0</v>
      </c>
      <c r="G120" s="282"/>
      <c r="H120" s="292"/>
      <c r="I120" s="306">
        <v>80</v>
      </c>
      <c r="J120" s="116">
        <v>-1.4</v>
      </c>
      <c r="K120" s="288" t="s">
        <v>81</v>
      </c>
      <c r="L120" s="298">
        <f t="shared" si="23"/>
        <v>0</v>
      </c>
      <c r="M120" s="282"/>
      <c r="N120" s="282"/>
      <c r="O120" s="287"/>
      <c r="P120" s="280"/>
    </row>
    <row r="121" spans="1:16" ht="13.5" thickBot="1" x14ac:dyDescent="0.25">
      <c r="A121" s="840"/>
      <c r="B121" s="290"/>
      <c r="C121" s="307">
        <v>40</v>
      </c>
      <c r="D121" s="126">
        <v>0.5</v>
      </c>
      <c r="E121" s="301" t="s">
        <v>81</v>
      </c>
      <c r="F121" s="299">
        <f t="shared" si="22"/>
        <v>0</v>
      </c>
      <c r="G121" s="290"/>
      <c r="H121" s="300"/>
      <c r="I121" s="307">
        <v>90</v>
      </c>
      <c r="J121" s="126">
        <v>1.3</v>
      </c>
      <c r="K121" s="301" t="s">
        <v>81</v>
      </c>
      <c r="L121" s="299">
        <f t="shared" si="23"/>
        <v>0</v>
      </c>
      <c r="M121" s="290"/>
      <c r="N121" s="290"/>
      <c r="O121" s="291"/>
      <c r="P121" s="280"/>
    </row>
    <row r="122" spans="1:16" ht="13.5" thickBot="1" x14ac:dyDescent="0.25">
      <c r="A122" s="278"/>
      <c r="B122" s="127"/>
      <c r="C122" s="127"/>
      <c r="D122" s="127"/>
      <c r="E122" s="302"/>
      <c r="F122" s="308"/>
      <c r="G122" s="111"/>
      <c r="H122" s="127"/>
      <c r="I122" s="127"/>
      <c r="J122" s="127"/>
      <c r="K122" s="302"/>
      <c r="L122" s="308"/>
      <c r="M122" s="282"/>
      <c r="N122" s="282"/>
      <c r="O122" s="287"/>
      <c r="P122" s="280"/>
    </row>
    <row r="123" spans="1:16" ht="13.5" thickBot="1" x14ac:dyDescent="0.25">
      <c r="A123" s="838">
        <v>12</v>
      </c>
      <c r="B123" s="841" t="s">
        <v>502</v>
      </c>
      <c r="C123" s="842"/>
      <c r="D123" s="842"/>
      <c r="E123" s="842"/>
      <c r="F123" s="843"/>
      <c r="G123" s="281"/>
      <c r="H123" s="841" t="str">
        <f>B123</f>
        <v>KOREKSI Extech SD700/A.100609</v>
      </c>
      <c r="I123" s="842"/>
      <c r="J123" s="842"/>
      <c r="K123" s="842"/>
      <c r="L123" s="843"/>
      <c r="M123" s="281"/>
      <c r="N123" s="826" t="s">
        <v>158</v>
      </c>
      <c r="O123" s="827"/>
      <c r="P123" s="280"/>
    </row>
    <row r="124" spans="1:16" ht="13.5" thickBot="1" x14ac:dyDescent="0.25">
      <c r="A124" s="839"/>
      <c r="B124" s="828" t="s">
        <v>487</v>
      </c>
      <c r="C124" s="829"/>
      <c r="D124" s="830" t="s">
        <v>252</v>
      </c>
      <c r="E124" s="831"/>
      <c r="F124" s="832" t="s">
        <v>488</v>
      </c>
      <c r="G124" s="282"/>
      <c r="H124" s="828" t="s">
        <v>489</v>
      </c>
      <c r="I124" s="829"/>
      <c r="J124" s="830" t="s">
        <v>252</v>
      </c>
      <c r="K124" s="831"/>
      <c r="L124" s="832" t="s">
        <v>488</v>
      </c>
      <c r="M124" s="282"/>
      <c r="N124" s="294" t="s">
        <v>487</v>
      </c>
      <c r="O124" s="129">
        <v>0.4</v>
      </c>
      <c r="P124" s="280"/>
    </row>
    <row r="125" spans="1:16" ht="15.75" thickBot="1" x14ac:dyDescent="0.25">
      <c r="A125" s="839"/>
      <c r="B125" s="834" t="s">
        <v>490</v>
      </c>
      <c r="C125" s="835"/>
      <c r="D125" s="119">
        <v>2020</v>
      </c>
      <c r="E125" s="247" t="s">
        <v>81</v>
      </c>
      <c r="F125" s="833"/>
      <c r="G125" s="282"/>
      <c r="H125" s="836" t="s">
        <v>491</v>
      </c>
      <c r="I125" s="837"/>
      <c r="J125" s="295">
        <f>D125</f>
        <v>2020</v>
      </c>
      <c r="K125" s="295" t="str">
        <f>E125</f>
        <v>-</v>
      </c>
      <c r="L125" s="833"/>
      <c r="M125" s="282"/>
      <c r="N125" s="296" t="s">
        <v>491</v>
      </c>
      <c r="O125" s="128">
        <v>2.2000000000000002</v>
      </c>
      <c r="P125" s="280"/>
    </row>
    <row r="126" spans="1:16" x14ac:dyDescent="0.2">
      <c r="A126" s="839"/>
      <c r="B126" s="282"/>
      <c r="C126" s="304">
        <v>15</v>
      </c>
      <c r="D126" s="122">
        <v>-2</v>
      </c>
      <c r="E126" s="309" t="s">
        <v>81</v>
      </c>
      <c r="F126" s="297">
        <f t="shared" ref="F126:F132" si="24">0.5*(MAX(D126:E126)-MIN(D126:E126))</f>
        <v>0</v>
      </c>
      <c r="G126" s="282"/>
      <c r="H126" s="292"/>
      <c r="I126" s="304">
        <v>30</v>
      </c>
      <c r="J126" s="122">
        <v>1</v>
      </c>
      <c r="K126" s="309" t="s">
        <v>81</v>
      </c>
      <c r="L126" s="297">
        <f t="shared" ref="L126:L132" si="25">0.5*(MAX(J126:K126)-MIN(J126:K126))</f>
        <v>0</v>
      </c>
      <c r="M126" s="282"/>
      <c r="N126" s="282"/>
      <c r="O126" s="287"/>
      <c r="P126" s="280"/>
    </row>
    <row r="127" spans="1:16" x14ac:dyDescent="0.2">
      <c r="A127" s="839"/>
      <c r="B127" s="282"/>
      <c r="C127" s="305">
        <v>20</v>
      </c>
      <c r="D127" s="114">
        <v>-0.1</v>
      </c>
      <c r="E127" s="310" t="s">
        <v>81</v>
      </c>
      <c r="F127" s="298">
        <f t="shared" si="24"/>
        <v>0</v>
      </c>
      <c r="G127" s="282"/>
      <c r="H127" s="292"/>
      <c r="I127" s="305">
        <v>40</v>
      </c>
      <c r="J127" s="114">
        <v>0.3</v>
      </c>
      <c r="K127" s="310" t="s">
        <v>81</v>
      </c>
      <c r="L127" s="298">
        <f t="shared" si="25"/>
        <v>0</v>
      </c>
      <c r="M127" s="282"/>
      <c r="N127" s="282"/>
      <c r="O127" s="287"/>
      <c r="P127" s="280"/>
    </row>
    <row r="128" spans="1:16" x14ac:dyDescent="0.2">
      <c r="A128" s="839"/>
      <c r="B128" s="282"/>
      <c r="C128" s="305">
        <v>25</v>
      </c>
      <c r="D128" s="114">
        <v>-0.1</v>
      </c>
      <c r="E128" s="310" t="s">
        <v>81</v>
      </c>
      <c r="F128" s="298">
        <f t="shared" si="24"/>
        <v>0</v>
      </c>
      <c r="G128" s="282"/>
      <c r="H128" s="292"/>
      <c r="I128" s="305">
        <v>50</v>
      </c>
      <c r="J128" s="114">
        <v>-0.2</v>
      </c>
      <c r="K128" s="310" t="s">
        <v>81</v>
      </c>
      <c r="L128" s="298">
        <f t="shared" si="25"/>
        <v>0</v>
      </c>
      <c r="M128" s="282"/>
      <c r="N128" s="282"/>
      <c r="O128" s="287"/>
      <c r="P128" s="280"/>
    </row>
    <row r="129" spans="1:16" x14ac:dyDescent="0.2">
      <c r="A129" s="839"/>
      <c r="B129" s="282"/>
      <c r="C129" s="306">
        <v>30</v>
      </c>
      <c r="D129" s="116">
        <v>-0.3</v>
      </c>
      <c r="E129" s="288" t="s">
        <v>81</v>
      </c>
      <c r="F129" s="298">
        <f t="shared" si="24"/>
        <v>0</v>
      </c>
      <c r="G129" s="282"/>
      <c r="H129" s="292"/>
      <c r="I129" s="306">
        <v>60</v>
      </c>
      <c r="J129" s="116">
        <v>-0.6</v>
      </c>
      <c r="K129" s="288" t="s">
        <v>81</v>
      </c>
      <c r="L129" s="298">
        <f t="shared" si="25"/>
        <v>0</v>
      </c>
      <c r="M129" s="282"/>
      <c r="N129" s="282"/>
      <c r="O129" s="287"/>
      <c r="P129" s="280"/>
    </row>
    <row r="130" spans="1:16" x14ac:dyDescent="0.2">
      <c r="A130" s="839"/>
      <c r="B130" s="282"/>
      <c r="C130" s="306">
        <v>35</v>
      </c>
      <c r="D130" s="116">
        <v>-0.6</v>
      </c>
      <c r="E130" s="288" t="s">
        <v>81</v>
      </c>
      <c r="F130" s="298">
        <f t="shared" si="24"/>
        <v>0</v>
      </c>
      <c r="G130" s="282"/>
      <c r="H130" s="292"/>
      <c r="I130" s="306">
        <v>70</v>
      </c>
      <c r="J130" s="116">
        <v>-0.8</v>
      </c>
      <c r="K130" s="288" t="s">
        <v>81</v>
      </c>
      <c r="L130" s="298">
        <f t="shared" si="25"/>
        <v>0</v>
      </c>
      <c r="M130" s="282"/>
      <c r="N130" s="282"/>
      <c r="O130" s="287"/>
      <c r="P130" s="280"/>
    </row>
    <row r="131" spans="1:16" x14ac:dyDescent="0.2">
      <c r="A131" s="839"/>
      <c r="B131" s="282"/>
      <c r="C131" s="306">
        <v>37</v>
      </c>
      <c r="D131" s="116">
        <v>-0.8</v>
      </c>
      <c r="E131" s="288" t="s">
        <v>81</v>
      </c>
      <c r="F131" s="298">
        <f t="shared" si="24"/>
        <v>0</v>
      </c>
      <c r="G131" s="282"/>
      <c r="H131" s="292"/>
      <c r="I131" s="306">
        <v>80</v>
      </c>
      <c r="J131" s="116">
        <v>-0.9</v>
      </c>
      <c r="K131" s="288" t="s">
        <v>81</v>
      </c>
      <c r="L131" s="298">
        <f t="shared" si="25"/>
        <v>0</v>
      </c>
      <c r="M131" s="282"/>
      <c r="N131" s="282"/>
      <c r="O131" s="287"/>
      <c r="P131" s="280"/>
    </row>
    <row r="132" spans="1:16" ht="13.5" thickBot="1" x14ac:dyDescent="0.25">
      <c r="A132" s="840"/>
      <c r="B132" s="290"/>
      <c r="C132" s="307">
        <v>40</v>
      </c>
      <c r="D132" s="126">
        <v>-1.1000000000000001</v>
      </c>
      <c r="E132" s="301" t="s">
        <v>81</v>
      </c>
      <c r="F132" s="299">
        <f t="shared" si="24"/>
        <v>0</v>
      </c>
      <c r="G132" s="290"/>
      <c r="H132" s="300"/>
      <c r="I132" s="307">
        <v>90</v>
      </c>
      <c r="J132" s="126">
        <v>-0.8</v>
      </c>
      <c r="K132" s="301" t="s">
        <v>81</v>
      </c>
      <c r="L132" s="299">
        <f t="shared" si="25"/>
        <v>0</v>
      </c>
      <c r="M132" s="290"/>
      <c r="N132" s="290"/>
      <c r="O132" s="313"/>
      <c r="P132" s="280"/>
    </row>
    <row r="133" spans="1:16" ht="13.5" thickBot="1" x14ac:dyDescent="0.25">
      <c r="A133" s="314"/>
      <c r="B133" s="282"/>
      <c r="C133" s="315"/>
      <c r="D133" s="315"/>
      <c r="E133" s="316"/>
      <c r="F133" s="317"/>
      <c r="G133" s="282"/>
      <c r="H133" s="282"/>
      <c r="I133" s="315"/>
      <c r="J133" s="315"/>
      <c r="K133" s="316"/>
      <c r="L133" s="317"/>
      <c r="M133" s="282"/>
      <c r="N133" s="282"/>
      <c r="O133" s="282"/>
      <c r="P133" s="280"/>
    </row>
    <row r="134" spans="1:16" ht="13.5" thickBot="1" x14ac:dyDescent="0.25">
      <c r="A134" s="838">
        <v>13</v>
      </c>
      <c r="B134" s="841" t="s">
        <v>503</v>
      </c>
      <c r="C134" s="842"/>
      <c r="D134" s="842"/>
      <c r="E134" s="842"/>
      <c r="F134" s="843"/>
      <c r="G134" s="281"/>
      <c r="H134" s="841" t="str">
        <f>B134</f>
        <v>KOREKSI Extech SD700/A.100605</v>
      </c>
      <c r="I134" s="842"/>
      <c r="J134" s="842"/>
      <c r="K134" s="842"/>
      <c r="L134" s="843"/>
      <c r="M134" s="281"/>
      <c r="N134" s="826" t="s">
        <v>158</v>
      </c>
      <c r="O134" s="827"/>
      <c r="P134" s="280"/>
    </row>
    <row r="135" spans="1:16" ht="12.75" customHeight="1" thickBot="1" x14ac:dyDescent="0.25">
      <c r="A135" s="839"/>
      <c r="B135" s="828" t="s">
        <v>487</v>
      </c>
      <c r="C135" s="829"/>
      <c r="D135" s="830" t="s">
        <v>252</v>
      </c>
      <c r="E135" s="831"/>
      <c r="F135" s="832" t="s">
        <v>488</v>
      </c>
      <c r="G135" s="282"/>
      <c r="H135" s="828" t="s">
        <v>489</v>
      </c>
      <c r="I135" s="829"/>
      <c r="J135" s="830" t="s">
        <v>252</v>
      </c>
      <c r="K135" s="831"/>
      <c r="L135" s="832" t="s">
        <v>488</v>
      </c>
      <c r="M135" s="282"/>
      <c r="N135" s="294" t="s">
        <v>487</v>
      </c>
      <c r="O135" s="129">
        <v>0.3</v>
      </c>
      <c r="P135" s="280"/>
    </row>
    <row r="136" spans="1:16" ht="15.75" thickBot="1" x14ac:dyDescent="0.25">
      <c r="A136" s="839"/>
      <c r="B136" s="834" t="s">
        <v>490</v>
      </c>
      <c r="C136" s="835"/>
      <c r="D136" s="119">
        <v>2020</v>
      </c>
      <c r="E136" s="247" t="s">
        <v>81</v>
      </c>
      <c r="F136" s="833"/>
      <c r="G136" s="282"/>
      <c r="H136" s="836" t="s">
        <v>491</v>
      </c>
      <c r="I136" s="837"/>
      <c r="J136" s="295">
        <f>D136</f>
        <v>2020</v>
      </c>
      <c r="K136" s="295" t="str">
        <f>E136</f>
        <v>-</v>
      </c>
      <c r="L136" s="833"/>
      <c r="M136" s="282"/>
      <c r="N136" s="296" t="s">
        <v>491</v>
      </c>
      <c r="O136" s="128">
        <v>2.7</v>
      </c>
      <c r="P136" s="280"/>
    </row>
    <row r="137" spans="1:16" x14ac:dyDescent="0.2">
      <c r="A137" s="839"/>
      <c r="B137" s="282"/>
      <c r="C137" s="304">
        <v>15</v>
      </c>
      <c r="D137" s="122">
        <v>-0.7</v>
      </c>
      <c r="E137" s="309" t="s">
        <v>81</v>
      </c>
      <c r="F137" s="297">
        <f t="shared" ref="F137:F143" si="26">0.5*(MAX(D137:E137)-MIN(D137:E137))</f>
        <v>0</v>
      </c>
      <c r="G137" s="282"/>
      <c r="H137" s="292"/>
      <c r="I137" s="304">
        <v>30</v>
      </c>
      <c r="J137" s="122">
        <v>-1.5</v>
      </c>
      <c r="K137" s="309" t="s">
        <v>81</v>
      </c>
      <c r="L137" s="297">
        <f t="shared" ref="L137:L143" si="27">0.5*(MAX(J137:K137)-MIN(J137:K137))</f>
        <v>0</v>
      </c>
      <c r="M137" s="282"/>
      <c r="N137" s="282"/>
      <c r="O137" s="287"/>
      <c r="P137" s="280"/>
    </row>
    <row r="138" spans="1:16" x14ac:dyDescent="0.2">
      <c r="A138" s="839"/>
      <c r="B138" s="282"/>
      <c r="C138" s="305">
        <v>20</v>
      </c>
      <c r="D138" s="114">
        <v>-0.4</v>
      </c>
      <c r="E138" s="310" t="s">
        <v>81</v>
      </c>
      <c r="F138" s="298">
        <f t="shared" si="26"/>
        <v>0</v>
      </c>
      <c r="G138" s="282"/>
      <c r="H138" s="292"/>
      <c r="I138" s="305">
        <v>40</v>
      </c>
      <c r="J138" s="114">
        <v>-1.3</v>
      </c>
      <c r="K138" s="310" t="s">
        <v>81</v>
      </c>
      <c r="L138" s="298">
        <f t="shared" si="27"/>
        <v>0</v>
      </c>
      <c r="M138" s="282"/>
      <c r="N138" s="282"/>
      <c r="O138" s="287"/>
      <c r="P138" s="280"/>
    </row>
    <row r="139" spans="1:16" x14ac:dyDescent="0.2">
      <c r="A139" s="839"/>
      <c r="B139" s="282"/>
      <c r="C139" s="305">
        <v>25</v>
      </c>
      <c r="D139" s="114">
        <v>-0.2</v>
      </c>
      <c r="E139" s="310" t="s">
        <v>81</v>
      </c>
      <c r="F139" s="298">
        <f t="shared" si="26"/>
        <v>0</v>
      </c>
      <c r="G139" s="282"/>
      <c r="H139" s="292"/>
      <c r="I139" s="305">
        <v>50</v>
      </c>
      <c r="J139" s="114">
        <v>-1.3</v>
      </c>
      <c r="K139" s="310" t="s">
        <v>81</v>
      </c>
      <c r="L139" s="298">
        <f t="shared" si="27"/>
        <v>0</v>
      </c>
      <c r="M139" s="282"/>
      <c r="N139" s="282"/>
      <c r="O139" s="287"/>
      <c r="P139" s="280"/>
    </row>
    <row r="140" spans="1:16" x14ac:dyDescent="0.2">
      <c r="A140" s="839"/>
      <c r="B140" s="282"/>
      <c r="C140" s="306">
        <v>30</v>
      </c>
      <c r="D140" s="116">
        <v>0.1</v>
      </c>
      <c r="E140" s="288" t="s">
        <v>81</v>
      </c>
      <c r="F140" s="298">
        <f t="shared" si="26"/>
        <v>0</v>
      </c>
      <c r="G140" s="282"/>
      <c r="H140" s="292"/>
      <c r="I140" s="306">
        <v>60</v>
      </c>
      <c r="J140" s="116">
        <v>-1.5</v>
      </c>
      <c r="K140" s="288" t="s">
        <v>81</v>
      </c>
      <c r="L140" s="298">
        <f t="shared" si="27"/>
        <v>0</v>
      </c>
      <c r="M140" s="282"/>
      <c r="N140" s="282"/>
      <c r="O140" s="287"/>
      <c r="P140" s="280"/>
    </row>
    <row r="141" spans="1:16" x14ac:dyDescent="0.2">
      <c r="A141" s="839"/>
      <c r="B141" s="282"/>
      <c r="C141" s="306">
        <v>35</v>
      </c>
      <c r="D141" s="116">
        <v>0.3</v>
      </c>
      <c r="E141" s="288" t="s">
        <v>81</v>
      </c>
      <c r="F141" s="298">
        <f t="shared" si="26"/>
        <v>0</v>
      </c>
      <c r="G141" s="282"/>
      <c r="H141" s="292"/>
      <c r="I141" s="306">
        <v>70</v>
      </c>
      <c r="J141" s="116">
        <v>-1.9</v>
      </c>
      <c r="K141" s="288" t="s">
        <v>81</v>
      </c>
      <c r="L141" s="298">
        <f t="shared" si="27"/>
        <v>0</v>
      </c>
      <c r="M141" s="282"/>
      <c r="N141" s="282"/>
      <c r="O141" s="287"/>
      <c r="P141" s="280"/>
    </row>
    <row r="142" spans="1:16" x14ac:dyDescent="0.2">
      <c r="A142" s="839"/>
      <c r="B142" s="282"/>
      <c r="C142" s="306">
        <v>37</v>
      </c>
      <c r="D142" s="116">
        <v>0.4</v>
      </c>
      <c r="E142" s="288" t="s">
        <v>81</v>
      </c>
      <c r="F142" s="298">
        <f t="shared" si="26"/>
        <v>0</v>
      </c>
      <c r="G142" s="282"/>
      <c r="H142" s="292"/>
      <c r="I142" s="306">
        <v>80</v>
      </c>
      <c r="J142" s="116">
        <v>-2.5</v>
      </c>
      <c r="K142" s="288" t="s">
        <v>81</v>
      </c>
      <c r="L142" s="298">
        <f t="shared" si="27"/>
        <v>0</v>
      </c>
      <c r="M142" s="282"/>
      <c r="N142" s="282"/>
      <c r="O142" s="287"/>
      <c r="P142" s="280"/>
    </row>
    <row r="143" spans="1:16" ht="13.5" thickBot="1" x14ac:dyDescent="0.25">
      <c r="A143" s="840"/>
      <c r="B143" s="290"/>
      <c r="C143" s="307">
        <v>40</v>
      </c>
      <c r="D143" s="126">
        <v>0.5</v>
      </c>
      <c r="E143" s="301" t="s">
        <v>81</v>
      </c>
      <c r="F143" s="299">
        <f t="shared" si="26"/>
        <v>0</v>
      </c>
      <c r="G143" s="290"/>
      <c r="H143" s="300"/>
      <c r="I143" s="307">
        <v>90</v>
      </c>
      <c r="J143" s="126">
        <v>-3.2</v>
      </c>
      <c r="K143" s="301" t="s">
        <v>81</v>
      </c>
      <c r="L143" s="299">
        <f t="shared" si="27"/>
        <v>0</v>
      </c>
      <c r="M143" s="290"/>
      <c r="N143" s="290"/>
      <c r="O143" s="313"/>
      <c r="P143" s="280"/>
    </row>
    <row r="144" spans="1:16" ht="13.5" thickBot="1" x14ac:dyDescent="0.25">
      <c r="A144" s="314"/>
      <c r="B144" s="282"/>
      <c r="C144" s="315"/>
      <c r="D144" s="315"/>
      <c r="E144" s="316"/>
      <c r="F144" s="317"/>
      <c r="G144" s="282"/>
      <c r="H144" s="282"/>
      <c r="I144" s="315"/>
      <c r="J144" s="315"/>
      <c r="K144" s="316"/>
      <c r="L144" s="317"/>
      <c r="M144" s="282"/>
      <c r="N144" s="282"/>
      <c r="O144" s="282"/>
      <c r="P144" s="280"/>
    </row>
    <row r="145" spans="1:16" ht="13.5" thickBot="1" x14ac:dyDescent="0.25">
      <c r="A145" s="838">
        <v>14</v>
      </c>
      <c r="B145" s="841" t="s">
        <v>504</v>
      </c>
      <c r="C145" s="842"/>
      <c r="D145" s="842"/>
      <c r="E145" s="842"/>
      <c r="F145" s="843"/>
      <c r="G145" s="281"/>
      <c r="H145" s="841" t="str">
        <f>B145</f>
        <v>KOREKSI Extech SD700/A.100611</v>
      </c>
      <c r="I145" s="842"/>
      <c r="J145" s="842"/>
      <c r="K145" s="842"/>
      <c r="L145" s="843"/>
      <c r="M145" s="281"/>
      <c r="N145" s="826" t="s">
        <v>158</v>
      </c>
      <c r="O145" s="827"/>
      <c r="P145" s="280"/>
    </row>
    <row r="146" spans="1:16" ht="13.5" thickBot="1" x14ac:dyDescent="0.25">
      <c r="A146" s="839"/>
      <c r="B146" s="828" t="s">
        <v>487</v>
      </c>
      <c r="C146" s="829"/>
      <c r="D146" s="830" t="s">
        <v>252</v>
      </c>
      <c r="E146" s="831"/>
      <c r="F146" s="832" t="s">
        <v>488</v>
      </c>
      <c r="G146" s="282"/>
      <c r="H146" s="828" t="s">
        <v>489</v>
      </c>
      <c r="I146" s="829"/>
      <c r="J146" s="830" t="s">
        <v>252</v>
      </c>
      <c r="K146" s="831"/>
      <c r="L146" s="832" t="s">
        <v>488</v>
      </c>
      <c r="M146" s="282"/>
      <c r="N146" s="294" t="s">
        <v>487</v>
      </c>
      <c r="O146" s="129">
        <v>0.3</v>
      </c>
      <c r="P146" s="280"/>
    </row>
    <row r="147" spans="1:16" ht="15.75" thickBot="1" x14ac:dyDescent="0.25">
      <c r="A147" s="839"/>
      <c r="B147" s="834" t="s">
        <v>490</v>
      </c>
      <c r="C147" s="835"/>
      <c r="D147" s="119">
        <v>2017</v>
      </c>
      <c r="E147" s="247" t="s">
        <v>81</v>
      </c>
      <c r="F147" s="833"/>
      <c r="G147" s="282"/>
      <c r="H147" s="836" t="s">
        <v>491</v>
      </c>
      <c r="I147" s="837"/>
      <c r="J147" s="295">
        <f>D147</f>
        <v>2017</v>
      </c>
      <c r="K147" s="295" t="str">
        <f>E147</f>
        <v>-</v>
      </c>
      <c r="L147" s="833"/>
      <c r="M147" s="282"/>
      <c r="N147" s="296" t="s">
        <v>491</v>
      </c>
      <c r="O147" s="128">
        <v>2.7</v>
      </c>
      <c r="P147" s="280"/>
    </row>
    <row r="148" spans="1:16" x14ac:dyDescent="0.2">
      <c r="A148" s="839"/>
      <c r="B148" s="282"/>
      <c r="C148" s="304">
        <v>15</v>
      </c>
      <c r="D148" s="122">
        <v>-0.6</v>
      </c>
      <c r="E148" s="309" t="s">
        <v>81</v>
      </c>
      <c r="F148" s="297">
        <f t="shared" ref="F148:F154" si="28">0.5*(MAX(D148:E148)-MIN(D148:E148))</f>
        <v>0</v>
      </c>
      <c r="G148" s="282"/>
      <c r="H148" s="292"/>
      <c r="I148" s="304">
        <v>30</v>
      </c>
      <c r="J148" s="122">
        <v>-0.5</v>
      </c>
      <c r="K148" s="309" t="s">
        <v>81</v>
      </c>
      <c r="L148" s="297">
        <f t="shared" ref="L148:L154" si="29">0.5*(MAX(J148:K148)-MIN(J148:K148))</f>
        <v>0</v>
      </c>
      <c r="M148" s="282"/>
      <c r="N148" s="282"/>
      <c r="O148" s="287"/>
      <c r="P148" s="280"/>
    </row>
    <row r="149" spans="1:16" x14ac:dyDescent="0.2">
      <c r="A149" s="839"/>
      <c r="B149" s="282"/>
      <c r="C149" s="305">
        <v>20</v>
      </c>
      <c r="D149" s="114">
        <v>-0.5</v>
      </c>
      <c r="E149" s="310" t="s">
        <v>81</v>
      </c>
      <c r="F149" s="298">
        <f t="shared" si="28"/>
        <v>0</v>
      </c>
      <c r="G149" s="282"/>
      <c r="H149" s="292"/>
      <c r="I149" s="305">
        <v>40</v>
      </c>
      <c r="J149" s="114">
        <v>-0.3</v>
      </c>
      <c r="K149" s="310" t="s">
        <v>81</v>
      </c>
      <c r="L149" s="298">
        <f t="shared" si="29"/>
        <v>0</v>
      </c>
      <c r="M149" s="282"/>
      <c r="N149" s="282"/>
      <c r="O149" s="287"/>
      <c r="P149" s="280"/>
    </row>
    <row r="150" spans="1:16" x14ac:dyDescent="0.2">
      <c r="A150" s="839"/>
      <c r="B150" s="282"/>
      <c r="C150" s="305">
        <v>25</v>
      </c>
      <c r="D150" s="114">
        <v>-0.4</v>
      </c>
      <c r="E150" s="310" t="s">
        <v>81</v>
      </c>
      <c r="F150" s="298">
        <f t="shared" si="28"/>
        <v>0</v>
      </c>
      <c r="G150" s="282"/>
      <c r="H150" s="292"/>
      <c r="I150" s="305">
        <v>50</v>
      </c>
      <c r="J150" s="114">
        <v>-0.3</v>
      </c>
      <c r="K150" s="310" t="s">
        <v>81</v>
      </c>
      <c r="L150" s="298">
        <f t="shared" si="29"/>
        <v>0</v>
      </c>
      <c r="M150" s="282"/>
      <c r="N150" s="282"/>
      <c r="O150" s="287"/>
      <c r="P150" s="280"/>
    </row>
    <row r="151" spans="1:16" x14ac:dyDescent="0.2">
      <c r="A151" s="839"/>
      <c r="B151" s="282"/>
      <c r="C151" s="306">
        <v>30</v>
      </c>
      <c r="D151" s="116">
        <v>-0.2</v>
      </c>
      <c r="E151" s="288" t="s">
        <v>81</v>
      </c>
      <c r="F151" s="298">
        <f t="shared" si="28"/>
        <v>0</v>
      </c>
      <c r="G151" s="282"/>
      <c r="H151" s="292"/>
      <c r="I151" s="306">
        <v>60</v>
      </c>
      <c r="J151" s="116">
        <v>-0.5</v>
      </c>
      <c r="K151" s="288" t="s">
        <v>81</v>
      </c>
      <c r="L151" s="298">
        <f t="shared" si="29"/>
        <v>0</v>
      </c>
      <c r="M151" s="282"/>
      <c r="N151" s="282"/>
      <c r="O151" s="287"/>
      <c r="P151" s="280"/>
    </row>
    <row r="152" spans="1:16" x14ac:dyDescent="0.2">
      <c r="A152" s="839"/>
      <c r="B152" s="282"/>
      <c r="C152" s="306">
        <v>35</v>
      </c>
      <c r="D152" s="116">
        <v>-0.1</v>
      </c>
      <c r="E152" s="288" t="s">
        <v>81</v>
      </c>
      <c r="F152" s="298">
        <f t="shared" si="28"/>
        <v>0</v>
      </c>
      <c r="G152" s="282"/>
      <c r="H152" s="292"/>
      <c r="I152" s="306">
        <v>70</v>
      </c>
      <c r="J152" s="116">
        <v>-0.8</v>
      </c>
      <c r="K152" s="288" t="s">
        <v>81</v>
      </c>
      <c r="L152" s="298">
        <f t="shared" si="29"/>
        <v>0</v>
      </c>
      <c r="M152" s="282"/>
      <c r="N152" s="282"/>
      <c r="O152" s="287"/>
      <c r="P152" s="280"/>
    </row>
    <row r="153" spans="1:16" x14ac:dyDescent="0.2">
      <c r="A153" s="839"/>
      <c r="B153" s="282"/>
      <c r="C153" s="306">
        <v>37</v>
      </c>
      <c r="D153" s="116">
        <v>-0.1</v>
      </c>
      <c r="E153" s="288" t="s">
        <v>81</v>
      </c>
      <c r="F153" s="298">
        <f t="shared" si="28"/>
        <v>0</v>
      </c>
      <c r="G153" s="282"/>
      <c r="H153" s="292"/>
      <c r="I153" s="306">
        <v>80</v>
      </c>
      <c r="J153" s="116">
        <v>-1.3</v>
      </c>
      <c r="K153" s="288" t="s">
        <v>81</v>
      </c>
      <c r="L153" s="298">
        <f t="shared" si="29"/>
        <v>0</v>
      </c>
      <c r="M153" s="282"/>
      <c r="N153" s="282"/>
      <c r="O153" s="287"/>
      <c r="P153" s="280"/>
    </row>
    <row r="154" spans="1:16" ht="13.5" thickBot="1" x14ac:dyDescent="0.25">
      <c r="A154" s="840"/>
      <c r="B154" s="290"/>
      <c r="C154" s="307">
        <v>40</v>
      </c>
      <c r="D154" s="114">
        <v>1.0000000000000001E-5</v>
      </c>
      <c r="E154" s="301" t="s">
        <v>81</v>
      </c>
      <c r="F154" s="299">
        <f t="shared" si="28"/>
        <v>0</v>
      </c>
      <c r="G154" s="290"/>
      <c r="H154" s="300"/>
      <c r="I154" s="307">
        <v>90</v>
      </c>
      <c r="J154" s="126">
        <v>-2</v>
      </c>
      <c r="K154" s="301" t="s">
        <v>81</v>
      </c>
      <c r="L154" s="299">
        <f t="shared" si="29"/>
        <v>0</v>
      </c>
      <c r="M154" s="290"/>
      <c r="N154" s="290"/>
      <c r="O154" s="313"/>
      <c r="P154" s="280"/>
    </row>
    <row r="155" spans="1:16" ht="13.5" thickBot="1" x14ac:dyDescent="0.25">
      <c r="A155" s="314"/>
      <c r="B155" s="282"/>
      <c r="C155" s="315"/>
      <c r="D155" s="315"/>
      <c r="E155" s="316"/>
      <c r="F155" s="317"/>
      <c r="G155" s="282"/>
      <c r="H155" s="282"/>
      <c r="I155" s="315"/>
      <c r="J155" s="315"/>
      <c r="K155" s="316"/>
      <c r="L155" s="317"/>
      <c r="M155" s="282"/>
      <c r="N155" s="282"/>
      <c r="O155" s="282"/>
      <c r="P155" s="280"/>
    </row>
    <row r="156" spans="1:16" ht="13.5" thickBot="1" x14ac:dyDescent="0.25">
      <c r="A156" s="838">
        <v>15</v>
      </c>
      <c r="B156" s="841" t="s">
        <v>505</v>
      </c>
      <c r="C156" s="842"/>
      <c r="D156" s="842"/>
      <c r="E156" s="842"/>
      <c r="F156" s="843"/>
      <c r="G156" s="281"/>
      <c r="H156" s="841" t="str">
        <f>B156</f>
        <v>KOREKSI Extech SD700/A.100616</v>
      </c>
      <c r="I156" s="842"/>
      <c r="J156" s="842"/>
      <c r="K156" s="842"/>
      <c r="L156" s="843"/>
      <c r="M156" s="281"/>
      <c r="N156" s="826" t="s">
        <v>158</v>
      </c>
      <c r="O156" s="827"/>
      <c r="P156" s="280"/>
    </row>
    <row r="157" spans="1:16" ht="13.5" thickBot="1" x14ac:dyDescent="0.25">
      <c r="A157" s="839"/>
      <c r="B157" s="828" t="s">
        <v>487</v>
      </c>
      <c r="C157" s="829"/>
      <c r="D157" s="830" t="s">
        <v>252</v>
      </c>
      <c r="E157" s="831"/>
      <c r="F157" s="832" t="s">
        <v>488</v>
      </c>
      <c r="G157" s="282"/>
      <c r="H157" s="828" t="s">
        <v>489</v>
      </c>
      <c r="I157" s="829"/>
      <c r="J157" s="830" t="s">
        <v>252</v>
      </c>
      <c r="K157" s="831"/>
      <c r="L157" s="832" t="s">
        <v>488</v>
      </c>
      <c r="M157" s="282"/>
      <c r="N157" s="294" t="s">
        <v>487</v>
      </c>
      <c r="O157" s="129">
        <v>0.4</v>
      </c>
      <c r="P157" s="280"/>
    </row>
    <row r="158" spans="1:16" ht="15.75" thickBot="1" x14ac:dyDescent="0.25">
      <c r="A158" s="839"/>
      <c r="B158" s="834" t="s">
        <v>490</v>
      </c>
      <c r="C158" s="835"/>
      <c r="D158" s="119">
        <v>2020</v>
      </c>
      <c r="E158" s="247" t="s">
        <v>81</v>
      </c>
      <c r="F158" s="833"/>
      <c r="G158" s="282"/>
      <c r="H158" s="836" t="s">
        <v>491</v>
      </c>
      <c r="I158" s="837"/>
      <c r="J158" s="295">
        <f>D158</f>
        <v>2020</v>
      </c>
      <c r="K158" s="295" t="str">
        <f>E158</f>
        <v>-</v>
      </c>
      <c r="L158" s="833"/>
      <c r="M158" s="282"/>
      <c r="N158" s="296" t="s">
        <v>491</v>
      </c>
      <c r="O158" s="128">
        <v>2.2000000000000002</v>
      </c>
      <c r="P158" s="280"/>
    </row>
    <row r="159" spans="1:16" x14ac:dyDescent="0.2">
      <c r="A159" s="839"/>
      <c r="B159" s="282"/>
      <c r="C159" s="304">
        <v>15</v>
      </c>
      <c r="D159" s="122">
        <v>0.1</v>
      </c>
      <c r="E159" s="309" t="s">
        <v>81</v>
      </c>
      <c r="F159" s="297">
        <f t="shared" ref="F159:F165" si="30">0.5*(MAX(D159:E159)-MIN(D159:E159))</f>
        <v>0</v>
      </c>
      <c r="G159" s="282"/>
      <c r="H159" s="292"/>
      <c r="I159" s="304">
        <v>30</v>
      </c>
      <c r="J159" s="122">
        <v>-1.6</v>
      </c>
      <c r="K159" s="309" t="s">
        <v>81</v>
      </c>
      <c r="L159" s="297">
        <f t="shared" ref="L159:L165" si="31">0.5*(MAX(J159:K159)-MIN(J159:K159))</f>
        <v>0</v>
      </c>
      <c r="M159" s="282"/>
      <c r="N159" s="282"/>
      <c r="O159" s="287"/>
      <c r="P159" s="280"/>
    </row>
    <row r="160" spans="1:16" x14ac:dyDescent="0.2">
      <c r="A160" s="839"/>
      <c r="B160" s="282"/>
      <c r="C160" s="305">
        <v>20</v>
      </c>
      <c r="D160" s="114">
        <v>0.2</v>
      </c>
      <c r="E160" s="310" t="s">
        <v>81</v>
      </c>
      <c r="F160" s="298">
        <f t="shared" si="30"/>
        <v>0</v>
      </c>
      <c r="G160" s="282"/>
      <c r="H160" s="292"/>
      <c r="I160" s="305">
        <v>40</v>
      </c>
      <c r="J160" s="114">
        <v>-1.4</v>
      </c>
      <c r="K160" s="310" t="s">
        <v>81</v>
      </c>
      <c r="L160" s="298">
        <f t="shared" si="31"/>
        <v>0</v>
      </c>
      <c r="M160" s="282"/>
      <c r="N160" s="282"/>
      <c r="O160" s="287"/>
      <c r="P160" s="280"/>
    </row>
    <row r="161" spans="1:16" x14ac:dyDescent="0.2">
      <c r="A161" s="839"/>
      <c r="B161" s="282"/>
      <c r="C161" s="305">
        <v>25</v>
      </c>
      <c r="D161" s="114">
        <v>0.2</v>
      </c>
      <c r="E161" s="310" t="s">
        <v>81</v>
      </c>
      <c r="F161" s="298">
        <f t="shared" si="30"/>
        <v>0</v>
      </c>
      <c r="G161" s="282"/>
      <c r="H161" s="292"/>
      <c r="I161" s="305">
        <v>50</v>
      </c>
      <c r="J161" s="114">
        <v>-1.4</v>
      </c>
      <c r="K161" s="310" t="s">
        <v>81</v>
      </c>
      <c r="L161" s="298">
        <f t="shared" si="31"/>
        <v>0</v>
      </c>
      <c r="M161" s="282"/>
      <c r="N161" s="282"/>
      <c r="O161" s="287"/>
      <c r="P161" s="280"/>
    </row>
    <row r="162" spans="1:16" x14ac:dyDescent="0.2">
      <c r="A162" s="839"/>
      <c r="B162" s="282"/>
      <c r="C162" s="306">
        <v>30</v>
      </c>
      <c r="D162" s="116">
        <v>0.2</v>
      </c>
      <c r="E162" s="288" t="s">
        <v>81</v>
      </c>
      <c r="F162" s="298">
        <f t="shared" si="30"/>
        <v>0</v>
      </c>
      <c r="G162" s="282"/>
      <c r="H162" s="292"/>
      <c r="I162" s="306">
        <v>60</v>
      </c>
      <c r="J162" s="116">
        <v>-1.5</v>
      </c>
      <c r="K162" s="288" t="s">
        <v>81</v>
      </c>
      <c r="L162" s="298">
        <f t="shared" si="31"/>
        <v>0</v>
      </c>
      <c r="M162" s="282"/>
      <c r="N162" s="282"/>
      <c r="O162" s="287"/>
      <c r="P162" s="280"/>
    </row>
    <row r="163" spans="1:16" x14ac:dyDescent="0.2">
      <c r="A163" s="839"/>
      <c r="B163" s="282"/>
      <c r="C163" s="306">
        <v>35</v>
      </c>
      <c r="D163" s="116">
        <v>0.1</v>
      </c>
      <c r="E163" s="288" t="s">
        <v>81</v>
      </c>
      <c r="F163" s="298">
        <f t="shared" si="30"/>
        <v>0</v>
      </c>
      <c r="G163" s="282"/>
      <c r="H163" s="292"/>
      <c r="I163" s="306">
        <v>70</v>
      </c>
      <c r="J163" s="116">
        <v>-1.8</v>
      </c>
      <c r="K163" s="288" t="s">
        <v>81</v>
      </c>
      <c r="L163" s="298">
        <f t="shared" si="31"/>
        <v>0</v>
      </c>
      <c r="M163" s="282"/>
      <c r="N163" s="282"/>
      <c r="O163" s="287"/>
      <c r="P163" s="280"/>
    </row>
    <row r="164" spans="1:16" x14ac:dyDescent="0.2">
      <c r="A164" s="839"/>
      <c r="B164" s="282"/>
      <c r="C164" s="306">
        <v>37</v>
      </c>
      <c r="D164" s="114">
        <v>1.0000000000000001E-5</v>
      </c>
      <c r="E164" s="288" t="s">
        <v>81</v>
      </c>
      <c r="F164" s="298">
        <f t="shared" si="30"/>
        <v>0</v>
      </c>
      <c r="G164" s="282"/>
      <c r="H164" s="292"/>
      <c r="I164" s="306">
        <v>80</v>
      </c>
      <c r="J164" s="116">
        <v>-2.2999999999999998</v>
      </c>
      <c r="K164" s="288" t="s">
        <v>81</v>
      </c>
      <c r="L164" s="298">
        <f t="shared" si="31"/>
        <v>0</v>
      </c>
      <c r="M164" s="282"/>
      <c r="N164" s="282"/>
      <c r="O164" s="287"/>
      <c r="P164" s="280"/>
    </row>
    <row r="165" spans="1:16" ht="13.5" thickBot="1" x14ac:dyDescent="0.25">
      <c r="A165" s="840"/>
      <c r="B165" s="290"/>
      <c r="C165" s="307">
        <v>40</v>
      </c>
      <c r="D165" s="114">
        <v>1.0000000000000001E-5</v>
      </c>
      <c r="E165" s="301" t="s">
        <v>81</v>
      </c>
      <c r="F165" s="299">
        <f t="shared" si="30"/>
        <v>0</v>
      </c>
      <c r="G165" s="290"/>
      <c r="H165" s="300"/>
      <c r="I165" s="307">
        <v>90</v>
      </c>
      <c r="J165" s="126">
        <v>-3</v>
      </c>
      <c r="K165" s="301" t="s">
        <v>81</v>
      </c>
      <c r="L165" s="299">
        <f t="shared" si="31"/>
        <v>0</v>
      </c>
      <c r="M165" s="290"/>
      <c r="N165" s="290"/>
      <c r="O165" s="313"/>
      <c r="P165" s="280"/>
    </row>
    <row r="166" spans="1:16" ht="13.5" thickBot="1" x14ac:dyDescent="0.25">
      <c r="A166" s="314"/>
      <c r="B166" s="282"/>
      <c r="C166" s="315"/>
      <c r="D166" s="315"/>
      <c r="E166" s="316"/>
      <c r="F166" s="317"/>
      <c r="G166" s="282"/>
      <c r="H166" s="282"/>
      <c r="I166" s="315"/>
      <c r="J166" s="315"/>
      <c r="K166" s="316"/>
      <c r="L166" s="317"/>
      <c r="M166" s="282"/>
      <c r="N166" s="282"/>
      <c r="O166" s="282"/>
      <c r="P166" s="280"/>
    </row>
    <row r="167" spans="1:16" ht="13.5" thickBot="1" x14ac:dyDescent="0.25">
      <c r="A167" s="838">
        <v>16</v>
      </c>
      <c r="B167" s="841" t="s">
        <v>506</v>
      </c>
      <c r="C167" s="842"/>
      <c r="D167" s="842"/>
      <c r="E167" s="842"/>
      <c r="F167" s="843"/>
      <c r="G167" s="281"/>
      <c r="H167" s="841" t="str">
        <f>B167</f>
        <v>KOREKSI Extech SD700/A.100617</v>
      </c>
      <c r="I167" s="842"/>
      <c r="J167" s="842"/>
      <c r="K167" s="842"/>
      <c r="L167" s="843"/>
      <c r="M167" s="281"/>
      <c r="N167" s="826" t="s">
        <v>158</v>
      </c>
      <c r="O167" s="827"/>
      <c r="P167" s="280"/>
    </row>
    <row r="168" spans="1:16" ht="13.5" thickBot="1" x14ac:dyDescent="0.25">
      <c r="A168" s="839"/>
      <c r="B168" s="828" t="s">
        <v>487</v>
      </c>
      <c r="C168" s="829"/>
      <c r="D168" s="830" t="s">
        <v>252</v>
      </c>
      <c r="E168" s="831"/>
      <c r="F168" s="832" t="s">
        <v>488</v>
      </c>
      <c r="G168" s="282"/>
      <c r="H168" s="828" t="s">
        <v>489</v>
      </c>
      <c r="I168" s="829"/>
      <c r="J168" s="830" t="s">
        <v>252</v>
      </c>
      <c r="K168" s="831"/>
      <c r="L168" s="832" t="s">
        <v>488</v>
      </c>
      <c r="M168" s="282"/>
      <c r="N168" s="294" t="s">
        <v>487</v>
      </c>
      <c r="O168" s="129">
        <v>0.3</v>
      </c>
      <c r="P168" s="280"/>
    </row>
    <row r="169" spans="1:16" ht="15.75" thickBot="1" x14ac:dyDescent="0.25">
      <c r="A169" s="839"/>
      <c r="B169" s="834" t="s">
        <v>490</v>
      </c>
      <c r="C169" s="835"/>
      <c r="D169" s="119">
        <v>2020</v>
      </c>
      <c r="E169" s="247" t="s">
        <v>81</v>
      </c>
      <c r="F169" s="833"/>
      <c r="G169" s="282"/>
      <c r="H169" s="836" t="s">
        <v>491</v>
      </c>
      <c r="I169" s="837"/>
      <c r="J169" s="295">
        <f>D169</f>
        <v>2020</v>
      </c>
      <c r="K169" s="295" t="str">
        <f>E169</f>
        <v>-</v>
      </c>
      <c r="L169" s="833"/>
      <c r="M169" s="282"/>
      <c r="N169" s="296" t="s">
        <v>491</v>
      </c>
      <c r="O169" s="128">
        <v>2.8</v>
      </c>
      <c r="P169" s="280"/>
    </row>
    <row r="170" spans="1:16" x14ac:dyDescent="0.2">
      <c r="A170" s="839"/>
      <c r="B170" s="282"/>
      <c r="C170" s="304">
        <v>15</v>
      </c>
      <c r="D170" s="122">
        <v>0.1</v>
      </c>
      <c r="E170" s="309" t="s">
        <v>81</v>
      </c>
      <c r="F170" s="297">
        <f t="shared" ref="F170:F176" si="32">0.5*(MAX(D170:E170)-MIN(D170:E170))</f>
        <v>0</v>
      </c>
      <c r="G170" s="282"/>
      <c r="H170" s="292"/>
      <c r="I170" s="304">
        <v>30</v>
      </c>
      <c r="J170" s="122">
        <v>0.1</v>
      </c>
      <c r="K170" s="309" t="s">
        <v>81</v>
      </c>
      <c r="L170" s="297">
        <f t="shared" ref="L170:L176" si="33">0.5*(MAX(J170:K170)-MIN(J170:K170))</f>
        <v>0</v>
      </c>
      <c r="M170" s="282"/>
      <c r="N170" s="282"/>
      <c r="O170" s="287"/>
      <c r="P170" s="280"/>
    </row>
    <row r="171" spans="1:16" x14ac:dyDescent="0.2">
      <c r="A171" s="839"/>
      <c r="B171" s="282"/>
      <c r="C171" s="305">
        <v>20</v>
      </c>
      <c r="D171" s="114">
        <v>0.1</v>
      </c>
      <c r="E171" s="310" t="s">
        <v>81</v>
      </c>
      <c r="F171" s="298">
        <f t="shared" si="32"/>
        <v>0</v>
      </c>
      <c r="G171" s="282"/>
      <c r="H171" s="292"/>
      <c r="I171" s="305">
        <v>40</v>
      </c>
      <c r="J171" s="114">
        <v>0.2</v>
      </c>
      <c r="K171" s="310" t="s">
        <v>81</v>
      </c>
      <c r="L171" s="298">
        <f t="shared" si="33"/>
        <v>0</v>
      </c>
      <c r="M171" s="282"/>
      <c r="N171" s="282"/>
      <c r="O171" s="287"/>
      <c r="P171" s="280"/>
    </row>
    <row r="172" spans="1:16" x14ac:dyDescent="0.2">
      <c r="A172" s="839"/>
      <c r="B172" s="282"/>
      <c r="C172" s="305">
        <v>25</v>
      </c>
      <c r="D172" s="114">
        <v>1.0000000000000001E-5</v>
      </c>
      <c r="E172" s="310" t="s">
        <v>81</v>
      </c>
      <c r="F172" s="298">
        <f t="shared" si="32"/>
        <v>0</v>
      </c>
      <c r="G172" s="282"/>
      <c r="H172" s="292"/>
      <c r="I172" s="305">
        <v>50</v>
      </c>
      <c r="J172" s="114">
        <v>0.2</v>
      </c>
      <c r="K172" s="310" t="s">
        <v>81</v>
      </c>
      <c r="L172" s="298">
        <f t="shared" si="33"/>
        <v>0</v>
      </c>
      <c r="M172" s="282"/>
      <c r="N172" s="282"/>
      <c r="O172" s="287"/>
      <c r="P172" s="280"/>
    </row>
    <row r="173" spans="1:16" x14ac:dyDescent="0.2">
      <c r="A173" s="839"/>
      <c r="B173" s="282"/>
      <c r="C173" s="306">
        <v>30</v>
      </c>
      <c r="D173" s="116">
        <v>-0.2</v>
      </c>
      <c r="E173" s="288" t="s">
        <v>81</v>
      </c>
      <c r="F173" s="298">
        <f t="shared" si="32"/>
        <v>0</v>
      </c>
      <c r="G173" s="282"/>
      <c r="H173" s="292"/>
      <c r="I173" s="306">
        <v>60</v>
      </c>
      <c r="J173" s="114">
        <v>1.0000000000000001E-5</v>
      </c>
      <c r="K173" s="288" t="s">
        <v>81</v>
      </c>
      <c r="L173" s="298">
        <f t="shared" si="33"/>
        <v>0</v>
      </c>
      <c r="M173" s="282"/>
      <c r="N173" s="282"/>
      <c r="O173" s="287"/>
      <c r="P173" s="280"/>
    </row>
    <row r="174" spans="1:16" x14ac:dyDescent="0.2">
      <c r="A174" s="839"/>
      <c r="B174" s="282"/>
      <c r="C174" s="306">
        <v>35</v>
      </c>
      <c r="D174" s="116">
        <v>-0.5</v>
      </c>
      <c r="E174" s="288" t="s">
        <v>81</v>
      </c>
      <c r="F174" s="298">
        <f t="shared" si="32"/>
        <v>0</v>
      </c>
      <c r="G174" s="282"/>
      <c r="H174" s="292"/>
      <c r="I174" s="306">
        <v>70</v>
      </c>
      <c r="J174" s="116">
        <v>-0.3</v>
      </c>
      <c r="K174" s="288" t="s">
        <v>81</v>
      </c>
      <c r="L174" s="298">
        <f t="shared" si="33"/>
        <v>0</v>
      </c>
      <c r="M174" s="282"/>
      <c r="N174" s="282"/>
      <c r="O174" s="287"/>
      <c r="P174" s="280"/>
    </row>
    <row r="175" spans="1:16" x14ac:dyDescent="0.2">
      <c r="A175" s="839"/>
      <c r="B175" s="282"/>
      <c r="C175" s="306">
        <v>37</v>
      </c>
      <c r="D175" s="116">
        <v>-0.6</v>
      </c>
      <c r="E175" s="288" t="s">
        <v>81</v>
      </c>
      <c r="F175" s="298">
        <f t="shared" si="32"/>
        <v>0</v>
      </c>
      <c r="G175" s="282"/>
      <c r="H175" s="292"/>
      <c r="I175" s="306">
        <v>80</v>
      </c>
      <c r="J175" s="116">
        <v>-0.8</v>
      </c>
      <c r="K175" s="288" t="s">
        <v>81</v>
      </c>
      <c r="L175" s="298">
        <f t="shared" si="33"/>
        <v>0</v>
      </c>
      <c r="M175" s="282"/>
      <c r="N175" s="282"/>
      <c r="O175" s="287"/>
      <c r="P175" s="280"/>
    </row>
    <row r="176" spans="1:16" ht="13.5" thickBot="1" x14ac:dyDescent="0.25">
      <c r="A176" s="840"/>
      <c r="B176" s="290"/>
      <c r="C176" s="307">
        <v>40</v>
      </c>
      <c r="D176" s="126">
        <v>-0.8</v>
      </c>
      <c r="E176" s="301" t="s">
        <v>81</v>
      </c>
      <c r="F176" s="299">
        <f t="shared" si="32"/>
        <v>0</v>
      </c>
      <c r="G176" s="290"/>
      <c r="H176" s="300"/>
      <c r="I176" s="307">
        <v>90</v>
      </c>
      <c r="J176" s="126">
        <v>-1.4</v>
      </c>
      <c r="K176" s="301" t="s">
        <v>81</v>
      </c>
      <c r="L176" s="299">
        <f t="shared" si="33"/>
        <v>0</v>
      </c>
      <c r="M176" s="290"/>
      <c r="N176" s="290"/>
      <c r="O176" s="313"/>
      <c r="P176" s="280"/>
    </row>
    <row r="177" spans="1:16" ht="13.5" thickBot="1" x14ac:dyDescent="0.25">
      <c r="A177" s="838">
        <v>17</v>
      </c>
      <c r="B177" s="841" t="s">
        <v>507</v>
      </c>
      <c r="C177" s="842"/>
      <c r="D177" s="842"/>
      <c r="E177" s="842"/>
      <c r="F177" s="843"/>
      <c r="G177" s="281"/>
      <c r="H177" s="841">
        <v>13</v>
      </c>
      <c r="I177" s="842"/>
      <c r="J177" s="842"/>
      <c r="K177" s="842"/>
      <c r="L177" s="843"/>
      <c r="M177" s="281"/>
      <c r="N177" s="826" t="s">
        <v>158</v>
      </c>
      <c r="O177" s="827"/>
      <c r="P177" s="280"/>
    </row>
    <row r="178" spans="1:16" ht="13.5" thickBot="1" x14ac:dyDescent="0.25">
      <c r="A178" s="839"/>
      <c r="B178" s="828" t="s">
        <v>487</v>
      </c>
      <c r="C178" s="829"/>
      <c r="D178" s="830" t="s">
        <v>252</v>
      </c>
      <c r="E178" s="831"/>
      <c r="F178" s="832" t="s">
        <v>488</v>
      </c>
      <c r="G178" s="282"/>
      <c r="H178" s="828" t="s">
        <v>489</v>
      </c>
      <c r="I178" s="829"/>
      <c r="J178" s="830" t="s">
        <v>252</v>
      </c>
      <c r="K178" s="831"/>
      <c r="L178" s="832" t="s">
        <v>488</v>
      </c>
      <c r="M178" s="282"/>
      <c r="N178" s="294" t="s">
        <v>487</v>
      </c>
      <c r="O178" s="129">
        <v>0.3</v>
      </c>
      <c r="P178" s="280"/>
    </row>
    <row r="179" spans="1:16" ht="15.75" thickBot="1" x14ac:dyDescent="0.25">
      <c r="A179" s="839"/>
      <c r="B179" s="834" t="s">
        <v>490</v>
      </c>
      <c r="C179" s="835"/>
      <c r="D179" s="119">
        <v>2020</v>
      </c>
      <c r="E179" s="247" t="s">
        <v>81</v>
      </c>
      <c r="F179" s="833"/>
      <c r="G179" s="282"/>
      <c r="H179" s="836" t="s">
        <v>491</v>
      </c>
      <c r="I179" s="837"/>
      <c r="J179" s="295">
        <f>D179</f>
        <v>2020</v>
      </c>
      <c r="K179" s="295" t="str">
        <f>E179</f>
        <v>-</v>
      </c>
      <c r="L179" s="833"/>
      <c r="M179" s="282"/>
      <c r="N179" s="296" t="s">
        <v>491</v>
      </c>
      <c r="O179" s="128">
        <v>1.6</v>
      </c>
      <c r="P179" s="280"/>
    </row>
    <row r="180" spans="1:16" x14ac:dyDescent="0.2">
      <c r="A180" s="839"/>
      <c r="B180" s="282"/>
      <c r="C180" s="304">
        <v>15</v>
      </c>
      <c r="D180" s="114">
        <v>1.0000000000000001E-5</v>
      </c>
      <c r="E180" s="309" t="s">
        <v>81</v>
      </c>
      <c r="F180" s="297">
        <f t="shared" ref="F180:F186" si="34">0.5*(MAX(D180:E180)-MIN(D180:E180))</f>
        <v>0</v>
      </c>
      <c r="G180" s="282"/>
      <c r="H180" s="292"/>
      <c r="I180" s="304">
        <v>30</v>
      </c>
      <c r="J180" s="122">
        <v>-0.4</v>
      </c>
      <c r="K180" s="309" t="s">
        <v>81</v>
      </c>
      <c r="L180" s="297">
        <f t="shared" ref="L180:L186" si="35">0.5*(MAX(J180:K180)-MIN(J180:K180))</f>
        <v>0</v>
      </c>
      <c r="M180" s="282"/>
      <c r="N180" s="282"/>
      <c r="O180" s="287"/>
      <c r="P180" s="280"/>
    </row>
    <row r="181" spans="1:16" x14ac:dyDescent="0.2">
      <c r="A181" s="839"/>
      <c r="B181" s="282"/>
      <c r="C181" s="305">
        <v>20</v>
      </c>
      <c r="D181" s="114">
        <v>-0.1</v>
      </c>
      <c r="E181" s="310" t="s">
        <v>81</v>
      </c>
      <c r="F181" s="298">
        <f t="shared" si="34"/>
        <v>0</v>
      </c>
      <c r="G181" s="282"/>
      <c r="H181" s="292"/>
      <c r="I181" s="305">
        <v>40</v>
      </c>
      <c r="J181" s="114">
        <v>-0.2</v>
      </c>
      <c r="K181" s="310" t="s">
        <v>81</v>
      </c>
      <c r="L181" s="298">
        <f t="shared" si="35"/>
        <v>0</v>
      </c>
      <c r="M181" s="282"/>
      <c r="N181" s="282"/>
      <c r="O181" s="287"/>
      <c r="P181" s="280"/>
    </row>
    <row r="182" spans="1:16" x14ac:dyDescent="0.2">
      <c r="A182" s="839"/>
      <c r="B182" s="282"/>
      <c r="C182" s="305">
        <v>25</v>
      </c>
      <c r="D182" s="114">
        <v>-0.2</v>
      </c>
      <c r="E182" s="310" t="s">
        <v>81</v>
      </c>
      <c r="F182" s="298">
        <f t="shared" si="34"/>
        <v>0</v>
      </c>
      <c r="G182" s="282"/>
      <c r="H182" s="292"/>
      <c r="I182" s="305">
        <v>50</v>
      </c>
      <c r="J182" s="114">
        <v>-0.2</v>
      </c>
      <c r="K182" s="310" t="s">
        <v>81</v>
      </c>
      <c r="L182" s="298">
        <f t="shared" si="35"/>
        <v>0</v>
      </c>
      <c r="M182" s="282"/>
      <c r="N182" s="282"/>
      <c r="O182" s="287"/>
      <c r="P182" s="280"/>
    </row>
    <row r="183" spans="1:16" x14ac:dyDescent="0.2">
      <c r="A183" s="839"/>
      <c r="B183" s="282"/>
      <c r="C183" s="306">
        <v>30</v>
      </c>
      <c r="D183" s="116">
        <v>-0.2</v>
      </c>
      <c r="E183" s="288" t="s">
        <v>81</v>
      </c>
      <c r="F183" s="298">
        <f t="shared" si="34"/>
        <v>0</v>
      </c>
      <c r="G183" s="282"/>
      <c r="H183" s="292"/>
      <c r="I183" s="306">
        <v>60</v>
      </c>
      <c r="J183" s="116">
        <v>-0.2</v>
      </c>
      <c r="K183" s="288" t="s">
        <v>81</v>
      </c>
      <c r="L183" s="298">
        <f t="shared" si="35"/>
        <v>0</v>
      </c>
      <c r="M183" s="282"/>
      <c r="N183" s="282"/>
      <c r="O183" s="287"/>
      <c r="P183" s="280"/>
    </row>
    <row r="184" spans="1:16" x14ac:dyDescent="0.2">
      <c r="A184" s="839"/>
      <c r="B184" s="282"/>
      <c r="C184" s="306">
        <v>35</v>
      </c>
      <c r="D184" s="116">
        <v>-0.3</v>
      </c>
      <c r="E184" s="288" t="s">
        <v>81</v>
      </c>
      <c r="F184" s="298">
        <f t="shared" si="34"/>
        <v>0</v>
      </c>
      <c r="G184" s="282"/>
      <c r="H184" s="292"/>
      <c r="I184" s="306">
        <v>70</v>
      </c>
      <c r="J184" s="116">
        <v>-0.3</v>
      </c>
      <c r="K184" s="288" t="s">
        <v>81</v>
      </c>
      <c r="L184" s="298">
        <f t="shared" si="35"/>
        <v>0</v>
      </c>
      <c r="M184" s="282"/>
      <c r="N184" s="282"/>
      <c r="O184" s="287"/>
      <c r="P184" s="280"/>
    </row>
    <row r="185" spans="1:16" x14ac:dyDescent="0.2">
      <c r="A185" s="839"/>
      <c r="B185" s="282"/>
      <c r="C185" s="306">
        <v>37</v>
      </c>
      <c r="D185" s="116">
        <v>-0.3</v>
      </c>
      <c r="E185" s="288" t="s">
        <v>81</v>
      </c>
      <c r="F185" s="298">
        <f t="shared" si="34"/>
        <v>0</v>
      </c>
      <c r="G185" s="282"/>
      <c r="H185" s="292"/>
      <c r="I185" s="306">
        <v>80</v>
      </c>
      <c r="J185" s="116">
        <v>-0.5</v>
      </c>
      <c r="K185" s="288" t="s">
        <v>81</v>
      </c>
      <c r="L185" s="298">
        <f t="shared" si="35"/>
        <v>0</v>
      </c>
      <c r="M185" s="282"/>
      <c r="N185" s="282"/>
      <c r="O185" s="287"/>
      <c r="P185" s="280"/>
    </row>
    <row r="186" spans="1:16" ht="13.5" thickBot="1" x14ac:dyDescent="0.25">
      <c r="A186" s="840"/>
      <c r="B186" s="290"/>
      <c r="C186" s="307">
        <v>40</v>
      </c>
      <c r="D186" s="126">
        <v>-0.4</v>
      </c>
      <c r="E186" s="301" t="s">
        <v>81</v>
      </c>
      <c r="F186" s="299">
        <f t="shared" si="34"/>
        <v>0</v>
      </c>
      <c r="G186" s="290"/>
      <c r="H186" s="300"/>
      <c r="I186" s="307">
        <v>90</v>
      </c>
      <c r="J186" s="126">
        <v>-0.8</v>
      </c>
      <c r="K186" s="301" t="s">
        <v>81</v>
      </c>
      <c r="L186" s="299">
        <f t="shared" si="35"/>
        <v>0</v>
      </c>
      <c r="M186" s="290"/>
      <c r="N186" s="290"/>
      <c r="O186" s="313"/>
      <c r="P186" s="280"/>
    </row>
    <row r="187" spans="1:16" ht="13.5" thickBot="1" x14ac:dyDescent="0.25">
      <c r="A187" s="838">
        <v>18</v>
      </c>
      <c r="B187" s="841" t="s">
        <v>508</v>
      </c>
      <c r="C187" s="842"/>
      <c r="D187" s="842"/>
      <c r="E187" s="842"/>
      <c r="F187" s="843"/>
      <c r="G187" s="281"/>
      <c r="H187" s="841" t="str">
        <f>B187</f>
        <v>KOREKSI Extech SD700/A.100586</v>
      </c>
      <c r="I187" s="842"/>
      <c r="J187" s="842"/>
      <c r="K187" s="842"/>
      <c r="L187" s="843"/>
      <c r="M187" s="281"/>
      <c r="N187" s="826" t="s">
        <v>158</v>
      </c>
      <c r="O187" s="827"/>
      <c r="P187" s="280"/>
    </row>
    <row r="188" spans="1:16" ht="13.5" thickBot="1" x14ac:dyDescent="0.25">
      <c r="A188" s="839"/>
      <c r="B188" s="828" t="s">
        <v>487</v>
      </c>
      <c r="C188" s="829"/>
      <c r="D188" s="830" t="s">
        <v>252</v>
      </c>
      <c r="E188" s="831"/>
      <c r="F188" s="832" t="s">
        <v>488</v>
      </c>
      <c r="G188" s="282"/>
      <c r="H188" s="828" t="s">
        <v>489</v>
      </c>
      <c r="I188" s="829"/>
      <c r="J188" s="830" t="s">
        <v>252</v>
      </c>
      <c r="K188" s="831"/>
      <c r="L188" s="832" t="s">
        <v>488</v>
      </c>
      <c r="M188" s="282"/>
      <c r="N188" s="294" t="s">
        <v>487</v>
      </c>
      <c r="O188" s="129">
        <v>0.3</v>
      </c>
      <c r="P188" s="280"/>
    </row>
    <row r="189" spans="1:16" ht="15.75" thickBot="1" x14ac:dyDescent="0.25">
      <c r="A189" s="839"/>
      <c r="B189" s="834" t="s">
        <v>490</v>
      </c>
      <c r="C189" s="835"/>
      <c r="D189" s="119">
        <v>2020</v>
      </c>
      <c r="E189" s="247" t="s">
        <v>81</v>
      </c>
      <c r="F189" s="833"/>
      <c r="G189" s="282"/>
      <c r="H189" s="836" t="s">
        <v>491</v>
      </c>
      <c r="I189" s="837"/>
      <c r="J189" s="295">
        <f>D189</f>
        <v>2020</v>
      </c>
      <c r="K189" s="295" t="str">
        <f>E189</f>
        <v>-</v>
      </c>
      <c r="L189" s="833"/>
      <c r="M189" s="282"/>
      <c r="N189" s="296" t="s">
        <v>491</v>
      </c>
      <c r="O189" s="128">
        <v>2</v>
      </c>
      <c r="P189" s="280"/>
    </row>
    <row r="190" spans="1:16" x14ac:dyDescent="0.2">
      <c r="A190" s="839"/>
      <c r="B190" s="282"/>
      <c r="C190" s="304">
        <v>15</v>
      </c>
      <c r="D190" s="114">
        <v>1.0000000000000001E-5</v>
      </c>
      <c r="E190" s="309" t="s">
        <v>81</v>
      </c>
      <c r="F190" s="297">
        <f t="shared" ref="F190:F196" si="36">0.5*(MAX(D190:E190)-MIN(D190:E190))</f>
        <v>0</v>
      </c>
      <c r="G190" s="282"/>
      <c r="H190" s="292"/>
      <c r="I190" s="304">
        <v>30</v>
      </c>
      <c r="J190" s="122">
        <v>-0.4</v>
      </c>
      <c r="K190" s="309" t="s">
        <v>81</v>
      </c>
      <c r="L190" s="297">
        <f t="shared" ref="L190:L196" si="37">0.5*(MAX(J190:K190)-MIN(J190:K190))</f>
        <v>0</v>
      </c>
      <c r="M190" s="282"/>
      <c r="N190" s="282"/>
      <c r="O190" s="287"/>
      <c r="P190" s="280"/>
    </row>
    <row r="191" spans="1:16" x14ac:dyDescent="0.2">
      <c r="A191" s="839"/>
      <c r="B191" s="282"/>
      <c r="C191" s="305">
        <v>20</v>
      </c>
      <c r="D191" s="114">
        <v>1.0000000000000001E-5</v>
      </c>
      <c r="E191" s="310" t="s">
        <v>81</v>
      </c>
      <c r="F191" s="298">
        <f t="shared" si="36"/>
        <v>0</v>
      </c>
      <c r="G191" s="282"/>
      <c r="H191" s="292"/>
      <c r="I191" s="305">
        <v>40</v>
      </c>
      <c r="J191" s="114">
        <v>-0.1</v>
      </c>
      <c r="K191" s="310" t="s">
        <v>81</v>
      </c>
      <c r="L191" s="298">
        <f t="shared" si="37"/>
        <v>0</v>
      </c>
      <c r="M191" s="282"/>
      <c r="N191" s="282"/>
      <c r="O191" s="287"/>
      <c r="P191" s="280"/>
    </row>
    <row r="192" spans="1:16" x14ac:dyDescent="0.2">
      <c r="A192" s="839"/>
      <c r="B192" s="282"/>
      <c r="C192" s="305">
        <v>25</v>
      </c>
      <c r="D192" s="114">
        <v>1.0000000000000001E-5</v>
      </c>
      <c r="E192" s="310" t="s">
        <v>81</v>
      </c>
      <c r="F192" s="298">
        <f t="shared" si="36"/>
        <v>0</v>
      </c>
      <c r="G192" s="282"/>
      <c r="H192" s="292"/>
      <c r="I192" s="305">
        <v>50</v>
      </c>
      <c r="J192" s="114">
        <v>1.0000000000000001E-5</v>
      </c>
      <c r="K192" s="310" t="s">
        <v>81</v>
      </c>
      <c r="L192" s="298">
        <f t="shared" si="37"/>
        <v>0</v>
      </c>
      <c r="M192" s="282"/>
      <c r="N192" s="282"/>
      <c r="O192" s="287"/>
      <c r="P192" s="280"/>
    </row>
    <row r="193" spans="1:16" x14ac:dyDescent="0.2">
      <c r="A193" s="839"/>
      <c r="B193" s="282"/>
      <c r="C193" s="306">
        <v>30</v>
      </c>
      <c r="D193" s="116">
        <v>-0.1</v>
      </c>
      <c r="E193" s="288" t="s">
        <v>81</v>
      </c>
      <c r="F193" s="298">
        <f t="shared" si="36"/>
        <v>0</v>
      </c>
      <c r="G193" s="282"/>
      <c r="H193" s="292"/>
      <c r="I193" s="306">
        <v>60</v>
      </c>
      <c r="J193" s="114">
        <v>1.0000000000000001E-5</v>
      </c>
      <c r="K193" s="288" t="s">
        <v>81</v>
      </c>
      <c r="L193" s="298">
        <f t="shared" si="37"/>
        <v>0</v>
      </c>
      <c r="M193" s="282"/>
      <c r="N193" s="282"/>
      <c r="O193" s="287"/>
      <c r="P193" s="280"/>
    </row>
    <row r="194" spans="1:16" x14ac:dyDescent="0.2">
      <c r="A194" s="839"/>
      <c r="B194" s="282"/>
      <c r="C194" s="306">
        <v>35</v>
      </c>
      <c r="D194" s="116">
        <v>-0.2</v>
      </c>
      <c r="E194" s="288" t="s">
        <v>81</v>
      </c>
      <c r="F194" s="298">
        <f t="shared" si="36"/>
        <v>0</v>
      </c>
      <c r="G194" s="282"/>
      <c r="H194" s="292"/>
      <c r="I194" s="306">
        <v>70</v>
      </c>
      <c r="J194" s="116">
        <v>-0.1</v>
      </c>
      <c r="K194" s="288" t="s">
        <v>81</v>
      </c>
      <c r="L194" s="298">
        <f t="shared" si="37"/>
        <v>0</v>
      </c>
      <c r="M194" s="282"/>
      <c r="N194" s="282"/>
      <c r="O194" s="287"/>
      <c r="P194" s="280"/>
    </row>
    <row r="195" spans="1:16" x14ac:dyDescent="0.2">
      <c r="A195" s="839"/>
      <c r="B195" s="282"/>
      <c r="C195" s="306">
        <v>37</v>
      </c>
      <c r="D195" s="116">
        <v>-0.3</v>
      </c>
      <c r="E195" s="288" t="s">
        <v>81</v>
      </c>
      <c r="F195" s="298">
        <f t="shared" si="36"/>
        <v>0</v>
      </c>
      <c r="G195" s="282"/>
      <c r="H195" s="292"/>
      <c r="I195" s="306">
        <v>80</v>
      </c>
      <c r="J195" s="116">
        <v>-0.5</v>
      </c>
      <c r="K195" s="288" t="s">
        <v>81</v>
      </c>
      <c r="L195" s="298">
        <f t="shared" si="37"/>
        <v>0</v>
      </c>
      <c r="M195" s="282"/>
      <c r="N195" s="282"/>
      <c r="O195" s="287"/>
      <c r="P195" s="280"/>
    </row>
    <row r="196" spans="1:16" ht="13.5" thickBot="1" x14ac:dyDescent="0.25">
      <c r="A196" s="840"/>
      <c r="B196" s="290"/>
      <c r="C196" s="307">
        <v>40</v>
      </c>
      <c r="D196" s="126">
        <v>-0.4</v>
      </c>
      <c r="E196" s="301" t="s">
        <v>81</v>
      </c>
      <c r="F196" s="299">
        <f t="shared" si="36"/>
        <v>0</v>
      </c>
      <c r="G196" s="290"/>
      <c r="H196" s="300"/>
      <c r="I196" s="307">
        <v>90</v>
      </c>
      <c r="J196" s="126">
        <v>-0.9</v>
      </c>
      <c r="K196" s="301" t="s">
        <v>81</v>
      </c>
      <c r="L196" s="299">
        <f t="shared" si="37"/>
        <v>0</v>
      </c>
      <c r="M196" s="290"/>
      <c r="N196" s="290"/>
      <c r="O196" s="313"/>
      <c r="P196" s="280"/>
    </row>
    <row r="197" spans="1:16" ht="13.5" thickBot="1" x14ac:dyDescent="0.25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0"/>
      <c r="P197" s="280"/>
    </row>
    <row r="198" spans="1:16" x14ac:dyDescent="0.2">
      <c r="A198" s="814" t="s">
        <v>29</v>
      </c>
      <c r="B198" s="816" t="s">
        <v>193</v>
      </c>
      <c r="C198" s="818" t="s">
        <v>509</v>
      </c>
      <c r="D198" s="818"/>
      <c r="E198" s="818"/>
      <c r="F198" s="818"/>
      <c r="G198" s="130"/>
      <c r="H198" s="819" t="s">
        <v>29</v>
      </c>
      <c r="I198" s="816" t="s">
        <v>193</v>
      </c>
      <c r="J198" s="818" t="s">
        <v>509</v>
      </c>
      <c r="K198" s="818"/>
      <c r="L198" s="818"/>
      <c r="M198" s="818"/>
      <c r="N198" s="131"/>
      <c r="O198" s="821" t="s">
        <v>158</v>
      </c>
      <c r="P198" s="822"/>
    </row>
    <row r="199" spans="1:16" ht="13.5" x14ac:dyDescent="0.2">
      <c r="A199" s="815"/>
      <c r="B199" s="817"/>
      <c r="C199" s="318" t="s">
        <v>487</v>
      </c>
      <c r="D199" s="823" t="s">
        <v>252</v>
      </c>
      <c r="E199" s="823"/>
      <c r="F199" s="823" t="s">
        <v>488</v>
      </c>
      <c r="G199" s="280"/>
      <c r="H199" s="820"/>
      <c r="I199" s="817"/>
      <c r="J199" s="318" t="s">
        <v>489</v>
      </c>
      <c r="K199" s="823" t="s">
        <v>252</v>
      </c>
      <c r="L199" s="823"/>
      <c r="M199" s="823" t="s">
        <v>488</v>
      </c>
      <c r="N199" s="280"/>
      <c r="O199" s="824" t="s">
        <v>487</v>
      </c>
      <c r="P199" s="825"/>
    </row>
    <row r="200" spans="1:16" ht="15" x14ac:dyDescent="0.2">
      <c r="A200" s="815"/>
      <c r="B200" s="817"/>
      <c r="C200" s="319" t="s">
        <v>510</v>
      </c>
      <c r="D200" s="318"/>
      <c r="E200" s="318"/>
      <c r="F200" s="823"/>
      <c r="G200" s="280"/>
      <c r="H200" s="820"/>
      <c r="I200" s="817"/>
      <c r="J200" s="319" t="s">
        <v>491</v>
      </c>
      <c r="K200" s="318"/>
      <c r="L200" s="318"/>
      <c r="M200" s="823"/>
      <c r="N200" s="280"/>
      <c r="O200" s="320">
        <v>1</v>
      </c>
      <c r="P200" s="321">
        <f>O3</f>
        <v>0.6</v>
      </c>
    </row>
    <row r="201" spans="1:16" x14ac:dyDescent="0.2">
      <c r="A201" s="803" t="s">
        <v>171</v>
      </c>
      <c r="B201" s="322">
        <v>1</v>
      </c>
      <c r="C201" s="323">
        <f>C5</f>
        <v>15</v>
      </c>
      <c r="D201" s="323">
        <f t="shared" ref="D201:F201" si="38">D5</f>
        <v>-0.5</v>
      </c>
      <c r="E201" s="323">
        <f t="shared" si="38"/>
        <v>0.3</v>
      </c>
      <c r="F201" s="323">
        <f t="shared" si="38"/>
        <v>0.4</v>
      </c>
      <c r="G201" s="280"/>
      <c r="H201" s="804" t="s">
        <v>171</v>
      </c>
      <c r="I201" s="322">
        <v>1</v>
      </c>
      <c r="J201" s="323">
        <f>I5</f>
        <v>35</v>
      </c>
      <c r="K201" s="323">
        <f t="shared" ref="K201:M201" si="39">J5</f>
        <v>-6</v>
      </c>
      <c r="L201" s="323">
        <f t="shared" si="39"/>
        <v>1.0000000000000001E-5</v>
      </c>
      <c r="M201" s="323">
        <f t="shared" si="39"/>
        <v>3.0000049999999998</v>
      </c>
      <c r="N201" s="280"/>
      <c r="O201" s="324">
        <v>2</v>
      </c>
      <c r="P201" s="325">
        <f>O14</f>
        <v>0.3</v>
      </c>
    </row>
    <row r="202" spans="1:16" x14ac:dyDescent="0.2">
      <c r="A202" s="803"/>
      <c r="B202" s="322">
        <v>2</v>
      </c>
      <c r="C202" s="323">
        <f>C16</f>
        <v>15</v>
      </c>
      <c r="D202" s="323">
        <f t="shared" ref="D202:F202" si="40">D16</f>
        <v>1.0000000000000001E-5</v>
      </c>
      <c r="E202" s="323">
        <f t="shared" si="40"/>
        <v>0.5</v>
      </c>
      <c r="F202" s="323">
        <f t="shared" si="40"/>
        <v>0.24999499999999999</v>
      </c>
      <c r="G202" s="280"/>
      <c r="H202" s="804"/>
      <c r="I202" s="322">
        <v>2</v>
      </c>
      <c r="J202" s="323">
        <f>I16</f>
        <v>35</v>
      </c>
      <c r="K202" s="323">
        <f t="shared" ref="K202:M202" si="41">J16</f>
        <v>-1.6</v>
      </c>
      <c r="L202" s="323">
        <f t="shared" si="41"/>
        <v>-0.9</v>
      </c>
      <c r="M202" s="323">
        <f t="shared" si="41"/>
        <v>0.35000000000000003</v>
      </c>
      <c r="N202" s="280"/>
      <c r="O202" s="324">
        <v>3</v>
      </c>
      <c r="P202" s="326">
        <f>O25</f>
        <v>0.3</v>
      </c>
    </row>
    <row r="203" spans="1:16" x14ac:dyDescent="0.2">
      <c r="A203" s="803"/>
      <c r="B203" s="322">
        <v>3</v>
      </c>
      <c r="C203" s="323">
        <f>C27</f>
        <v>15</v>
      </c>
      <c r="D203" s="323">
        <f t="shared" ref="D203:F203" si="42">D27</f>
        <v>1.0000000000000001E-5</v>
      </c>
      <c r="E203" s="323">
        <f t="shared" si="42"/>
        <v>0.2</v>
      </c>
      <c r="F203" s="323">
        <f t="shared" si="42"/>
        <v>9.9995000000000001E-2</v>
      </c>
      <c r="G203" s="280"/>
      <c r="H203" s="804"/>
      <c r="I203" s="322">
        <v>3</v>
      </c>
      <c r="J203" s="323">
        <f>I27</f>
        <v>30</v>
      </c>
      <c r="K203" s="323">
        <f t="shared" ref="K203:M203" si="43">J27</f>
        <v>-5.7</v>
      </c>
      <c r="L203" s="323">
        <f t="shared" si="43"/>
        <v>-1.1000000000000001</v>
      </c>
      <c r="M203" s="323">
        <f t="shared" si="43"/>
        <v>2.2999999999999998</v>
      </c>
      <c r="N203" s="280"/>
      <c r="O203" s="324">
        <v>4</v>
      </c>
      <c r="P203" s="326">
        <f>O36</f>
        <v>0.6</v>
      </c>
    </row>
    <row r="204" spans="1:16" x14ac:dyDescent="0.2">
      <c r="A204" s="803"/>
      <c r="B204" s="322">
        <v>4</v>
      </c>
      <c r="C204" s="327">
        <f>C38</f>
        <v>15</v>
      </c>
      <c r="D204" s="327">
        <f t="shared" ref="D204:F204" si="44">D38</f>
        <v>-0.1</v>
      </c>
      <c r="E204" s="327">
        <f t="shared" si="44"/>
        <v>0.4</v>
      </c>
      <c r="F204" s="327">
        <f t="shared" si="44"/>
        <v>0.25</v>
      </c>
      <c r="G204" s="280"/>
      <c r="H204" s="804"/>
      <c r="I204" s="322">
        <v>4</v>
      </c>
      <c r="J204" s="327">
        <f>I38</f>
        <v>35</v>
      </c>
      <c r="K204" s="327">
        <f t="shared" ref="K204:M204" si="45">J38</f>
        <v>-1.7</v>
      </c>
      <c r="L204" s="327">
        <f t="shared" si="45"/>
        <v>-0.8</v>
      </c>
      <c r="M204" s="327">
        <f t="shared" si="45"/>
        <v>0.44999999999999996</v>
      </c>
      <c r="N204" s="280"/>
      <c r="O204" s="324">
        <v>5</v>
      </c>
      <c r="P204" s="326">
        <f>O47</f>
        <v>0.3</v>
      </c>
    </row>
    <row r="205" spans="1:16" x14ac:dyDescent="0.2">
      <c r="A205" s="803"/>
      <c r="B205" s="322">
        <v>5</v>
      </c>
      <c r="C205" s="327">
        <f>C49</f>
        <v>15</v>
      </c>
      <c r="D205" s="327">
        <f t="shared" ref="D205:F205" si="46">D49</f>
        <v>0.3</v>
      </c>
      <c r="E205" s="327">
        <f t="shared" si="46"/>
        <v>0.4</v>
      </c>
      <c r="F205" s="327">
        <f t="shared" si="46"/>
        <v>5.0000000000000017E-2</v>
      </c>
      <c r="G205" s="280"/>
      <c r="H205" s="804"/>
      <c r="I205" s="322">
        <v>5</v>
      </c>
      <c r="J205" s="327">
        <f>I49</f>
        <v>35</v>
      </c>
      <c r="K205" s="327">
        <f t="shared" ref="K205:M205" si="47">J49</f>
        <v>-9.6</v>
      </c>
      <c r="L205" s="327">
        <f t="shared" si="47"/>
        <v>-1.6</v>
      </c>
      <c r="M205" s="327">
        <f t="shared" si="47"/>
        <v>4</v>
      </c>
      <c r="N205" s="280"/>
      <c r="O205" s="320">
        <v>6</v>
      </c>
      <c r="P205" s="321">
        <f>O58</f>
        <v>0.5</v>
      </c>
    </row>
    <row r="206" spans="1:16" x14ac:dyDescent="0.2">
      <c r="A206" s="803"/>
      <c r="B206" s="322">
        <v>6</v>
      </c>
      <c r="C206" s="327">
        <f>C60</f>
        <v>15</v>
      </c>
      <c r="D206" s="327">
        <f t="shared" ref="D206:F206" si="48">D60</f>
        <v>0.4</v>
      </c>
      <c r="E206" s="327">
        <f t="shared" si="48"/>
        <v>-0.2</v>
      </c>
      <c r="F206" s="327">
        <f t="shared" si="48"/>
        <v>0.30000000000000004</v>
      </c>
      <c r="G206" s="280"/>
      <c r="H206" s="804"/>
      <c r="I206" s="322">
        <v>6</v>
      </c>
      <c r="J206" s="327">
        <f>I60</f>
        <v>30</v>
      </c>
      <c r="K206" s="327">
        <f t="shared" ref="K206:M206" si="49">J60</f>
        <v>1.7</v>
      </c>
      <c r="L206" s="327">
        <f t="shared" si="49"/>
        <v>-4.9000000000000004</v>
      </c>
      <c r="M206" s="327">
        <f t="shared" si="49"/>
        <v>3.3000000000000003</v>
      </c>
      <c r="N206" s="280"/>
      <c r="O206" s="320">
        <v>7</v>
      </c>
      <c r="P206" s="321">
        <f>O69</f>
        <v>0.3</v>
      </c>
    </row>
    <row r="207" spans="1:16" x14ac:dyDescent="0.2">
      <c r="A207" s="803"/>
      <c r="B207" s="322">
        <v>7</v>
      </c>
      <c r="C207" s="327">
        <f>C71</f>
        <v>15</v>
      </c>
      <c r="D207" s="327">
        <f t="shared" ref="D207:F207" si="50">D71</f>
        <v>0.3</v>
      </c>
      <c r="E207" s="327">
        <f t="shared" si="50"/>
        <v>0.2</v>
      </c>
      <c r="F207" s="327">
        <f t="shared" si="50"/>
        <v>4.9999999999999989E-2</v>
      </c>
      <c r="G207" s="280"/>
      <c r="H207" s="804"/>
      <c r="I207" s="322">
        <v>7</v>
      </c>
      <c r="J207" s="327">
        <f>I71</f>
        <v>30</v>
      </c>
      <c r="K207" s="327">
        <f t="shared" ref="K207:M207" si="51">J71</f>
        <v>1.8</v>
      </c>
      <c r="L207" s="327">
        <f t="shared" si="51"/>
        <v>-0.1</v>
      </c>
      <c r="M207" s="327">
        <f t="shared" si="51"/>
        <v>0.95000000000000007</v>
      </c>
      <c r="N207" s="280"/>
      <c r="O207" s="320">
        <v>8</v>
      </c>
      <c r="P207" s="321">
        <f>O80</f>
        <v>0.3</v>
      </c>
    </row>
    <row r="208" spans="1:16" x14ac:dyDescent="0.2">
      <c r="A208" s="803"/>
      <c r="B208" s="322">
        <v>8</v>
      </c>
      <c r="C208" s="327">
        <f>C82</f>
        <v>15</v>
      </c>
      <c r="D208" s="327">
        <f t="shared" ref="D208:F208" si="52">D82</f>
        <v>1.0000000000000001E-5</v>
      </c>
      <c r="E208" s="327">
        <f t="shared" si="52"/>
        <v>-0.2</v>
      </c>
      <c r="F208" s="327">
        <f t="shared" si="52"/>
        <v>0.10000500000000001</v>
      </c>
      <c r="G208" s="280"/>
      <c r="H208" s="804"/>
      <c r="I208" s="322">
        <v>8</v>
      </c>
      <c r="J208" s="327">
        <f>I82</f>
        <v>30</v>
      </c>
      <c r="K208" s="327">
        <f t="shared" ref="K208:M208" si="53">J82</f>
        <v>-1.4</v>
      </c>
      <c r="L208" s="327">
        <f t="shared" si="53"/>
        <v>1</v>
      </c>
      <c r="M208" s="327">
        <f t="shared" si="53"/>
        <v>1.2</v>
      </c>
      <c r="N208" s="280"/>
      <c r="O208" s="320">
        <v>9</v>
      </c>
      <c r="P208" s="321">
        <f>O91</f>
        <v>0.3</v>
      </c>
    </row>
    <row r="209" spans="1:16" x14ac:dyDescent="0.2">
      <c r="A209" s="803"/>
      <c r="B209" s="322">
        <v>9</v>
      </c>
      <c r="C209" s="327">
        <f>C93</f>
        <v>15</v>
      </c>
      <c r="D209" s="327">
        <f t="shared" ref="D209:F209" si="54">D93</f>
        <v>1.0000000000000001E-5</v>
      </c>
      <c r="E209" s="327" t="str">
        <f t="shared" si="54"/>
        <v>-</v>
      </c>
      <c r="F209" s="327">
        <f t="shared" si="54"/>
        <v>0</v>
      </c>
      <c r="G209" s="280"/>
      <c r="H209" s="804"/>
      <c r="I209" s="322">
        <v>9</v>
      </c>
      <c r="J209" s="327">
        <f>I93</f>
        <v>30</v>
      </c>
      <c r="K209" s="327">
        <f t="shared" ref="K209:M209" si="55">J93</f>
        <v>-1.2</v>
      </c>
      <c r="L209" s="327" t="str">
        <f t="shared" si="55"/>
        <v>-</v>
      </c>
      <c r="M209" s="327">
        <f t="shared" si="55"/>
        <v>0</v>
      </c>
      <c r="N209" s="280"/>
      <c r="O209" s="320">
        <v>10</v>
      </c>
      <c r="P209" s="321">
        <f>O102</f>
        <v>0.3</v>
      </c>
    </row>
    <row r="210" spans="1:16" x14ac:dyDescent="0.2">
      <c r="A210" s="803"/>
      <c r="B210" s="322">
        <v>10</v>
      </c>
      <c r="C210" s="327">
        <f>C104</f>
        <v>15</v>
      </c>
      <c r="D210" s="327">
        <f t="shared" ref="D210:F210" si="56">D104</f>
        <v>0.2</v>
      </c>
      <c r="E210" s="327">
        <f t="shared" si="56"/>
        <v>0.2</v>
      </c>
      <c r="F210" s="327">
        <f t="shared" si="56"/>
        <v>0</v>
      </c>
      <c r="G210" s="280"/>
      <c r="H210" s="804"/>
      <c r="I210" s="322">
        <v>10</v>
      </c>
      <c r="J210" s="327">
        <f>I104</f>
        <v>30</v>
      </c>
      <c r="K210" s="327">
        <f t="shared" ref="K210:M210" si="57">J104</f>
        <v>-2.9</v>
      </c>
      <c r="L210" s="327">
        <f t="shared" si="57"/>
        <v>-5.8</v>
      </c>
      <c r="M210" s="327">
        <f t="shared" si="57"/>
        <v>1.45</v>
      </c>
      <c r="N210" s="280"/>
      <c r="O210" s="320">
        <v>11</v>
      </c>
      <c r="P210" s="321">
        <f>O113</f>
        <v>0.3</v>
      </c>
    </row>
    <row r="211" spans="1:16" x14ac:dyDescent="0.2">
      <c r="A211" s="803"/>
      <c r="B211" s="322">
        <v>11</v>
      </c>
      <c r="C211" s="327">
        <f>C115</f>
        <v>15</v>
      </c>
      <c r="D211" s="327">
        <f t="shared" ref="D211:F211" si="58">D115</f>
        <v>0.3</v>
      </c>
      <c r="E211" s="327" t="str">
        <f t="shared" si="58"/>
        <v>-</v>
      </c>
      <c r="F211" s="327">
        <f t="shared" si="58"/>
        <v>0</v>
      </c>
      <c r="G211" s="280"/>
      <c r="H211" s="804"/>
      <c r="I211" s="322">
        <v>11</v>
      </c>
      <c r="J211" s="327">
        <f>I115</f>
        <v>30</v>
      </c>
      <c r="K211" s="327">
        <f t="shared" ref="K211:M211" si="59">J115</f>
        <v>-5.2</v>
      </c>
      <c r="L211" s="327" t="str">
        <f t="shared" si="59"/>
        <v>-</v>
      </c>
      <c r="M211" s="327">
        <f t="shared" si="59"/>
        <v>0</v>
      </c>
      <c r="N211" s="280"/>
      <c r="O211" s="320">
        <v>12</v>
      </c>
      <c r="P211" s="321">
        <f>O124</f>
        <v>0.4</v>
      </c>
    </row>
    <row r="212" spans="1:16" x14ac:dyDescent="0.2">
      <c r="A212" s="803"/>
      <c r="B212" s="322">
        <v>12</v>
      </c>
      <c r="C212" s="327">
        <f>C126</f>
        <v>15</v>
      </c>
      <c r="D212" s="327">
        <f t="shared" ref="D212:F212" si="60">D126</f>
        <v>-2</v>
      </c>
      <c r="E212" s="327" t="str">
        <f t="shared" si="60"/>
        <v>-</v>
      </c>
      <c r="F212" s="327">
        <f t="shared" si="60"/>
        <v>0</v>
      </c>
      <c r="G212" s="280"/>
      <c r="H212" s="804"/>
      <c r="I212" s="322">
        <v>12</v>
      </c>
      <c r="J212" s="327">
        <f>I126</f>
        <v>30</v>
      </c>
      <c r="K212" s="327">
        <f t="shared" ref="K212:M212" si="61">J126</f>
        <v>1</v>
      </c>
      <c r="L212" s="327" t="str">
        <f t="shared" si="61"/>
        <v>-</v>
      </c>
      <c r="M212" s="327">
        <f t="shared" si="61"/>
        <v>0</v>
      </c>
      <c r="N212" s="280"/>
      <c r="O212" s="320">
        <v>13</v>
      </c>
      <c r="P212" s="321">
        <f>O135</f>
        <v>0.3</v>
      </c>
    </row>
    <row r="213" spans="1:16" x14ac:dyDescent="0.2">
      <c r="A213" s="803"/>
      <c r="B213" s="322">
        <v>13</v>
      </c>
      <c r="C213" s="327">
        <f>C137</f>
        <v>15</v>
      </c>
      <c r="D213" s="327">
        <f t="shared" ref="D213:F213" si="62">D137</f>
        <v>-0.7</v>
      </c>
      <c r="E213" s="327" t="str">
        <f t="shared" si="62"/>
        <v>-</v>
      </c>
      <c r="F213" s="327">
        <f t="shared" si="62"/>
        <v>0</v>
      </c>
      <c r="G213" s="280"/>
      <c r="H213" s="804"/>
      <c r="I213" s="322">
        <v>13</v>
      </c>
      <c r="J213" s="327">
        <f>I137</f>
        <v>30</v>
      </c>
      <c r="K213" s="327">
        <f t="shared" ref="K213:M213" si="63">J137</f>
        <v>-1.5</v>
      </c>
      <c r="L213" s="327" t="str">
        <f t="shared" si="63"/>
        <v>-</v>
      </c>
      <c r="M213" s="327">
        <f t="shared" si="63"/>
        <v>0</v>
      </c>
      <c r="N213" s="280"/>
      <c r="O213" s="320">
        <v>14</v>
      </c>
      <c r="P213" s="321">
        <f>O146</f>
        <v>0.3</v>
      </c>
    </row>
    <row r="214" spans="1:16" x14ac:dyDescent="0.2">
      <c r="A214" s="803"/>
      <c r="B214" s="322">
        <v>14</v>
      </c>
      <c r="C214" s="327">
        <f>C148</f>
        <v>15</v>
      </c>
      <c r="D214" s="327">
        <f t="shared" ref="D214:F214" si="64">D148</f>
        <v>-0.6</v>
      </c>
      <c r="E214" s="327" t="str">
        <f t="shared" si="64"/>
        <v>-</v>
      </c>
      <c r="F214" s="327">
        <f t="shared" si="64"/>
        <v>0</v>
      </c>
      <c r="G214" s="280"/>
      <c r="H214" s="804"/>
      <c r="I214" s="322">
        <v>14</v>
      </c>
      <c r="J214" s="327">
        <f>I148</f>
        <v>30</v>
      </c>
      <c r="K214" s="327">
        <f t="shared" ref="K214:M214" si="65">J148</f>
        <v>-0.5</v>
      </c>
      <c r="L214" s="327" t="str">
        <f t="shared" si="65"/>
        <v>-</v>
      </c>
      <c r="M214" s="327">
        <f t="shared" si="65"/>
        <v>0</v>
      </c>
      <c r="N214" s="280"/>
      <c r="O214" s="320">
        <v>15</v>
      </c>
      <c r="P214" s="321">
        <f>O157</f>
        <v>0.4</v>
      </c>
    </row>
    <row r="215" spans="1:16" x14ac:dyDescent="0.2">
      <c r="A215" s="803"/>
      <c r="B215" s="322">
        <v>15</v>
      </c>
      <c r="C215" s="327">
        <f>C159</f>
        <v>15</v>
      </c>
      <c r="D215" s="327">
        <f t="shared" ref="D215:F215" si="66">D159</f>
        <v>0.1</v>
      </c>
      <c r="E215" s="327" t="str">
        <f t="shared" si="66"/>
        <v>-</v>
      </c>
      <c r="F215" s="327">
        <f t="shared" si="66"/>
        <v>0</v>
      </c>
      <c r="G215" s="280"/>
      <c r="H215" s="804"/>
      <c r="I215" s="322">
        <v>15</v>
      </c>
      <c r="J215" s="327">
        <f>I159</f>
        <v>30</v>
      </c>
      <c r="K215" s="327">
        <f t="shared" ref="K215:M215" si="67">J159</f>
        <v>-1.6</v>
      </c>
      <c r="L215" s="327" t="str">
        <f t="shared" si="67"/>
        <v>-</v>
      </c>
      <c r="M215" s="327">
        <f t="shared" si="67"/>
        <v>0</v>
      </c>
      <c r="N215" s="280"/>
      <c r="O215" s="320">
        <v>16</v>
      </c>
      <c r="P215" s="321">
        <f>O168</f>
        <v>0.3</v>
      </c>
    </row>
    <row r="216" spans="1:16" x14ac:dyDescent="0.2">
      <c r="A216" s="803"/>
      <c r="B216" s="322">
        <v>16</v>
      </c>
      <c r="C216" s="327">
        <f>C170</f>
        <v>15</v>
      </c>
      <c r="D216" s="327">
        <f t="shared" ref="D216:F216" si="68">D170</f>
        <v>0.1</v>
      </c>
      <c r="E216" s="327" t="str">
        <f t="shared" si="68"/>
        <v>-</v>
      </c>
      <c r="F216" s="327">
        <f t="shared" si="68"/>
        <v>0</v>
      </c>
      <c r="G216" s="280"/>
      <c r="H216" s="804"/>
      <c r="I216" s="322">
        <v>16</v>
      </c>
      <c r="J216" s="327">
        <f>I170</f>
        <v>30</v>
      </c>
      <c r="K216" s="327">
        <f t="shared" ref="K216:M216" si="69">J170</f>
        <v>0.1</v>
      </c>
      <c r="L216" s="327" t="str">
        <f t="shared" si="69"/>
        <v>-</v>
      </c>
      <c r="M216" s="327">
        <f t="shared" si="69"/>
        <v>0</v>
      </c>
      <c r="N216" s="280"/>
      <c r="O216" s="320">
        <v>17</v>
      </c>
      <c r="P216" s="321">
        <f>O178</f>
        <v>0.3</v>
      </c>
    </row>
    <row r="217" spans="1:16" x14ac:dyDescent="0.2">
      <c r="A217" s="803"/>
      <c r="B217" s="322">
        <v>17</v>
      </c>
      <c r="C217" s="327">
        <f>C180</f>
        <v>15</v>
      </c>
      <c r="D217" s="327">
        <f t="shared" ref="D217:F217" si="70">D180</f>
        <v>1.0000000000000001E-5</v>
      </c>
      <c r="E217" s="327" t="str">
        <f t="shared" si="70"/>
        <v>-</v>
      </c>
      <c r="F217" s="327">
        <f t="shared" si="70"/>
        <v>0</v>
      </c>
      <c r="G217" s="280"/>
      <c r="H217" s="804"/>
      <c r="I217" s="322">
        <v>17</v>
      </c>
      <c r="J217" s="327">
        <f>I180</f>
        <v>30</v>
      </c>
      <c r="K217" s="327">
        <f t="shared" ref="K217:M217" si="71">J180</f>
        <v>-0.4</v>
      </c>
      <c r="L217" s="327" t="str">
        <f t="shared" si="71"/>
        <v>-</v>
      </c>
      <c r="M217" s="327">
        <f t="shared" si="71"/>
        <v>0</v>
      </c>
      <c r="N217" s="280"/>
      <c r="O217" s="320">
        <v>18</v>
      </c>
      <c r="P217" s="321">
        <f>O188</f>
        <v>0.3</v>
      </c>
    </row>
    <row r="218" spans="1:16" x14ac:dyDescent="0.2">
      <c r="A218" s="803"/>
      <c r="B218" s="322">
        <v>18</v>
      </c>
      <c r="C218" s="327">
        <f>C190</f>
        <v>15</v>
      </c>
      <c r="D218" s="327">
        <f t="shared" ref="D218:F218" si="72">D190</f>
        <v>1.0000000000000001E-5</v>
      </c>
      <c r="E218" s="327" t="str">
        <f t="shared" si="72"/>
        <v>-</v>
      </c>
      <c r="F218" s="327">
        <f t="shared" si="72"/>
        <v>0</v>
      </c>
      <c r="G218" s="280"/>
      <c r="H218" s="804"/>
      <c r="I218" s="322">
        <v>18</v>
      </c>
      <c r="J218" s="327">
        <f>I190</f>
        <v>30</v>
      </c>
      <c r="K218" s="327">
        <f t="shared" ref="K218:M218" si="73">J190</f>
        <v>-0.4</v>
      </c>
      <c r="L218" s="327" t="str">
        <f t="shared" si="73"/>
        <v>-</v>
      </c>
      <c r="M218" s="327">
        <f t="shared" si="73"/>
        <v>0</v>
      </c>
      <c r="N218" s="280"/>
      <c r="O218" s="328"/>
      <c r="P218" s="328"/>
    </row>
    <row r="219" spans="1:16" x14ac:dyDescent="0.2">
      <c r="A219" s="133"/>
      <c r="B219" s="134"/>
      <c r="C219" s="135"/>
      <c r="D219" s="135"/>
      <c r="E219" s="135"/>
      <c r="F219" s="136"/>
      <c r="G219" s="109"/>
      <c r="H219" s="277"/>
      <c r="I219" s="277"/>
      <c r="J219" s="132"/>
      <c r="K219" s="132"/>
      <c r="L219" s="132"/>
      <c r="M219" s="132"/>
      <c r="N219" s="109"/>
      <c r="O219" s="328"/>
      <c r="P219" s="328"/>
    </row>
    <row r="220" spans="1:16" x14ac:dyDescent="0.2">
      <c r="A220" s="803" t="s">
        <v>173</v>
      </c>
      <c r="B220" s="322">
        <v>1</v>
      </c>
      <c r="C220" s="327">
        <f>C6</f>
        <v>20</v>
      </c>
      <c r="D220" s="327">
        <f t="shared" ref="D220:F220" si="74">D6</f>
        <v>-0.2</v>
      </c>
      <c r="E220" s="327">
        <f t="shared" si="74"/>
        <v>0.2</v>
      </c>
      <c r="F220" s="327">
        <f t="shared" si="74"/>
        <v>0.2</v>
      </c>
      <c r="G220" s="280"/>
      <c r="H220" s="804" t="s">
        <v>173</v>
      </c>
      <c r="I220" s="322">
        <v>1</v>
      </c>
      <c r="J220" s="327">
        <f>I6</f>
        <v>40</v>
      </c>
      <c r="K220" s="327">
        <f t="shared" ref="K220:M220" si="75">J50</f>
        <v>-8</v>
      </c>
      <c r="L220" s="327">
        <f t="shared" si="75"/>
        <v>-1.8</v>
      </c>
      <c r="M220" s="327">
        <f t="shared" si="75"/>
        <v>3.1</v>
      </c>
      <c r="N220" s="280"/>
      <c r="O220" s="810" t="s">
        <v>158</v>
      </c>
      <c r="P220" s="811"/>
    </row>
    <row r="221" spans="1:16" x14ac:dyDescent="0.2">
      <c r="A221" s="803"/>
      <c r="B221" s="322">
        <v>2</v>
      </c>
      <c r="C221" s="327">
        <f>C17</f>
        <v>20</v>
      </c>
      <c r="D221" s="327">
        <f t="shared" ref="D221:F221" si="76">D17</f>
        <v>-0.1</v>
      </c>
      <c r="E221" s="327">
        <f t="shared" si="76"/>
        <v>1.0000000000000001E-5</v>
      </c>
      <c r="F221" s="327">
        <f t="shared" si="76"/>
        <v>5.0005000000000001E-2</v>
      </c>
      <c r="G221" s="280"/>
      <c r="H221" s="804"/>
      <c r="I221" s="322">
        <v>2</v>
      </c>
      <c r="J221" s="327">
        <f>I17</f>
        <v>40</v>
      </c>
      <c r="K221" s="327">
        <f t="shared" ref="K221:M221" si="77">J17</f>
        <v>-1.6</v>
      </c>
      <c r="L221" s="327">
        <f t="shared" si="77"/>
        <v>-1.1000000000000001</v>
      </c>
      <c r="M221" s="327">
        <f t="shared" si="77"/>
        <v>0.25</v>
      </c>
      <c r="N221" s="280"/>
      <c r="O221" s="812" t="s">
        <v>489</v>
      </c>
      <c r="P221" s="813"/>
    </row>
    <row r="222" spans="1:16" x14ac:dyDescent="0.2">
      <c r="A222" s="803"/>
      <c r="B222" s="322">
        <v>3</v>
      </c>
      <c r="C222" s="323">
        <f>C28</f>
        <v>20</v>
      </c>
      <c r="D222" s="323">
        <f t="shared" ref="D222:F222" si="78">D28</f>
        <v>1.0000000000000001E-5</v>
      </c>
      <c r="E222" s="323">
        <f t="shared" si="78"/>
        <v>1.0000000000000001E-5</v>
      </c>
      <c r="F222" s="323">
        <f t="shared" si="78"/>
        <v>0</v>
      </c>
      <c r="G222" s="280"/>
      <c r="H222" s="804"/>
      <c r="I222" s="322">
        <v>3</v>
      </c>
      <c r="J222" s="323">
        <f>I28</f>
        <v>40</v>
      </c>
      <c r="K222" s="323">
        <f t="shared" ref="K222:M222" si="79">J28</f>
        <v>-5.3</v>
      </c>
      <c r="L222" s="323">
        <f t="shared" si="79"/>
        <v>-1.9</v>
      </c>
      <c r="M222" s="323">
        <f t="shared" si="79"/>
        <v>1.7</v>
      </c>
      <c r="N222" s="280"/>
      <c r="O222" s="320">
        <v>1</v>
      </c>
      <c r="P222" s="321">
        <f>O4</f>
        <v>3.1</v>
      </c>
    </row>
    <row r="223" spans="1:16" x14ac:dyDescent="0.2">
      <c r="A223" s="803"/>
      <c r="B223" s="322">
        <v>4</v>
      </c>
      <c r="C223" s="323">
        <f>C39</f>
        <v>20</v>
      </c>
      <c r="D223" s="323">
        <f t="shared" ref="D223:F223" si="80">D39</f>
        <v>-0.3</v>
      </c>
      <c r="E223" s="323">
        <f t="shared" si="80"/>
        <v>1.0000000000000001E-5</v>
      </c>
      <c r="F223" s="323">
        <f t="shared" si="80"/>
        <v>0.150005</v>
      </c>
      <c r="G223" s="280"/>
      <c r="H223" s="804"/>
      <c r="I223" s="322">
        <v>4</v>
      </c>
      <c r="J223" s="323">
        <f>I39</f>
        <v>40</v>
      </c>
      <c r="K223" s="323">
        <f t="shared" ref="K223:M223" si="81">J39</f>
        <v>-1.5</v>
      </c>
      <c r="L223" s="323">
        <f t="shared" si="81"/>
        <v>-0.9</v>
      </c>
      <c r="M223" s="323">
        <f t="shared" si="81"/>
        <v>0.3</v>
      </c>
      <c r="N223" s="280"/>
      <c r="O223" s="324">
        <v>2</v>
      </c>
      <c r="P223" s="325">
        <f>O15</f>
        <v>3.3</v>
      </c>
    </row>
    <row r="224" spans="1:16" x14ac:dyDescent="0.2">
      <c r="A224" s="803"/>
      <c r="B224" s="322">
        <v>5</v>
      </c>
      <c r="C224" s="323">
        <f>C50</f>
        <v>20</v>
      </c>
      <c r="D224" s="323">
        <f t="shared" ref="D224:F224" si="82">D50</f>
        <v>0.3</v>
      </c>
      <c r="E224" s="323">
        <f t="shared" si="82"/>
        <v>1.0000000000000001E-5</v>
      </c>
      <c r="F224" s="323">
        <f t="shared" si="82"/>
        <v>0.14999499999999999</v>
      </c>
      <c r="G224" s="280"/>
      <c r="H224" s="804"/>
      <c r="I224" s="322">
        <v>5</v>
      </c>
      <c r="J224" s="323">
        <f>I50</f>
        <v>40</v>
      </c>
      <c r="K224" s="323">
        <f t="shared" ref="K224:M224" si="83">J50</f>
        <v>-8</v>
      </c>
      <c r="L224" s="323">
        <f t="shared" si="83"/>
        <v>-1.8</v>
      </c>
      <c r="M224" s="323">
        <f t="shared" si="83"/>
        <v>3.1</v>
      </c>
      <c r="N224" s="280"/>
      <c r="O224" s="324">
        <v>3</v>
      </c>
      <c r="P224" s="326">
        <f>O26</f>
        <v>3.1</v>
      </c>
    </row>
    <row r="225" spans="1:16" x14ac:dyDescent="0.2">
      <c r="A225" s="803"/>
      <c r="B225" s="322">
        <v>6</v>
      </c>
      <c r="C225" s="323">
        <f>C61</f>
        <v>20</v>
      </c>
      <c r="D225" s="323">
        <f t="shared" ref="D225:F225" si="84">D61</f>
        <v>0.2</v>
      </c>
      <c r="E225" s="323">
        <f t="shared" si="84"/>
        <v>1.0000000000000001E-5</v>
      </c>
      <c r="F225" s="323">
        <f t="shared" si="84"/>
        <v>9.9995000000000001E-2</v>
      </c>
      <c r="G225" s="280"/>
      <c r="H225" s="804"/>
      <c r="I225" s="322">
        <v>6</v>
      </c>
      <c r="J225" s="323">
        <f>I61</f>
        <v>40</v>
      </c>
      <c r="K225" s="323">
        <f t="shared" ref="K225:M225" si="85">J61</f>
        <v>1.5</v>
      </c>
      <c r="L225" s="323">
        <f t="shared" si="85"/>
        <v>-3.4</v>
      </c>
      <c r="M225" s="323">
        <f t="shared" si="85"/>
        <v>2.4500000000000002</v>
      </c>
      <c r="N225" s="280"/>
      <c r="O225" s="324">
        <v>4</v>
      </c>
      <c r="P225" s="326">
        <f>O37</f>
        <v>2.6</v>
      </c>
    </row>
    <row r="226" spans="1:16" x14ac:dyDescent="0.2">
      <c r="A226" s="803"/>
      <c r="B226" s="322">
        <v>7</v>
      </c>
      <c r="C226" s="323">
        <f>C72</f>
        <v>20</v>
      </c>
      <c r="D226" s="323">
        <f t="shared" ref="D226:F226" si="86">D72</f>
        <v>0.1</v>
      </c>
      <c r="E226" s="323">
        <f t="shared" si="86"/>
        <v>0.1</v>
      </c>
      <c r="F226" s="323">
        <f t="shared" si="86"/>
        <v>0</v>
      </c>
      <c r="G226" s="280"/>
      <c r="H226" s="804"/>
      <c r="I226" s="322">
        <v>7</v>
      </c>
      <c r="J226" s="323">
        <f>I72</f>
        <v>40</v>
      </c>
      <c r="K226" s="323">
        <f t="shared" ref="K226:M226" si="87">J72</f>
        <v>1.2</v>
      </c>
      <c r="L226" s="323">
        <f t="shared" si="87"/>
        <v>1.0000000000000001E-5</v>
      </c>
      <c r="M226" s="323">
        <f t="shared" si="87"/>
        <v>0.59999499999999995</v>
      </c>
      <c r="N226" s="280"/>
      <c r="O226" s="324">
        <v>5</v>
      </c>
      <c r="P226" s="326">
        <f>O48</f>
        <v>3.2</v>
      </c>
    </row>
    <row r="227" spans="1:16" x14ac:dyDescent="0.2">
      <c r="A227" s="803"/>
      <c r="B227" s="322">
        <v>8</v>
      </c>
      <c r="C227" s="323">
        <f>C83</f>
        <v>20</v>
      </c>
      <c r="D227" s="323">
        <f t="shared" ref="D227:F227" si="88">D83</f>
        <v>-0.2</v>
      </c>
      <c r="E227" s="323">
        <f t="shared" si="88"/>
        <v>-0.2</v>
      </c>
      <c r="F227" s="323">
        <f t="shared" si="88"/>
        <v>0</v>
      </c>
      <c r="G227" s="280"/>
      <c r="H227" s="804"/>
      <c r="I227" s="322">
        <v>8</v>
      </c>
      <c r="J227" s="323">
        <f>I83</f>
        <v>40</v>
      </c>
      <c r="K227" s="323">
        <f t="shared" ref="K227:M227" si="89">J83</f>
        <v>-1.2</v>
      </c>
      <c r="L227" s="323">
        <f t="shared" si="89"/>
        <v>1.1000000000000001</v>
      </c>
      <c r="M227" s="323">
        <f t="shared" si="89"/>
        <v>1.1499999999999999</v>
      </c>
      <c r="N227" s="280"/>
      <c r="O227" s="320">
        <v>6</v>
      </c>
      <c r="P227" s="321">
        <f>O59</f>
        <v>2</v>
      </c>
    </row>
    <row r="228" spans="1:16" x14ac:dyDescent="0.2">
      <c r="A228" s="803"/>
      <c r="B228" s="322">
        <v>9</v>
      </c>
      <c r="C228" s="323">
        <f>C94</f>
        <v>20</v>
      </c>
      <c r="D228" s="323">
        <f t="shared" ref="D228:F228" si="90">D94</f>
        <v>-0.2</v>
      </c>
      <c r="E228" s="323" t="str">
        <f t="shared" si="90"/>
        <v>-</v>
      </c>
      <c r="F228" s="323">
        <f t="shared" si="90"/>
        <v>0</v>
      </c>
      <c r="G228" s="280"/>
      <c r="H228" s="804"/>
      <c r="I228" s="322">
        <v>9</v>
      </c>
      <c r="J228" s="323">
        <f>I94</f>
        <v>40</v>
      </c>
      <c r="K228" s="323">
        <f t="shared" ref="K228:M228" si="91">J94</f>
        <v>-1</v>
      </c>
      <c r="L228" s="323" t="str">
        <f t="shared" si="91"/>
        <v>-</v>
      </c>
      <c r="M228" s="323">
        <f t="shared" si="91"/>
        <v>0</v>
      </c>
      <c r="N228" s="280"/>
      <c r="O228" s="320">
        <v>7</v>
      </c>
      <c r="P228" s="321">
        <f>O70</f>
        <v>2.2999999999999998</v>
      </c>
    </row>
    <row r="229" spans="1:16" ht="29.25" customHeight="1" x14ac:dyDescent="0.2">
      <c r="A229" s="803"/>
      <c r="B229" s="322">
        <v>10</v>
      </c>
      <c r="C229" s="323">
        <f>C105</f>
        <v>20</v>
      </c>
      <c r="D229" s="323">
        <f t="shared" ref="D229:F229" si="92">D105</f>
        <v>0.2</v>
      </c>
      <c r="E229" s="323">
        <f t="shared" si="92"/>
        <v>-0.7</v>
      </c>
      <c r="F229" s="323">
        <f t="shared" si="92"/>
        <v>0.44999999999999996</v>
      </c>
      <c r="G229" s="280"/>
      <c r="H229" s="804"/>
      <c r="I229" s="322">
        <v>10</v>
      </c>
      <c r="J229" s="323">
        <f>I105</f>
        <v>40</v>
      </c>
      <c r="K229" s="323">
        <f t="shared" ref="K229:M229" si="93">J105</f>
        <v>-3.3</v>
      </c>
      <c r="L229" s="323">
        <f t="shared" si="93"/>
        <v>-6.4</v>
      </c>
      <c r="M229" s="323">
        <f t="shared" si="93"/>
        <v>1.5500000000000003</v>
      </c>
      <c r="N229" s="280"/>
      <c r="O229" s="320">
        <v>8</v>
      </c>
      <c r="P229" s="321">
        <f>O81</f>
        <v>2.6</v>
      </c>
    </row>
    <row r="230" spans="1:16" ht="13.5" customHeight="1" x14ac:dyDescent="0.2">
      <c r="A230" s="803"/>
      <c r="B230" s="322">
        <v>11</v>
      </c>
      <c r="C230" s="323">
        <f>C116</f>
        <v>20</v>
      </c>
      <c r="D230" s="323">
        <f t="shared" ref="D230:F230" si="94">D116</f>
        <v>0.4</v>
      </c>
      <c r="E230" s="323" t="str">
        <f t="shared" si="94"/>
        <v>-</v>
      </c>
      <c r="F230" s="323">
        <f t="shared" si="94"/>
        <v>0</v>
      </c>
      <c r="G230" s="280"/>
      <c r="H230" s="804"/>
      <c r="I230" s="322">
        <v>11</v>
      </c>
      <c r="J230" s="323">
        <f>I116</f>
        <v>40</v>
      </c>
      <c r="K230" s="323">
        <f t="shared" ref="K230:M230" si="95">J116</f>
        <v>-5.5</v>
      </c>
      <c r="L230" s="323" t="str">
        <f t="shared" si="95"/>
        <v>-</v>
      </c>
      <c r="M230" s="323">
        <f t="shared" si="95"/>
        <v>0</v>
      </c>
      <c r="N230" s="280"/>
      <c r="O230" s="320">
        <v>9</v>
      </c>
      <c r="P230" s="321">
        <f>O92</f>
        <v>2.4</v>
      </c>
    </row>
    <row r="231" spans="1:16" x14ac:dyDescent="0.2">
      <c r="A231" s="803"/>
      <c r="B231" s="322">
        <v>12</v>
      </c>
      <c r="C231" s="323">
        <f>C127</f>
        <v>20</v>
      </c>
      <c r="D231" s="323">
        <f t="shared" ref="D231:F231" si="96">D127</f>
        <v>-0.1</v>
      </c>
      <c r="E231" s="323" t="str">
        <f t="shared" si="96"/>
        <v>-</v>
      </c>
      <c r="F231" s="323">
        <f t="shared" si="96"/>
        <v>0</v>
      </c>
      <c r="G231" s="280"/>
      <c r="H231" s="804"/>
      <c r="I231" s="322">
        <v>12</v>
      </c>
      <c r="J231" s="323">
        <f>I127</f>
        <v>40</v>
      </c>
      <c r="K231" s="323">
        <f t="shared" ref="K231:M231" si="97">J127</f>
        <v>0.3</v>
      </c>
      <c r="L231" s="323" t="str">
        <f t="shared" si="97"/>
        <v>-</v>
      </c>
      <c r="M231" s="323">
        <f t="shared" si="97"/>
        <v>0</v>
      </c>
      <c r="N231" s="280"/>
      <c r="O231" s="320">
        <v>10</v>
      </c>
      <c r="P231" s="321">
        <f>O103</f>
        <v>1.5</v>
      </c>
    </row>
    <row r="232" spans="1:16" x14ac:dyDescent="0.2">
      <c r="A232" s="803"/>
      <c r="B232" s="322">
        <v>13</v>
      </c>
      <c r="C232" s="323">
        <f>C138</f>
        <v>20</v>
      </c>
      <c r="D232" s="323">
        <f t="shared" ref="D232:F232" si="98">D138</f>
        <v>-0.4</v>
      </c>
      <c r="E232" s="323" t="str">
        <f t="shared" si="98"/>
        <v>-</v>
      </c>
      <c r="F232" s="323">
        <f t="shared" si="98"/>
        <v>0</v>
      </c>
      <c r="G232" s="280"/>
      <c r="H232" s="804"/>
      <c r="I232" s="322">
        <v>13</v>
      </c>
      <c r="J232" s="323">
        <f>I138</f>
        <v>40</v>
      </c>
      <c r="K232" s="323">
        <f t="shared" ref="K232:M232" si="99">J138</f>
        <v>-1.3</v>
      </c>
      <c r="L232" s="323" t="str">
        <f t="shared" si="99"/>
        <v>-</v>
      </c>
      <c r="M232" s="323">
        <f t="shared" si="99"/>
        <v>0</v>
      </c>
      <c r="N232" s="280"/>
      <c r="O232" s="320">
        <v>11</v>
      </c>
      <c r="P232" s="321">
        <f>O114</f>
        <v>1.8</v>
      </c>
    </row>
    <row r="233" spans="1:16" x14ac:dyDescent="0.2">
      <c r="A233" s="803"/>
      <c r="B233" s="322">
        <v>14</v>
      </c>
      <c r="C233" s="323">
        <f>C149</f>
        <v>20</v>
      </c>
      <c r="D233" s="323">
        <f t="shared" ref="D233:F233" si="100">D149</f>
        <v>-0.5</v>
      </c>
      <c r="E233" s="323" t="str">
        <f t="shared" si="100"/>
        <v>-</v>
      </c>
      <c r="F233" s="323">
        <f t="shared" si="100"/>
        <v>0</v>
      </c>
      <c r="G233" s="280"/>
      <c r="H233" s="804"/>
      <c r="I233" s="322">
        <v>14</v>
      </c>
      <c r="J233" s="323">
        <f>I149</f>
        <v>40</v>
      </c>
      <c r="K233" s="323">
        <f t="shared" ref="K233:M233" si="101">J149</f>
        <v>-0.3</v>
      </c>
      <c r="L233" s="323" t="str">
        <f t="shared" si="101"/>
        <v>-</v>
      </c>
      <c r="M233" s="323">
        <f t="shared" si="101"/>
        <v>0</v>
      </c>
      <c r="N233" s="280"/>
      <c r="O233" s="320">
        <v>12</v>
      </c>
      <c r="P233" s="329">
        <f>O125</f>
        <v>2.2000000000000002</v>
      </c>
    </row>
    <row r="234" spans="1:16" x14ac:dyDescent="0.2">
      <c r="A234" s="803"/>
      <c r="B234" s="322">
        <v>15</v>
      </c>
      <c r="C234" s="323">
        <f>C160</f>
        <v>20</v>
      </c>
      <c r="D234" s="323">
        <f t="shared" ref="D234:F234" si="102">D160</f>
        <v>0.2</v>
      </c>
      <c r="E234" s="323" t="str">
        <f t="shared" si="102"/>
        <v>-</v>
      </c>
      <c r="F234" s="323">
        <f t="shared" si="102"/>
        <v>0</v>
      </c>
      <c r="G234" s="280"/>
      <c r="H234" s="804"/>
      <c r="I234" s="322">
        <v>15</v>
      </c>
      <c r="J234" s="323">
        <f>I160</f>
        <v>40</v>
      </c>
      <c r="K234" s="323">
        <f t="shared" ref="K234:M234" si="103">J160</f>
        <v>-1.4</v>
      </c>
      <c r="L234" s="323" t="str">
        <f t="shared" si="103"/>
        <v>-</v>
      </c>
      <c r="M234" s="323">
        <f t="shared" si="103"/>
        <v>0</v>
      </c>
      <c r="N234" s="280"/>
      <c r="O234" s="320">
        <v>13</v>
      </c>
      <c r="P234" s="330">
        <f>O136</f>
        <v>2.7</v>
      </c>
    </row>
    <row r="235" spans="1:16" x14ac:dyDescent="0.2">
      <c r="A235" s="803"/>
      <c r="B235" s="322">
        <v>16</v>
      </c>
      <c r="C235" s="323">
        <f>C171</f>
        <v>20</v>
      </c>
      <c r="D235" s="323">
        <f t="shared" ref="D235:F235" si="104">D171</f>
        <v>0.1</v>
      </c>
      <c r="E235" s="323" t="str">
        <f t="shared" si="104"/>
        <v>-</v>
      </c>
      <c r="F235" s="323">
        <f t="shared" si="104"/>
        <v>0</v>
      </c>
      <c r="G235" s="280"/>
      <c r="H235" s="804"/>
      <c r="I235" s="322">
        <v>16</v>
      </c>
      <c r="J235" s="323">
        <f>I171</f>
        <v>40</v>
      </c>
      <c r="K235" s="323">
        <f t="shared" ref="K235:M235" si="105">J171</f>
        <v>0.2</v>
      </c>
      <c r="L235" s="323" t="str">
        <f t="shared" si="105"/>
        <v>-</v>
      </c>
      <c r="M235" s="323">
        <f t="shared" si="105"/>
        <v>0</v>
      </c>
      <c r="N235" s="280"/>
      <c r="O235" s="320">
        <v>14</v>
      </c>
      <c r="P235" s="330">
        <f>O147</f>
        <v>2.7</v>
      </c>
    </row>
    <row r="236" spans="1:16" x14ac:dyDescent="0.2">
      <c r="A236" s="803"/>
      <c r="B236" s="322">
        <v>17</v>
      </c>
      <c r="C236" s="323">
        <f>C181</f>
        <v>20</v>
      </c>
      <c r="D236" s="323">
        <f t="shared" ref="D236:F236" si="106">D181</f>
        <v>-0.1</v>
      </c>
      <c r="E236" s="323" t="str">
        <f t="shared" si="106"/>
        <v>-</v>
      </c>
      <c r="F236" s="323">
        <f t="shared" si="106"/>
        <v>0</v>
      </c>
      <c r="G236" s="280"/>
      <c r="H236" s="804"/>
      <c r="I236" s="322">
        <v>17</v>
      </c>
      <c r="J236" s="323">
        <f>I181</f>
        <v>40</v>
      </c>
      <c r="K236" s="323">
        <f t="shared" ref="K236:M236" si="107">J181</f>
        <v>-0.2</v>
      </c>
      <c r="L236" s="323" t="str">
        <f t="shared" si="107"/>
        <v>-</v>
      </c>
      <c r="M236" s="323">
        <f t="shared" si="107"/>
        <v>0</v>
      </c>
      <c r="N236" s="280"/>
      <c r="O236" s="320">
        <v>15</v>
      </c>
      <c r="P236" s="330">
        <f>O158</f>
        <v>2.2000000000000002</v>
      </c>
    </row>
    <row r="237" spans="1:16" x14ac:dyDescent="0.2">
      <c r="A237" s="803"/>
      <c r="B237" s="322">
        <v>18</v>
      </c>
      <c r="C237" s="323">
        <f>C191</f>
        <v>20</v>
      </c>
      <c r="D237" s="323">
        <f t="shared" ref="D237:F237" si="108">D191</f>
        <v>1.0000000000000001E-5</v>
      </c>
      <c r="E237" s="323" t="str">
        <f t="shared" si="108"/>
        <v>-</v>
      </c>
      <c r="F237" s="323">
        <f t="shared" si="108"/>
        <v>0</v>
      </c>
      <c r="G237" s="280"/>
      <c r="H237" s="804"/>
      <c r="I237" s="322">
        <v>18</v>
      </c>
      <c r="J237" s="323">
        <f>I191</f>
        <v>40</v>
      </c>
      <c r="K237" s="323">
        <f t="shared" ref="K237:M237" si="109">J191</f>
        <v>-0.1</v>
      </c>
      <c r="L237" s="323" t="str">
        <f t="shared" si="109"/>
        <v>-</v>
      </c>
      <c r="M237" s="323">
        <f t="shared" si="109"/>
        <v>0</v>
      </c>
      <c r="N237" s="280"/>
      <c r="O237" s="320">
        <v>16</v>
      </c>
      <c r="P237" s="330">
        <f>O169</f>
        <v>2.8</v>
      </c>
    </row>
    <row r="238" spans="1:16" x14ac:dyDescent="0.2">
      <c r="A238" s="133"/>
      <c r="B238" s="134"/>
      <c r="C238" s="137"/>
      <c r="D238" s="137"/>
      <c r="E238" s="137"/>
      <c r="F238" s="138"/>
      <c r="G238" s="109"/>
      <c r="H238" s="133"/>
      <c r="I238" s="134"/>
      <c r="J238" s="137"/>
      <c r="K238" s="137"/>
      <c r="L238" s="137"/>
      <c r="M238" s="138"/>
      <c r="N238" s="280"/>
      <c r="O238" s="320">
        <v>17</v>
      </c>
      <c r="P238" s="330">
        <f>O179</f>
        <v>1.6</v>
      </c>
    </row>
    <row r="239" spans="1:16" x14ac:dyDescent="0.2">
      <c r="A239" s="803" t="s">
        <v>175</v>
      </c>
      <c r="B239" s="322">
        <v>1</v>
      </c>
      <c r="C239" s="323">
        <f>C7</f>
        <v>25</v>
      </c>
      <c r="D239" s="323">
        <f t="shared" ref="D239:F239" si="110">D7</f>
        <v>1.0000000000000001E-5</v>
      </c>
      <c r="E239" s="323">
        <f t="shared" si="110"/>
        <v>0.1</v>
      </c>
      <c r="F239" s="323">
        <f t="shared" si="110"/>
        <v>4.9995000000000005E-2</v>
      </c>
      <c r="G239" s="280"/>
      <c r="H239" s="804" t="s">
        <v>175</v>
      </c>
      <c r="I239" s="322">
        <v>1</v>
      </c>
      <c r="J239" s="323">
        <f>I7</f>
        <v>50</v>
      </c>
      <c r="K239" s="323">
        <f t="shared" ref="K239:M239" si="111">J7</f>
        <v>-5.3</v>
      </c>
      <c r="L239" s="323">
        <f t="shared" si="111"/>
        <v>1.0000000000000001E-5</v>
      </c>
      <c r="M239" s="323">
        <f t="shared" si="111"/>
        <v>2.6500049999999997</v>
      </c>
      <c r="N239" s="280"/>
      <c r="O239" s="320">
        <v>18</v>
      </c>
      <c r="P239" s="330">
        <f>O189</f>
        <v>2</v>
      </c>
    </row>
    <row r="240" spans="1:16" x14ac:dyDescent="0.2">
      <c r="A240" s="803"/>
      <c r="B240" s="322">
        <v>2</v>
      </c>
      <c r="C240" s="323">
        <f>C18</f>
        <v>25</v>
      </c>
      <c r="D240" s="323">
        <f t="shared" ref="D240:F240" si="112">D18</f>
        <v>-0.2</v>
      </c>
      <c r="E240" s="323">
        <f t="shared" si="112"/>
        <v>-0.5</v>
      </c>
      <c r="F240" s="323">
        <f t="shared" si="112"/>
        <v>0.15</v>
      </c>
      <c r="G240" s="280"/>
      <c r="H240" s="804"/>
      <c r="I240" s="322">
        <v>2</v>
      </c>
      <c r="J240" s="323">
        <f>I18</f>
        <v>50</v>
      </c>
      <c r="K240" s="323">
        <f t="shared" ref="K240:M240" si="113">J18</f>
        <v>-1.5</v>
      </c>
      <c r="L240" s="323">
        <f t="shared" si="113"/>
        <v>-1.4</v>
      </c>
      <c r="M240" s="323">
        <f t="shared" si="113"/>
        <v>5.0000000000000044E-2</v>
      </c>
      <c r="N240" s="280"/>
      <c r="O240" s="328"/>
      <c r="P240" s="331"/>
    </row>
    <row r="241" spans="1:16" x14ac:dyDescent="0.2">
      <c r="A241" s="803"/>
      <c r="B241" s="322">
        <v>3</v>
      </c>
      <c r="C241" s="323">
        <f>C29</f>
        <v>25</v>
      </c>
      <c r="D241" s="323">
        <f t="shared" ref="D241:F241" si="114">D29</f>
        <v>-0.1</v>
      </c>
      <c r="E241" s="323">
        <f t="shared" si="114"/>
        <v>-0.2</v>
      </c>
      <c r="F241" s="323">
        <f t="shared" si="114"/>
        <v>0.05</v>
      </c>
      <c r="G241" s="280"/>
      <c r="H241" s="804"/>
      <c r="I241" s="322">
        <v>3</v>
      </c>
      <c r="J241" s="323">
        <f>I29</f>
        <v>50</v>
      </c>
      <c r="K241" s="323">
        <f t="shared" ref="K241:M241" si="115">J29</f>
        <v>-4.9000000000000004</v>
      </c>
      <c r="L241" s="323">
        <f t="shared" si="115"/>
        <v>-2.2999999999999998</v>
      </c>
      <c r="M241" s="323">
        <f t="shared" si="115"/>
        <v>1.3000000000000003</v>
      </c>
      <c r="N241" s="280"/>
      <c r="O241" s="280"/>
      <c r="P241" s="332"/>
    </row>
    <row r="242" spans="1:16" x14ac:dyDescent="0.2">
      <c r="A242" s="803"/>
      <c r="B242" s="322">
        <v>4</v>
      </c>
      <c r="C242" s="323">
        <f>C40</f>
        <v>25</v>
      </c>
      <c r="D242" s="323">
        <f t="shared" ref="D242:F242" si="116">D40</f>
        <v>-0.5</v>
      </c>
      <c r="E242" s="323">
        <f t="shared" si="116"/>
        <v>-0.5</v>
      </c>
      <c r="F242" s="323">
        <f t="shared" si="116"/>
        <v>0</v>
      </c>
      <c r="G242" s="280"/>
      <c r="H242" s="804"/>
      <c r="I242" s="322">
        <v>4</v>
      </c>
      <c r="J242" s="323">
        <f>I40</f>
        <v>50</v>
      </c>
      <c r="K242" s="323">
        <f t="shared" ref="K242:M242" si="117">J40</f>
        <v>-1</v>
      </c>
      <c r="L242" s="323">
        <f t="shared" si="117"/>
        <v>-1</v>
      </c>
      <c r="M242" s="323">
        <f t="shared" si="117"/>
        <v>0</v>
      </c>
      <c r="N242" s="280"/>
      <c r="O242" s="280"/>
      <c r="P242" s="332"/>
    </row>
    <row r="243" spans="1:16" x14ac:dyDescent="0.2">
      <c r="A243" s="803"/>
      <c r="B243" s="322">
        <v>5</v>
      </c>
      <c r="C243" s="323">
        <f>C51</f>
        <v>25</v>
      </c>
      <c r="D243" s="323">
        <f t="shared" ref="D243:F243" si="118">D51</f>
        <v>0.2</v>
      </c>
      <c r="E243" s="323">
        <f t="shared" si="118"/>
        <v>-0.3</v>
      </c>
      <c r="F243" s="323">
        <f t="shared" si="118"/>
        <v>0.25</v>
      </c>
      <c r="G243" s="280"/>
      <c r="H243" s="804"/>
      <c r="I243" s="322">
        <v>5</v>
      </c>
      <c r="J243" s="323">
        <f>I51</f>
        <v>50</v>
      </c>
      <c r="K243" s="323">
        <f t="shared" ref="K243:M243" si="119">J51</f>
        <v>-6.2</v>
      </c>
      <c r="L243" s="323">
        <f t="shared" si="119"/>
        <v>-2.1</v>
      </c>
      <c r="M243" s="323">
        <f t="shared" si="119"/>
        <v>2.0499999999999998</v>
      </c>
      <c r="N243" s="280"/>
      <c r="O243" s="280"/>
      <c r="P243" s="332"/>
    </row>
    <row r="244" spans="1:16" x14ac:dyDescent="0.2">
      <c r="A244" s="803"/>
      <c r="B244" s="322">
        <v>6</v>
      </c>
      <c r="C244" s="323">
        <f>C62</f>
        <v>25</v>
      </c>
      <c r="D244" s="323">
        <f t="shared" ref="D244:F244" si="120">D62</f>
        <v>-0.1</v>
      </c>
      <c r="E244" s="323">
        <f t="shared" si="120"/>
        <v>0.1</v>
      </c>
      <c r="F244" s="323">
        <f t="shared" si="120"/>
        <v>0.1</v>
      </c>
      <c r="G244" s="280"/>
      <c r="H244" s="804"/>
      <c r="I244" s="322">
        <v>6</v>
      </c>
      <c r="J244" s="323">
        <f>I62</f>
        <v>50</v>
      </c>
      <c r="K244" s="323">
        <f t="shared" ref="K244:M244" si="121">J62</f>
        <v>1.2</v>
      </c>
      <c r="L244" s="323">
        <f t="shared" si="121"/>
        <v>-2.5</v>
      </c>
      <c r="M244" s="323">
        <f t="shared" si="121"/>
        <v>1.85</v>
      </c>
      <c r="N244" s="280"/>
      <c r="O244" s="280"/>
      <c r="P244" s="332"/>
    </row>
    <row r="245" spans="1:16" x14ac:dyDescent="0.2">
      <c r="A245" s="803"/>
      <c r="B245" s="322">
        <v>7</v>
      </c>
      <c r="C245" s="323">
        <f>C73</f>
        <v>25</v>
      </c>
      <c r="D245" s="323">
        <f t="shared" ref="D245:F245" si="122">D73</f>
        <v>-0.2</v>
      </c>
      <c r="E245" s="323">
        <f t="shared" si="122"/>
        <v>1.0000000000000001E-5</v>
      </c>
      <c r="F245" s="323">
        <f t="shared" si="122"/>
        <v>0.10000500000000001</v>
      </c>
      <c r="G245" s="280"/>
      <c r="H245" s="804"/>
      <c r="I245" s="322">
        <v>7</v>
      </c>
      <c r="J245" s="323">
        <f>I73</f>
        <v>50</v>
      </c>
      <c r="K245" s="323">
        <f t="shared" ref="K245:M245" si="123">J73</f>
        <v>0.8</v>
      </c>
      <c r="L245" s="323">
        <f t="shared" si="123"/>
        <v>0.6</v>
      </c>
      <c r="M245" s="323">
        <f t="shared" si="123"/>
        <v>0.10000000000000003</v>
      </c>
      <c r="N245" s="280"/>
      <c r="O245" s="280"/>
      <c r="P245" s="332"/>
    </row>
    <row r="246" spans="1:16" x14ac:dyDescent="0.2">
      <c r="A246" s="803"/>
      <c r="B246" s="322">
        <v>8</v>
      </c>
      <c r="C246" s="323">
        <f>C84</f>
        <v>25</v>
      </c>
      <c r="D246" s="323">
        <f t="shared" ref="D246:F246" si="124">D84</f>
        <v>-0.4</v>
      </c>
      <c r="E246" s="323">
        <f t="shared" si="124"/>
        <v>-0.2</v>
      </c>
      <c r="F246" s="323">
        <f t="shared" si="124"/>
        <v>0.1</v>
      </c>
      <c r="G246" s="280"/>
      <c r="H246" s="804"/>
      <c r="I246" s="322">
        <v>8</v>
      </c>
      <c r="J246" s="323">
        <f>I84</f>
        <v>50</v>
      </c>
      <c r="K246" s="323">
        <f t="shared" ref="K246:M246" si="125">J84</f>
        <v>-1.2</v>
      </c>
      <c r="L246" s="323">
        <f t="shared" si="125"/>
        <v>1.3</v>
      </c>
      <c r="M246" s="323">
        <f t="shared" si="125"/>
        <v>1.25</v>
      </c>
      <c r="N246" s="280"/>
      <c r="O246" s="280"/>
      <c r="P246" s="332"/>
    </row>
    <row r="247" spans="1:16" x14ac:dyDescent="0.2">
      <c r="A247" s="803"/>
      <c r="B247" s="322">
        <v>9</v>
      </c>
      <c r="C247" s="323">
        <f>C95</f>
        <v>25</v>
      </c>
      <c r="D247" s="323">
        <f t="shared" ref="D247:F247" si="126">D95</f>
        <v>-0.4</v>
      </c>
      <c r="E247" s="323" t="str">
        <f t="shared" si="126"/>
        <v>-</v>
      </c>
      <c r="F247" s="323">
        <f t="shared" si="126"/>
        <v>0</v>
      </c>
      <c r="G247" s="280"/>
      <c r="H247" s="804"/>
      <c r="I247" s="322">
        <v>9</v>
      </c>
      <c r="J247" s="323">
        <f>I95</f>
        <v>50</v>
      </c>
      <c r="K247" s="323">
        <f t="shared" ref="K247:M247" si="127">J95</f>
        <v>-0.9</v>
      </c>
      <c r="L247" s="323" t="str">
        <f t="shared" si="127"/>
        <v>-</v>
      </c>
      <c r="M247" s="323">
        <f t="shared" si="127"/>
        <v>0</v>
      </c>
      <c r="N247" s="280"/>
      <c r="O247" s="280"/>
      <c r="P247" s="332"/>
    </row>
    <row r="248" spans="1:16" s="111" customFormat="1" x14ac:dyDescent="0.2">
      <c r="A248" s="803"/>
      <c r="B248" s="322">
        <v>10</v>
      </c>
      <c r="C248" s="323">
        <f>C106</f>
        <v>25</v>
      </c>
      <c r="D248" s="323">
        <f t="shared" ref="D248:F248" si="128">D106</f>
        <v>0.1</v>
      </c>
      <c r="E248" s="323">
        <f t="shared" si="128"/>
        <v>-0.5</v>
      </c>
      <c r="F248" s="323">
        <f t="shared" si="128"/>
        <v>0.3</v>
      </c>
      <c r="G248" s="280"/>
      <c r="H248" s="804"/>
      <c r="I248" s="322">
        <v>10</v>
      </c>
      <c r="J248" s="323">
        <f>I106</f>
        <v>50</v>
      </c>
      <c r="K248" s="323">
        <f t="shared" ref="K248:M248" si="129">J106</f>
        <v>-3.1</v>
      </c>
      <c r="L248" s="323">
        <f t="shared" si="129"/>
        <v>-6.1</v>
      </c>
      <c r="M248" s="323">
        <f t="shared" si="129"/>
        <v>1.4999999999999998</v>
      </c>
      <c r="N248" s="280"/>
      <c r="O248" s="280"/>
      <c r="P248" s="332"/>
    </row>
    <row r="249" spans="1:16" s="111" customFormat="1" x14ac:dyDescent="0.2">
      <c r="A249" s="803"/>
      <c r="B249" s="322">
        <v>11</v>
      </c>
      <c r="C249" s="323">
        <f>C117</f>
        <v>25</v>
      </c>
      <c r="D249" s="323">
        <f t="shared" ref="D249:F249" si="130">D117</f>
        <v>0.4</v>
      </c>
      <c r="E249" s="323" t="str">
        <f t="shared" si="130"/>
        <v>-</v>
      </c>
      <c r="F249" s="323">
        <f t="shared" si="130"/>
        <v>0</v>
      </c>
      <c r="G249" s="280"/>
      <c r="H249" s="804"/>
      <c r="I249" s="322">
        <v>11</v>
      </c>
      <c r="J249" s="323">
        <f>I117</f>
        <v>50</v>
      </c>
      <c r="K249" s="323">
        <f t="shared" ref="K249:M249" si="131">J117</f>
        <v>-5.5</v>
      </c>
      <c r="L249" s="323" t="str">
        <f t="shared" si="131"/>
        <v>-</v>
      </c>
      <c r="M249" s="323">
        <f t="shared" si="131"/>
        <v>0</v>
      </c>
      <c r="N249" s="280"/>
      <c r="O249" s="280"/>
      <c r="P249" s="332"/>
    </row>
    <row r="250" spans="1:16" s="111" customFormat="1" x14ac:dyDescent="0.2">
      <c r="A250" s="803"/>
      <c r="B250" s="322">
        <v>12</v>
      </c>
      <c r="C250" s="323">
        <f>C128</f>
        <v>25</v>
      </c>
      <c r="D250" s="323">
        <f t="shared" ref="D250:F250" si="132">D128</f>
        <v>-0.1</v>
      </c>
      <c r="E250" s="323" t="str">
        <f t="shared" si="132"/>
        <v>-</v>
      </c>
      <c r="F250" s="323">
        <f t="shared" si="132"/>
        <v>0</v>
      </c>
      <c r="G250" s="280"/>
      <c r="H250" s="804"/>
      <c r="I250" s="322">
        <v>12</v>
      </c>
      <c r="J250" s="323">
        <f>I128</f>
        <v>50</v>
      </c>
      <c r="K250" s="323">
        <f t="shared" ref="K250:M250" si="133">J128</f>
        <v>-0.2</v>
      </c>
      <c r="L250" s="323" t="str">
        <f t="shared" si="133"/>
        <v>-</v>
      </c>
      <c r="M250" s="323">
        <f t="shared" si="133"/>
        <v>0</v>
      </c>
      <c r="N250" s="280"/>
      <c r="O250" s="280"/>
      <c r="P250" s="332"/>
    </row>
    <row r="251" spans="1:16" s="111" customFormat="1" x14ac:dyDescent="0.2">
      <c r="A251" s="803"/>
      <c r="B251" s="322">
        <v>13</v>
      </c>
      <c r="C251" s="323">
        <f>C139</f>
        <v>25</v>
      </c>
      <c r="D251" s="323">
        <f t="shared" ref="D251:F251" si="134">D139</f>
        <v>-0.2</v>
      </c>
      <c r="E251" s="323" t="str">
        <f t="shared" si="134"/>
        <v>-</v>
      </c>
      <c r="F251" s="323">
        <f t="shared" si="134"/>
        <v>0</v>
      </c>
      <c r="G251" s="280"/>
      <c r="H251" s="804"/>
      <c r="I251" s="322">
        <v>13</v>
      </c>
      <c r="J251" s="323">
        <f>I139</f>
        <v>50</v>
      </c>
      <c r="K251" s="323">
        <f t="shared" ref="K251:M251" si="135">J139</f>
        <v>-1.3</v>
      </c>
      <c r="L251" s="323" t="str">
        <f t="shared" si="135"/>
        <v>-</v>
      </c>
      <c r="M251" s="323">
        <f t="shared" si="135"/>
        <v>0</v>
      </c>
      <c r="N251" s="280"/>
      <c r="O251" s="280"/>
      <c r="P251" s="332"/>
    </row>
    <row r="252" spans="1:16" s="111" customFormat="1" x14ac:dyDescent="0.2">
      <c r="A252" s="803"/>
      <c r="B252" s="322">
        <v>14</v>
      </c>
      <c r="C252" s="323">
        <f>C150</f>
        <v>25</v>
      </c>
      <c r="D252" s="323">
        <f t="shared" ref="D252:F252" si="136">D150</f>
        <v>-0.4</v>
      </c>
      <c r="E252" s="323" t="str">
        <f t="shared" si="136"/>
        <v>-</v>
      </c>
      <c r="F252" s="323">
        <f t="shared" si="136"/>
        <v>0</v>
      </c>
      <c r="G252" s="280"/>
      <c r="H252" s="804"/>
      <c r="I252" s="322">
        <v>14</v>
      </c>
      <c r="J252" s="323">
        <f>I150</f>
        <v>50</v>
      </c>
      <c r="K252" s="323">
        <f t="shared" ref="K252:M252" si="137">J150</f>
        <v>-0.3</v>
      </c>
      <c r="L252" s="323" t="str">
        <f t="shared" si="137"/>
        <v>-</v>
      </c>
      <c r="M252" s="323">
        <f t="shared" si="137"/>
        <v>0</v>
      </c>
      <c r="N252" s="280"/>
      <c r="O252" s="280"/>
      <c r="P252" s="332"/>
    </row>
    <row r="253" spans="1:16" s="111" customFormat="1" x14ac:dyDescent="0.2">
      <c r="A253" s="803"/>
      <c r="B253" s="322">
        <v>15</v>
      </c>
      <c r="C253" s="323">
        <f>C161</f>
        <v>25</v>
      </c>
      <c r="D253" s="323">
        <f t="shared" ref="D253:F253" si="138">D161</f>
        <v>0.2</v>
      </c>
      <c r="E253" s="323" t="str">
        <f t="shared" si="138"/>
        <v>-</v>
      </c>
      <c r="F253" s="323">
        <f t="shared" si="138"/>
        <v>0</v>
      </c>
      <c r="G253" s="280"/>
      <c r="H253" s="804"/>
      <c r="I253" s="322">
        <v>15</v>
      </c>
      <c r="J253" s="323">
        <f>I161</f>
        <v>50</v>
      </c>
      <c r="K253" s="323">
        <f t="shared" ref="K253:M253" si="139">J161</f>
        <v>-1.4</v>
      </c>
      <c r="L253" s="323" t="str">
        <f t="shared" si="139"/>
        <v>-</v>
      </c>
      <c r="M253" s="323">
        <f t="shared" si="139"/>
        <v>0</v>
      </c>
      <c r="N253" s="280"/>
      <c r="O253" s="280"/>
      <c r="P253" s="332"/>
    </row>
    <row r="254" spans="1:16" s="111" customFormat="1" x14ac:dyDescent="0.2">
      <c r="A254" s="803"/>
      <c r="B254" s="322">
        <v>16</v>
      </c>
      <c r="C254" s="323">
        <f>C172</f>
        <v>25</v>
      </c>
      <c r="D254" s="323">
        <f t="shared" ref="D254:F254" si="140">D172</f>
        <v>1.0000000000000001E-5</v>
      </c>
      <c r="E254" s="323" t="str">
        <f t="shared" si="140"/>
        <v>-</v>
      </c>
      <c r="F254" s="323">
        <f t="shared" si="140"/>
        <v>0</v>
      </c>
      <c r="G254" s="280"/>
      <c r="H254" s="804"/>
      <c r="I254" s="322">
        <v>16</v>
      </c>
      <c r="J254" s="323">
        <f>I172</f>
        <v>50</v>
      </c>
      <c r="K254" s="323">
        <f t="shared" ref="K254:M254" si="141">J172</f>
        <v>0.2</v>
      </c>
      <c r="L254" s="323" t="str">
        <f t="shared" si="141"/>
        <v>-</v>
      </c>
      <c r="M254" s="323">
        <f t="shared" si="141"/>
        <v>0</v>
      </c>
      <c r="N254" s="280"/>
      <c r="O254" s="280"/>
      <c r="P254" s="332"/>
    </row>
    <row r="255" spans="1:16" s="111" customFormat="1" x14ac:dyDescent="0.2">
      <c r="A255" s="803"/>
      <c r="B255" s="322">
        <v>17</v>
      </c>
      <c r="C255" s="323">
        <f>C182</f>
        <v>25</v>
      </c>
      <c r="D255" s="323">
        <f t="shared" ref="D255:F255" si="142">D182</f>
        <v>-0.2</v>
      </c>
      <c r="E255" s="323" t="str">
        <f t="shared" si="142"/>
        <v>-</v>
      </c>
      <c r="F255" s="323">
        <f t="shared" si="142"/>
        <v>0</v>
      </c>
      <c r="G255" s="280"/>
      <c r="H255" s="804"/>
      <c r="I255" s="322">
        <v>17</v>
      </c>
      <c r="J255" s="323">
        <f>I182</f>
        <v>50</v>
      </c>
      <c r="K255" s="323">
        <f t="shared" ref="K255:M255" si="143">J182</f>
        <v>-0.2</v>
      </c>
      <c r="L255" s="323" t="str">
        <f t="shared" si="143"/>
        <v>-</v>
      </c>
      <c r="M255" s="323">
        <f t="shared" si="143"/>
        <v>0</v>
      </c>
      <c r="N255" s="280"/>
      <c r="O255" s="280"/>
      <c r="P255" s="332"/>
    </row>
    <row r="256" spans="1:16" s="111" customFormat="1" x14ac:dyDescent="0.2">
      <c r="A256" s="803"/>
      <c r="B256" s="322">
        <v>18</v>
      </c>
      <c r="C256" s="323">
        <f>C192</f>
        <v>25</v>
      </c>
      <c r="D256" s="323">
        <f t="shared" ref="D256:F256" si="144">D192</f>
        <v>1.0000000000000001E-5</v>
      </c>
      <c r="E256" s="323" t="str">
        <f t="shared" si="144"/>
        <v>-</v>
      </c>
      <c r="F256" s="323">
        <f t="shared" si="144"/>
        <v>0</v>
      </c>
      <c r="G256" s="280"/>
      <c r="H256" s="804"/>
      <c r="I256" s="322">
        <v>18</v>
      </c>
      <c r="J256" s="323">
        <f>I192</f>
        <v>50</v>
      </c>
      <c r="K256" s="323">
        <f t="shared" ref="K256:M256" si="145">J192</f>
        <v>1.0000000000000001E-5</v>
      </c>
      <c r="L256" s="323" t="str">
        <f t="shared" si="145"/>
        <v>-</v>
      </c>
      <c r="M256" s="323">
        <f t="shared" si="145"/>
        <v>0</v>
      </c>
      <c r="N256" s="280"/>
      <c r="O256" s="280"/>
      <c r="P256" s="332"/>
    </row>
    <row r="257" spans="1:16" s="111" customFormat="1" x14ac:dyDescent="0.2">
      <c r="A257" s="133"/>
      <c r="B257" s="134"/>
      <c r="C257" s="137"/>
      <c r="D257" s="137"/>
      <c r="E257" s="137"/>
      <c r="F257" s="138"/>
      <c r="G257" s="109"/>
      <c r="H257" s="133"/>
      <c r="I257" s="139"/>
      <c r="J257" s="137"/>
      <c r="K257" s="137"/>
      <c r="L257" s="137"/>
      <c r="M257" s="138"/>
      <c r="N257" s="280"/>
      <c r="O257" s="280"/>
      <c r="P257" s="332"/>
    </row>
    <row r="258" spans="1:16" s="111" customFormat="1" x14ac:dyDescent="0.2">
      <c r="A258" s="803" t="s">
        <v>184</v>
      </c>
      <c r="B258" s="322">
        <v>1</v>
      </c>
      <c r="C258" s="323">
        <f>C8</f>
        <v>30</v>
      </c>
      <c r="D258" s="323">
        <f t="shared" ref="D258:F258" si="146">D8</f>
        <v>1.0000000000000001E-5</v>
      </c>
      <c r="E258" s="323">
        <f t="shared" si="146"/>
        <v>-0.2</v>
      </c>
      <c r="F258" s="323">
        <f t="shared" si="146"/>
        <v>0.10000500000000001</v>
      </c>
      <c r="G258" s="280"/>
      <c r="H258" s="804" t="s">
        <v>184</v>
      </c>
      <c r="I258" s="322">
        <v>1</v>
      </c>
      <c r="J258" s="323">
        <f>I8</f>
        <v>60</v>
      </c>
      <c r="K258" s="323">
        <f t="shared" ref="K258:M258" si="147">J8</f>
        <v>-4.4000000000000004</v>
      </c>
      <c r="L258" s="323">
        <f t="shared" si="147"/>
        <v>1.0000000000000001E-5</v>
      </c>
      <c r="M258" s="323">
        <f t="shared" si="147"/>
        <v>2.200005</v>
      </c>
      <c r="N258" s="280"/>
      <c r="O258" s="280"/>
      <c r="P258" s="332"/>
    </row>
    <row r="259" spans="1:16" s="111" customFormat="1" x14ac:dyDescent="0.2">
      <c r="A259" s="803"/>
      <c r="B259" s="322">
        <v>2</v>
      </c>
      <c r="C259" s="323">
        <f>C19</f>
        <v>30</v>
      </c>
      <c r="D259" s="323">
        <f t="shared" ref="D259:F259" si="148">D19</f>
        <v>-0.3</v>
      </c>
      <c r="E259" s="323">
        <f t="shared" si="148"/>
        <v>-1</v>
      </c>
      <c r="F259" s="323">
        <f t="shared" si="148"/>
        <v>0.35</v>
      </c>
      <c r="G259" s="280"/>
      <c r="H259" s="804"/>
      <c r="I259" s="322">
        <v>2</v>
      </c>
      <c r="J259" s="323">
        <f>I19</f>
        <v>60</v>
      </c>
      <c r="K259" s="323">
        <f t="shared" ref="K259:M259" si="149">J19</f>
        <v>-1.3</v>
      </c>
      <c r="L259" s="323">
        <f t="shared" si="149"/>
        <v>-1.3</v>
      </c>
      <c r="M259" s="323">
        <f t="shared" si="149"/>
        <v>0</v>
      </c>
      <c r="N259" s="280"/>
      <c r="O259" s="280"/>
      <c r="P259" s="332"/>
    </row>
    <row r="260" spans="1:16" s="111" customFormat="1" x14ac:dyDescent="0.2">
      <c r="A260" s="803"/>
      <c r="B260" s="322">
        <v>3</v>
      </c>
      <c r="C260" s="323">
        <f>C30</f>
        <v>30</v>
      </c>
      <c r="D260" s="323">
        <f t="shared" ref="D260:F260" si="150">D30</f>
        <v>-0.3</v>
      </c>
      <c r="E260" s="323">
        <f t="shared" si="150"/>
        <v>-0.3</v>
      </c>
      <c r="F260" s="323">
        <f t="shared" si="150"/>
        <v>0</v>
      </c>
      <c r="G260" s="280"/>
      <c r="H260" s="804"/>
      <c r="I260" s="322">
        <v>3</v>
      </c>
      <c r="J260" s="323">
        <f>I30</f>
        <v>60</v>
      </c>
      <c r="K260" s="323">
        <f t="shared" ref="K260:M260" si="151">J30</f>
        <v>-4.3</v>
      </c>
      <c r="L260" s="323">
        <f t="shared" si="151"/>
        <v>-2.2000000000000002</v>
      </c>
      <c r="M260" s="323">
        <f t="shared" si="151"/>
        <v>1.0499999999999998</v>
      </c>
      <c r="N260" s="280"/>
      <c r="O260" s="280"/>
      <c r="P260" s="332"/>
    </row>
    <row r="261" spans="1:16" s="111" customFormat="1" x14ac:dyDescent="0.2">
      <c r="A261" s="803"/>
      <c r="B261" s="322">
        <v>4</v>
      </c>
      <c r="C261" s="323">
        <f>C41</f>
        <v>30</v>
      </c>
      <c r="D261" s="323">
        <f t="shared" ref="D261:F261" si="152">D41</f>
        <v>-0.6</v>
      </c>
      <c r="E261" s="323">
        <f t="shared" si="152"/>
        <v>-1</v>
      </c>
      <c r="F261" s="323">
        <f t="shared" si="152"/>
        <v>0.2</v>
      </c>
      <c r="G261" s="280"/>
      <c r="H261" s="804"/>
      <c r="I261" s="322">
        <v>4</v>
      </c>
      <c r="J261" s="323">
        <f>I41</f>
        <v>60</v>
      </c>
      <c r="K261" s="323">
        <f t="shared" ref="K261:M261" si="153">J41</f>
        <v>-0.3</v>
      </c>
      <c r="L261" s="323">
        <f t="shared" si="153"/>
        <v>-0.9</v>
      </c>
      <c r="M261" s="323">
        <f t="shared" si="153"/>
        <v>0.30000000000000004</v>
      </c>
      <c r="N261" s="280"/>
      <c r="O261" s="280"/>
      <c r="P261" s="332"/>
    </row>
    <row r="262" spans="1:16" x14ac:dyDescent="0.2">
      <c r="A262" s="803"/>
      <c r="B262" s="322">
        <v>5</v>
      </c>
      <c r="C262" s="323">
        <f>C52</f>
        <v>30</v>
      </c>
      <c r="D262" s="323">
        <f t="shared" ref="D262:F262" si="154">D52</f>
        <v>0.1</v>
      </c>
      <c r="E262" s="323">
        <f t="shared" si="154"/>
        <v>-0.7</v>
      </c>
      <c r="F262" s="323">
        <f t="shared" si="154"/>
        <v>0.39999999999999997</v>
      </c>
      <c r="G262" s="280"/>
      <c r="H262" s="804"/>
      <c r="I262" s="322">
        <v>5</v>
      </c>
      <c r="J262" s="323">
        <f>I52</f>
        <v>60</v>
      </c>
      <c r="K262" s="323">
        <f t="shared" ref="K262:M262" si="155">J52</f>
        <v>-4.2</v>
      </c>
      <c r="L262" s="323">
        <f t="shared" si="155"/>
        <v>-2</v>
      </c>
      <c r="M262" s="323">
        <f t="shared" si="155"/>
        <v>1.1000000000000001</v>
      </c>
      <c r="N262" s="280"/>
      <c r="O262" s="280"/>
      <c r="P262" s="332"/>
    </row>
    <row r="263" spans="1:16" x14ac:dyDescent="0.2">
      <c r="A263" s="803"/>
      <c r="B263" s="322">
        <v>6</v>
      </c>
      <c r="C263" s="323">
        <f>C63</f>
        <v>30</v>
      </c>
      <c r="D263" s="323">
        <f t="shared" ref="D263:F263" si="156">D63</f>
        <v>-0.5</v>
      </c>
      <c r="E263" s="323">
        <f t="shared" si="156"/>
        <v>0.13</v>
      </c>
      <c r="F263" s="323">
        <f t="shared" si="156"/>
        <v>0.315</v>
      </c>
      <c r="G263" s="280"/>
      <c r="H263" s="804"/>
      <c r="I263" s="322">
        <v>6</v>
      </c>
      <c r="J263" s="323">
        <f>I63</f>
        <v>60</v>
      </c>
      <c r="K263" s="323">
        <f t="shared" ref="K263:M263" si="157">J63</f>
        <v>1.1000000000000001</v>
      </c>
      <c r="L263" s="323">
        <f t="shared" si="157"/>
        <v>-2</v>
      </c>
      <c r="M263" s="323">
        <f t="shared" si="157"/>
        <v>1.55</v>
      </c>
      <c r="N263" s="280"/>
      <c r="O263" s="280"/>
      <c r="P263" s="332"/>
    </row>
    <row r="264" spans="1:16" x14ac:dyDescent="0.2">
      <c r="A264" s="803"/>
      <c r="B264" s="322">
        <v>7</v>
      </c>
      <c r="C264" s="323">
        <f>C74</f>
        <v>30</v>
      </c>
      <c r="D264" s="323">
        <f t="shared" ref="D264:F264" si="158">D74</f>
        <v>-0.6</v>
      </c>
      <c r="E264" s="323">
        <f t="shared" si="158"/>
        <v>-0.1</v>
      </c>
      <c r="F264" s="323">
        <f t="shared" si="158"/>
        <v>0.25</v>
      </c>
      <c r="G264" s="280"/>
      <c r="H264" s="804"/>
      <c r="I264" s="322">
        <v>7</v>
      </c>
      <c r="J264" s="323">
        <f>I74</f>
        <v>60</v>
      </c>
      <c r="K264" s="323">
        <f t="shared" ref="K264:M264" si="159">J74</f>
        <v>0.7</v>
      </c>
      <c r="L264" s="323">
        <f t="shared" si="159"/>
        <v>1.5</v>
      </c>
      <c r="M264" s="323">
        <f t="shared" si="159"/>
        <v>0.4</v>
      </c>
      <c r="N264" s="280"/>
      <c r="O264" s="280"/>
      <c r="P264" s="332"/>
    </row>
    <row r="265" spans="1:16" x14ac:dyDescent="0.2">
      <c r="A265" s="803"/>
      <c r="B265" s="322">
        <v>8</v>
      </c>
      <c r="C265" s="323">
        <f>C85</f>
        <v>30</v>
      </c>
      <c r="D265" s="323">
        <f t="shared" ref="D265:F265" si="160">D85</f>
        <v>-0.4</v>
      </c>
      <c r="E265" s="323">
        <f t="shared" si="160"/>
        <v>-0.2</v>
      </c>
      <c r="F265" s="323">
        <f t="shared" si="160"/>
        <v>0.1</v>
      </c>
      <c r="G265" s="280"/>
      <c r="H265" s="804"/>
      <c r="I265" s="322">
        <v>8</v>
      </c>
      <c r="J265" s="323">
        <f>I85</f>
        <v>60</v>
      </c>
      <c r="K265" s="323">
        <f t="shared" ref="K265:M265" si="161">J85</f>
        <v>-1.1000000000000001</v>
      </c>
      <c r="L265" s="323">
        <f t="shared" si="161"/>
        <v>1.7</v>
      </c>
      <c r="M265" s="323">
        <f t="shared" si="161"/>
        <v>1.4</v>
      </c>
      <c r="N265" s="280"/>
      <c r="O265" s="280"/>
      <c r="P265" s="332"/>
    </row>
    <row r="266" spans="1:16" x14ac:dyDescent="0.2">
      <c r="A266" s="803"/>
      <c r="B266" s="322">
        <v>9</v>
      </c>
      <c r="C266" s="323">
        <f>C96</f>
        <v>30</v>
      </c>
      <c r="D266" s="323">
        <f t="shared" ref="D266:F266" si="162">D96</f>
        <v>-0.5</v>
      </c>
      <c r="E266" s="323" t="str">
        <f t="shared" si="162"/>
        <v>-</v>
      </c>
      <c r="F266" s="323">
        <f t="shared" si="162"/>
        <v>0</v>
      </c>
      <c r="G266" s="280"/>
      <c r="H266" s="804"/>
      <c r="I266" s="322">
        <v>9</v>
      </c>
      <c r="J266" s="323">
        <f>I96</f>
        <v>60</v>
      </c>
      <c r="K266" s="323">
        <f t="shared" ref="K266:M266" si="163">J96</f>
        <v>-0.8</v>
      </c>
      <c r="L266" s="323" t="str">
        <f t="shared" si="163"/>
        <v>-</v>
      </c>
      <c r="M266" s="323">
        <f t="shared" si="163"/>
        <v>0</v>
      </c>
      <c r="N266" s="280"/>
      <c r="O266" s="280"/>
      <c r="P266" s="332"/>
    </row>
    <row r="267" spans="1:16" x14ac:dyDescent="0.2">
      <c r="A267" s="803"/>
      <c r="B267" s="322">
        <v>10</v>
      </c>
      <c r="C267" s="323">
        <f>C107</f>
        <v>30</v>
      </c>
      <c r="D267" s="323">
        <f t="shared" ref="D267:F267" si="164">D107</f>
        <v>0.1</v>
      </c>
      <c r="E267" s="323">
        <f t="shared" si="164"/>
        <v>0.2</v>
      </c>
      <c r="F267" s="323">
        <f t="shared" si="164"/>
        <v>0.05</v>
      </c>
      <c r="G267" s="280"/>
      <c r="H267" s="804"/>
      <c r="I267" s="322">
        <v>10</v>
      </c>
      <c r="J267" s="323">
        <f>I107</f>
        <v>60</v>
      </c>
      <c r="K267" s="323">
        <f t="shared" ref="K267:M267" si="165">J107</f>
        <v>-2.1</v>
      </c>
      <c r="L267" s="323">
        <f t="shared" si="165"/>
        <v>-5.6</v>
      </c>
      <c r="M267" s="323">
        <f t="shared" si="165"/>
        <v>1.7499999999999998</v>
      </c>
      <c r="N267" s="280"/>
      <c r="O267" s="280"/>
      <c r="P267" s="332"/>
    </row>
    <row r="268" spans="1:16" x14ac:dyDescent="0.2">
      <c r="A268" s="803"/>
      <c r="B268" s="322">
        <v>11</v>
      </c>
      <c r="C268" s="323">
        <f>C118</f>
        <v>30</v>
      </c>
      <c r="D268" s="323">
        <f t="shared" ref="D268:F268" si="166">D118</f>
        <v>0.5</v>
      </c>
      <c r="E268" s="323" t="str">
        <f t="shared" si="166"/>
        <v>-</v>
      </c>
      <c r="F268" s="323">
        <f t="shared" si="166"/>
        <v>0</v>
      </c>
      <c r="G268" s="280"/>
      <c r="H268" s="804"/>
      <c r="I268" s="322">
        <v>11</v>
      </c>
      <c r="J268" s="323">
        <f>I118</f>
        <v>60</v>
      </c>
      <c r="K268" s="323">
        <f t="shared" ref="K268:M268" si="167">J118</f>
        <v>-4.8</v>
      </c>
      <c r="L268" s="323" t="str">
        <f t="shared" si="167"/>
        <v>-</v>
      </c>
      <c r="M268" s="323">
        <f t="shared" si="167"/>
        <v>0</v>
      </c>
      <c r="N268" s="280"/>
      <c r="O268" s="280"/>
      <c r="P268" s="332"/>
    </row>
    <row r="269" spans="1:16" x14ac:dyDescent="0.2">
      <c r="A269" s="803"/>
      <c r="B269" s="322">
        <v>12</v>
      </c>
      <c r="C269" s="323">
        <f>C129</f>
        <v>30</v>
      </c>
      <c r="D269" s="323">
        <f t="shared" ref="D269:F269" si="168">D129</f>
        <v>-0.3</v>
      </c>
      <c r="E269" s="323" t="str">
        <f t="shared" si="168"/>
        <v>-</v>
      </c>
      <c r="F269" s="323">
        <f t="shared" si="168"/>
        <v>0</v>
      </c>
      <c r="G269" s="280"/>
      <c r="H269" s="804"/>
      <c r="I269" s="322">
        <v>12</v>
      </c>
      <c r="J269" s="323">
        <f>I129</f>
        <v>60</v>
      </c>
      <c r="K269" s="323">
        <f t="shared" ref="K269:M269" si="169">J129</f>
        <v>-0.6</v>
      </c>
      <c r="L269" s="323" t="str">
        <f t="shared" si="169"/>
        <v>-</v>
      </c>
      <c r="M269" s="323">
        <f t="shared" si="169"/>
        <v>0</v>
      </c>
      <c r="N269" s="280"/>
      <c r="O269" s="280"/>
      <c r="P269" s="332"/>
    </row>
    <row r="270" spans="1:16" x14ac:dyDescent="0.2">
      <c r="A270" s="803"/>
      <c r="B270" s="322">
        <v>13</v>
      </c>
      <c r="C270" s="323">
        <f>C140</f>
        <v>30</v>
      </c>
      <c r="D270" s="323">
        <f t="shared" ref="D270:F270" si="170">D140</f>
        <v>0.1</v>
      </c>
      <c r="E270" s="323" t="str">
        <f t="shared" si="170"/>
        <v>-</v>
      </c>
      <c r="F270" s="323">
        <f t="shared" si="170"/>
        <v>0</v>
      </c>
      <c r="G270" s="280"/>
      <c r="H270" s="804"/>
      <c r="I270" s="322">
        <v>13</v>
      </c>
      <c r="J270" s="323">
        <f>I140</f>
        <v>60</v>
      </c>
      <c r="K270" s="323">
        <f t="shared" ref="K270:M270" si="171">J140</f>
        <v>-1.5</v>
      </c>
      <c r="L270" s="323" t="str">
        <f t="shared" si="171"/>
        <v>-</v>
      </c>
      <c r="M270" s="323">
        <f t="shared" si="171"/>
        <v>0</v>
      </c>
      <c r="N270" s="280"/>
      <c r="O270" s="280"/>
      <c r="P270" s="332"/>
    </row>
    <row r="271" spans="1:16" x14ac:dyDescent="0.2">
      <c r="A271" s="803"/>
      <c r="B271" s="322">
        <v>14</v>
      </c>
      <c r="C271" s="323">
        <f>C151</f>
        <v>30</v>
      </c>
      <c r="D271" s="323">
        <f t="shared" ref="D271:F271" si="172">D151</f>
        <v>-0.2</v>
      </c>
      <c r="E271" s="323" t="str">
        <f t="shared" si="172"/>
        <v>-</v>
      </c>
      <c r="F271" s="323">
        <f t="shared" si="172"/>
        <v>0</v>
      </c>
      <c r="G271" s="280"/>
      <c r="H271" s="804"/>
      <c r="I271" s="322">
        <v>14</v>
      </c>
      <c r="J271" s="323">
        <f>I151</f>
        <v>60</v>
      </c>
      <c r="K271" s="323">
        <f t="shared" ref="K271:M271" si="173">J151</f>
        <v>-0.5</v>
      </c>
      <c r="L271" s="323" t="str">
        <f t="shared" si="173"/>
        <v>-</v>
      </c>
      <c r="M271" s="323">
        <f t="shared" si="173"/>
        <v>0</v>
      </c>
      <c r="N271" s="280"/>
      <c r="O271" s="280"/>
      <c r="P271" s="332"/>
    </row>
    <row r="272" spans="1:16" x14ac:dyDescent="0.2">
      <c r="A272" s="803"/>
      <c r="B272" s="322">
        <v>15</v>
      </c>
      <c r="C272" s="323">
        <f>C162</f>
        <v>30</v>
      </c>
      <c r="D272" s="323">
        <f t="shared" ref="D272:F272" si="174">D162</f>
        <v>0.2</v>
      </c>
      <c r="E272" s="323" t="str">
        <f t="shared" si="174"/>
        <v>-</v>
      </c>
      <c r="F272" s="323">
        <f t="shared" si="174"/>
        <v>0</v>
      </c>
      <c r="G272" s="280"/>
      <c r="H272" s="804"/>
      <c r="I272" s="322">
        <v>15</v>
      </c>
      <c r="J272" s="323">
        <f>I162</f>
        <v>60</v>
      </c>
      <c r="K272" s="323">
        <f t="shared" ref="K272:M272" si="175">J162</f>
        <v>-1.5</v>
      </c>
      <c r="L272" s="323" t="str">
        <f t="shared" si="175"/>
        <v>-</v>
      </c>
      <c r="M272" s="323">
        <f t="shared" si="175"/>
        <v>0</v>
      </c>
      <c r="N272" s="280"/>
      <c r="O272" s="280"/>
      <c r="P272" s="332"/>
    </row>
    <row r="273" spans="1:16" x14ac:dyDescent="0.2">
      <c r="A273" s="803"/>
      <c r="B273" s="322">
        <v>16</v>
      </c>
      <c r="C273" s="323">
        <f>C173</f>
        <v>30</v>
      </c>
      <c r="D273" s="323">
        <f t="shared" ref="D273:F273" si="176">D173</f>
        <v>-0.2</v>
      </c>
      <c r="E273" s="323" t="str">
        <f t="shared" si="176"/>
        <v>-</v>
      </c>
      <c r="F273" s="323">
        <f t="shared" si="176"/>
        <v>0</v>
      </c>
      <c r="G273" s="280"/>
      <c r="H273" s="804"/>
      <c r="I273" s="322">
        <v>16</v>
      </c>
      <c r="J273" s="323">
        <f>I173</f>
        <v>60</v>
      </c>
      <c r="K273" s="323">
        <f t="shared" ref="K273:M273" si="177">J173</f>
        <v>1.0000000000000001E-5</v>
      </c>
      <c r="L273" s="323" t="str">
        <f t="shared" si="177"/>
        <v>-</v>
      </c>
      <c r="M273" s="323">
        <f t="shared" si="177"/>
        <v>0</v>
      </c>
      <c r="N273" s="280"/>
      <c r="O273" s="280"/>
      <c r="P273" s="332"/>
    </row>
    <row r="274" spans="1:16" x14ac:dyDescent="0.2">
      <c r="A274" s="803"/>
      <c r="B274" s="322">
        <v>17</v>
      </c>
      <c r="C274" s="323">
        <f>C183</f>
        <v>30</v>
      </c>
      <c r="D274" s="323">
        <f t="shared" ref="D274:F274" si="178">D183</f>
        <v>-0.2</v>
      </c>
      <c r="E274" s="323" t="str">
        <f t="shared" si="178"/>
        <v>-</v>
      </c>
      <c r="F274" s="323">
        <f t="shared" si="178"/>
        <v>0</v>
      </c>
      <c r="G274" s="280"/>
      <c r="H274" s="804"/>
      <c r="I274" s="322">
        <v>17</v>
      </c>
      <c r="J274" s="323">
        <f>I183</f>
        <v>60</v>
      </c>
      <c r="K274" s="323">
        <f t="shared" ref="K274:M274" si="179">J183</f>
        <v>-0.2</v>
      </c>
      <c r="L274" s="323" t="str">
        <f t="shared" si="179"/>
        <v>-</v>
      </c>
      <c r="M274" s="323">
        <f t="shared" si="179"/>
        <v>0</v>
      </c>
      <c r="N274" s="280"/>
      <c r="O274" s="280"/>
      <c r="P274" s="332"/>
    </row>
    <row r="275" spans="1:16" x14ac:dyDescent="0.2">
      <c r="A275" s="803"/>
      <c r="B275" s="322">
        <v>18</v>
      </c>
      <c r="C275" s="323">
        <f>C193</f>
        <v>30</v>
      </c>
      <c r="D275" s="323">
        <f t="shared" ref="D275:F275" si="180">D193</f>
        <v>-0.1</v>
      </c>
      <c r="E275" s="323" t="str">
        <f t="shared" si="180"/>
        <v>-</v>
      </c>
      <c r="F275" s="323">
        <f t="shared" si="180"/>
        <v>0</v>
      </c>
      <c r="G275" s="280"/>
      <c r="H275" s="804"/>
      <c r="I275" s="322">
        <v>18</v>
      </c>
      <c r="J275" s="323">
        <f>I193</f>
        <v>60</v>
      </c>
      <c r="K275" s="323">
        <f t="shared" ref="K275:M275" si="181">J193</f>
        <v>1.0000000000000001E-5</v>
      </c>
      <c r="L275" s="323" t="str">
        <f t="shared" si="181"/>
        <v>-</v>
      </c>
      <c r="M275" s="323">
        <f t="shared" si="181"/>
        <v>0</v>
      </c>
      <c r="N275" s="280"/>
      <c r="O275" s="280"/>
      <c r="P275" s="332"/>
    </row>
    <row r="276" spans="1:16" x14ac:dyDescent="0.2">
      <c r="A276" s="133"/>
      <c r="B276" s="134"/>
      <c r="C276" s="137"/>
      <c r="D276" s="137"/>
      <c r="E276" s="137"/>
      <c r="F276" s="138"/>
      <c r="G276" s="109"/>
      <c r="H276" s="133"/>
      <c r="I276" s="139"/>
      <c r="J276" s="137"/>
      <c r="K276" s="137"/>
      <c r="L276" s="137"/>
      <c r="M276" s="138"/>
      <c r="N276" s="280"/>
      <c r="O276" s="280"/>
      <c r="P276" s="332"/>
    </row>
    <row r="277" spans="1:16" x14ac:dyDescent="0.2">
      <c r="A277" s="803" t="s">
        <v>186</v>
      </c>
      <c r="B277" s="322">
        <v>1</v>
      </c>
      <c r="C277" s="323">
        <f>C9</f>
        <v>35</v>
      </c>
      <c r="D277" s="323">
        <f t="shared" ref="D277:F277" si="182">D9</f>
        <v>-0.1</v>
      </c>
      <c r="E277" s="323">
        <f t="shared" si="182"/>
        <v>-0.5</v>
      </c>
      <c r="F277" s="323">
        <f t="shared" si="182"/>
        <v>0.2</v>
      </c>
      <c r="G277" s="280"/>
      <c r="H277" s="804" t="s">
        <v>186</v>
      </c>
      <c r="I277" s="322">
        <v>1</v>
      </c>
      <c r="J277" s="323">
        <f>I20</f>
        <v>70</v>
      </c>
      <c r="K277" s="323">
        <f t="shared" ref="K277:M277" si="183">J20</f>
        <v>-1.1000000000000001</v>
      </c>
      <c r="L277" s="323">
        <f t="shared" si="183"/>
        <v>-1</v>
      </c>
      <c r="M277" s="323">
        <f t="shared" si="183"/>
        <v>5.0000000000000044E-2</v>
      </c>
      <c r="N277" s="280"/>
      <c r="O277" s="280"/>
      <c r="P277" s="332"/>
    </row>
    <row r="278" spans="1:16" x14ac:dyDescent="0.2">
      <c r="A278" s="803"/>
      <c r="B278" s="322">
        <v>2</v>
      </c>
      <c r="C278" s="323">
        <f>C20</f>
        <v>35</v>
      </c>
      <c r="D278" s="323">
        <f t="shared" ref="D278:F278" si="184">D20</f>
        <v>-0.3</v>
      </c>
      <c r="E278" s="323">
        <f t="shared" si="184"/>
        <v>-1.6</v>
      </c>
      <c r="F278" s="323">
        <f t="shared" si="184"/>
        <v>0.65</v>
      </c>
      <c r="G278" s="280"/>
      <c r="H278" s="804"/>
      <c r="I278" s="322">
        <v>2</v>
      </c>
      <c r="J278" s="323">
        <f>I20</f>
        <v>70</v>
      </c>
      <c r="K278" s="323">
        <f t="shared" ref="K278:M278" si="185">J20</f>
        <v>-1.1000000000000001</v>
      </c>
      <c r="L278" s="323">
        <f t="shared" si="185"/>
        <v>-1</v>
      </c>
      <c r="M278" s="323">
        <f t="shared" si="185"/>
        <v>5.0000000000000044E-2</v>
      </c>
      <c r="N278" s="280"/>
      <c r="O278" s="280"/>
      <c r="P278" s="332"/>
    </row>
    <row r="279" spans="1:16" x14ac:dyDescent="0.2">
      <c r="A279" s="803"/>
      <c r="B279" s="322">
        <v>3</v>
      </c>
      <c r="C279" s="323">
        <f>C31</f>
        <v>35</v>
      </c>
      <c r="D279" s="323">
        <f t="shared" ref="D279:F279" si="186">D31</f>
        <v>-0.5</v>
      </c>
      <c r="E279" s="323">
        <f t="shared" si="186"/>
        <v>-0.4</v>
      </c>
      <c r="F279" s="323">
        <f t="shared" si="186"/>
        <v>4.9999999999999989E-2</v>
      </c>
      <c r="G279" s="280"/>
      <c r="H279" s="804"/>
      <c r="I279" s="322">
        <v>3</v>
      </c>
      <c r="J279" s="323">
        <f>I31</f>
        <v>70</v>
      </c>
      <c r="K279" s="323">
        <f t="shared" ref="K279:M279" si="187">J31</f>
        <v>-3.6</v>
      </c>
      <c r="L279" s="323">
        <f t="shared" si="187"/>
        <v>-1.6</v>
      </c>
      <c r="M279" s="323">
        <f t="shared" si="187"/>
        <v>1</v>
      </c>
      <c r="N279" s="280"/>
      <c r="O279" s="280"/>
      <c r="P279" s="332"/>
    </row>
    <row r="280" spans="1:16" x14ac:dyDescent="0.2">
      <c r="A280" s="803"/>
      <c r="B280" s="322">
        <v>4</v>
      </c>
      <c r="C280" s="323">
        <f>C42</f>
        <v>35</v>
      </c>
      <c r="D280" s="323">
        <f t="shared" ref="D280:F280" si="188">D42</f>
        <v>-0.6</v>
      </c>
      <c r="E280" s="323">
        <f t="shared" si="188"/>
        <v>-1.5</v>
      </c>
      <c r="F280" s="323">
        <f t="shared" si="188"/>
        <v>0.45</v>
      </c>
      <c r="G280" s="280"/>
      <c r="H280" s="804"/>
      <c r="I280" s="322">
        <v>4</v>
      </c>
      <c r="J280" s="323">
        <f>I42</f>
        <v>70</v>
      </c>
      <c r="K280" s="323">
        <f t="shared" ref="K280:M280" si="189">J42</f>
        <v>0.7</v>
      </c>
      <c r="L280" s="323">
        <f t="shared" si="189"/>
        <v>-0.7</v>
      </c>
      <c r="M280" s="323">
        <f t="shared" si="189"/>
        <v>0.7</v>
      </c>
      <c r="N280" s="280"/>
      <c r="O280" s="280"/>
      <c r="P280" s="332"/>
    </row>
    <row r="281" spans="1:16" x14ac:dyDescent="0.2">
      <c r="A281" s="803"/>
      <c r="B281" s="322">
        <v>5</v>
      </c>
      <c r="C281" s="323">
        <f>C53</f>
        <v>35</v>
      </c>
      <c r="D281" s="323">
        <f t="shared" ref="D281:F281" si="190">D53</f>
        <v>1.0000000000000001E-5</v>
      </c>
      <c r="E281" s="323">
        <f t="shared" si="190"/>
        <v>-1.1000000000000001</v>
      </c>
      <c r="F281" s="323">
        <f t="shared" si="190"/>
        <v>0.55000500000000008</v>
      </c>
      <c r="G281" s="280"/>
      <c r="H281" s="804"/>
      <c r="I281" s="322">
        <v>5</v>
      </c>
      <c r="J281" s="323">
        <f>I53</f>
        <v>70</v>
      </c>
      <c r="K281" s="323">
        <f t="shared" ref="K281:M281" si="191">J53</f>
        <v>-2.1</v>
      </c>
      <c r="L281" s="323">
        <f t="shared" si="191"/>
        <v>-1.6</v>
      </c>
      <c r="M281" s="323">
        <f t="shared" si="191"/>
        <v>0.25</v>
      </c>
      <c r="N281" s="280"/>
      <c r="O281" s="280"/>
      <c r="P281" s="332"/>
    </row>
    <row r="282" spans="1:16" x14ac:dyDescent="0.2">
      <c r="A282" s="803"/>
      <c r="B282" s="322">
        <v>6</v>
      </c>
      <c r="C282" s="323">
        <f>C64</f>
        <v>35</v>
      </c>
      <c r="D282" s="323">
        <f t="shared" ref="D282:F282" si="192">D64</f>
        <v>-0.9</v>
      </c>
      <c r="E282" s="323">
        <f t="shared" si="192"/>
        <v>0.1</v>
      </c>
      <c r="F282" s="323">
        <f t="shared" si="192"/>
        <v>0.5</v>
      </c>
      <c r="G282" s="280"/>
      <c r="H282" s="804"/>
      <c r="I282" s="322">
        <v>6</v>
      </c>
      <c r="J282" s="323">
        <f>I64</f>
        <v>70</v>
      </c>
      <c r="K282" s="323">
        <f t="shared" ref="K282:M282" si="193">J64</f>
        <v>0.9</v>
      </c>
      <c r="L282" s="323">
        <f t="shared" si="193"/>
        <v>-2.1</v>
      </c>
      <c r="M282" s="323">
        <f t="shared" si="193"/>
        <v>1.5</v>
      </c>
      <c r="N282" s="280"/>
      <c r="O282" s="280"/>
      <c r="P282" s="332"/>
    </row>
    <row r="283" spans="1:16" x14ac:dyDescent="0.2">
      <c r="A283" s="803"/>
      <c r="B283" s="322">
        <v>7</v>
      </c>
      <c r="C283" s="323">
        <f>C75</f>
        <v>35</v>
      </c>
      <c r="D283" s="323">
        <f t="shared" ref="D283:F283" si="194">D75</f>
        <v>-1.1000000000000001</v>
      </c>
      <c r="E283" s="323">
        <f t="shared" si="194"/>
        <v>-0.1</v>
      </c>
      <c r="F283" s="323">
        <f t="shared" si="194"/>
        <v>0.5</v>
      </c>
      <c r="G283" s="280"/>
      <c r="H283" s="804"/>
      <c r="I283" s="322">
        <v>7</v>
      </c>
      <c r="J283" s="323">
        <f>I75</f>
        <v>70</v>
      </c>
      <c r="K283" s="323">
        <f t="shared" ref="K283:M283" si="195">J75</f>
        <v>0.9</v>
      </c>
      <c r="L283" s="323">
        <f t="shared" si="195"/>
        <v>2.8</v>
      </c>
      <c r="M283" s="323">
        <f t="shared" si="195"/>
        <v>0.95</v>
      </c>
      <c r="N283" s="280"/>
      <c r="O283" s="280"/>
      <c r="P283" s="332"/>
    </row>
    <row r="284" spans="1:16" x14ac:dyDescent="0.2">
      <c r="A284" s="803"/>
      <c r="B284" s="322">
        <v>8</v>
      </c>
      <c r="C284" s="323">
        <f>C86</f>
        <v>35</v>
      </c>
      <c r="D284" s="323">
        <f t="shared" ref="D284:F284" si="196">D86</f>
        <v>-0.5</v>
      </c>
      <c r="E284" s="323">
        <f t="shared" si="196"/>
        <v>-0.3</v>
      </c>
      <c r="F284" s="323">
        <f t="shared" si="196"/>
        <v>0.1</v>
      </c>
      <c r="G284" s="280"/>
      <c r="H284" s="804"/>
      <c r="I284" s="322">
        <v>8</v>
      </c>
      <c r="J284" s="323">
        <f>I86</f>
        <v>70</v>
      </c>
      <c r="K284" s="323">
        <f t="shared" ref="K284:M284" si="197">J86</f>
        <v>-1.2</v>
      </c>
      <c r="L284" s="323">
        <f t="shared" si="197"/>
        <v>2.1</v>
      </c>
      <c r="M284" s="323">
        <f t="shared" si="197"/>
        <v>1.65</v>
      </c>
      <c r="N284" s="280"/>
      <c r="O284" s="280"/>
      <c r="P284" s="332"/>
    </row>
    <row r="285" spans="1:16" x14ac:dyDescent="0.2">
      <c r="A285" s="803"/>
      <c r="B285" s="322">
        <v>9</v>
      </c>
      <c r="C285" s="323">
        <f>C97</f>
        <v>35</v>
      </c>
      <c r="D285" s="323">
        <f t="shared" ref="D285:F285" si="198">D97</f>
        <v>-0.5</v>
      </c>
      <c r="E285" s="323" t="str">
        <f t="shared" si="198"/>
        <v>-</v>
      </c>
      <c r="F285" s="323">
        <f t="shared" si="198"/>
        <v>0</v>
      </c>
      <c r="G285" s="280"/>
      <c r="H285" s="804"/>
      <c r="I285" s="322">
        <v>9</v>
      </c>
      <c r="J285" s="323">
        <f>I97</f>
        <v>70</v>
      </c>
      <c r="K285" s="323">
        <f t="shared" ref="K285:M285" si="199">J97</f>
        <v>-0.6</v>
      </c>
      <c r="L285" s="323" t="str">
        <f t="shared" si="199"/>
        <v>-</v>
      </c>
      <c r="M285" s="323">
        <f t="shared" si="199"/>
        <v>0</v>
      </c>
      <c r="N285" s="280"/>
      <c r="O285" s="280"/>
      <c r="P285" s="332"/>
    </row>
    <row r="286" spans="1:16" x14ac:dyDescent="0.2">
      <c r="A286" s="803"/>
      <c r="B286" s="322">
        <v>10</v>
      </c>
      <c r="C286" s="323">
        <f>C108</f>
        <v>35</v>
      </c>
      <c r="D286" s="323">
        <f t="shared" ref="D286:F286" si="200">D108</f>
        <v>0.2</v>
      </c>
      <c r="E286" s="323">
        <f t="shared" si="200"/>
        <v>0.8</v>
      </c>
      <c r="F286" s="323">
        <f t="shared" si="200"/>
        <v>0.30000000000000004</v>
      </c>
      <c r="G286" s="280"/>
      <c r="H286" s="804"/>
      <c r="I286" s="322">
        <v>10</v>
      </c>
      <c r="J286" s="323">
        <f>I108</f>
        <v>70</v>
      </c>
      <c r="K286" s="323">
        <f t="shared" ref="K286:M286" si="201">J108</f>
        <v>-0.3</v>
      </c>
      <c r="L286" s="323">
        <f t="shared" si="201"/>
        <v>-5.0999999999999996</v>
      </c>
      <c r="M286" s="323">
        <f t="shared" si="201"/>
        <v>2.4</v>
      </c>
      <c r="N286" s="280"/>
      <c r="O286" s="280"/>
      <c r="P286" s="332"/>
    </row>
    <row r="287" spans="1:16" x14ac:dyDescent="0.2">
      <c r="A287" s="803"/>
      <c r="B287" s="322">
        <v>11</v>
      </c>
      <c r="C287" s="323">
        <f>C119</f>
        <v>35</v>
      </c>
      <c r="D287" s="323">
        <f t="shared" ref="D287:F287" si="202">D119</f>
        <v>0.5</v>
      </c>
      <c r="E287" s="323" t="str">
        <f t="shared" si="202"/>
        <v>-</v>
      </c>
      <c r="F287" s="323">
        <f t="shared" si="202"/>
        <v>0</v>
      </c>
      <c r="G287" s="280"/>
      <c r="H287" s="804"/>
      <c r="I287" s="322">
        <v>11</v>
      </c>
      <c r="J287" s="323">
        <f>I119</f>
        <v>70</v>
      </c>
      <c r="K287" s="323">
        <f t="shared" ref="K287:M287" si="203">J119</f>
        <v>-3.4</v>
      </c>
      <c r="L287" s="323" t="str">
        <f t="shared" si="203"/>
        <v>-</v>
      </c>
      <c r="M287" s="323">
        <f t="shared" si="203"/>
        <v>0</v>
      </c>
      <c r="N287" s="280"/>
      <c r="O287" s="280"/>
      <c r="P287" s="332"/>
    </row>
    <row r="288" spans="1:16" x14ac:dyDescent="0.2">
      <c r="A288" s="803"/>
      <c r="B288" s="322">
        <v>12</v>
      </c>
      <c r="C288" s="323">
        <f>C130</f>
        <v>35</v>
      </c>
      <c r="D288" s="323">
        <f t="shared" ref="D288:F288" si="204">D130</f>
        <v>-0.6</v>
      </c>
      <c r="E288" s="323" t="str">
        <f t="shared" si="204"/>
        <v>-</v>
      </c>
      <c r="F288" s="323">
        <f t="shared" si="204"/>
        <v>0</v>
      </c>
      <c r="G288" s="280"/>
      <c r="H288" s="804"/>
      <c r="I288" s="322">
        <v>12</v>
      </c>
      <c r="J288" s="323">
        <f>I130</f>
        <v>70</v>
      </c>
      <c r="K288" s="323">
        <f t="shared" ref="K288:M288" si="205">J130</f>
        <v>-0.8</v>
      </c>
      <c r="L288" s="323" t="str">
        <f t="shared" si="205"/>
        <v>-</v>
      </c>
      <c r="M288" s="323">
        <f t="shared" si="205"/>
        <v>0</v>
      </c>
      <c r="N288" s="280"/>
      <c r="O288" s="280"/>
      <c r="P288" s="332"/>
    </row>
    <row r="289" spans="1:16" x14ac:dyDescent="0.2">
      <c r="A289" s="803"/>
      <c r="B289" s="322">
        <v>13</v>
      </c>
      <c r="C289" s="323">
        <f>C141</f>
        <v>35</v>
      </c>
      <c r="D289" s="323">
        <f t="shared" ref="D289:F289" si="206">D141</f>
        <v>0.3</v>
      </c>
      <c r="E289" s="323" t="str">
        <f t="shared" si="206"/>
        <v>-</v>
      </c>
      <c r="F289" s="323">
        <f t="shared" si="206"/>
        <v>0</v>
      </c>
      <c r="G289" s="280"/>
      <c r="H289" s="804"/>
      <c r="I289" s="322">
        <v>13</v>
      </c>
      <c r="J289" s="323">
        <f>I141</f>
        <v>70</v>
      </c>
      <c r="K289" s="323">
        <f t="shared" ref="K289:M289" si="207">J141</f>
        <v>-1.9</v>
      </c>
      <c r="L289" s="323" t="str">
        <f t="shared" si="207"/>
        <v>-</v>
      </c>
      <c r="M289" s="323">
        <f t="shared" si="207"/>
        <v>0</v>
      </c>
      <c r="N289" s="280"/>
      <c r="O289" s="280"/>
      <c r="P289" s="332"/>
    </row>
    <row r="290" spans="1:16" x14ac:dyDescent="0.2">
      <c r="A290" s="803"/>
      <c r="B290" s="322">
        <v>14</v>
      </c>
      <c r="C290" s="323">
        <f>C152</f>
        <v>35</v>
      </c>
      <c r="D290" s="323">
        <f t="shared" ref="D290:F290" si="208">D152</f>
        <v>-0.1</v>
      </c>
      <c r="E290" s="323" t="str">
        <f t="shared" si="208"/>
        <v>-</v>
      </c>
      <c r="F290" s="323">
        <f t="shared" si="208"/>
        <v>0</v>
      </c>
      <c r="G290" s="280"/>
      <c r="H290" s="804"/>
      <c r="I290" s="322">
        <v>14</v>
      </c>
      <c r="J290" s="323">
        <f>I152</f>
        <v>70</v>
      </c>
      <c r="K290" s="323">
        <f t="shared" ref="K290:M290" si="209">J152</f>
        <v>-0.8</v>
      </c>
      <c r="L290" s="323" t="str">
        <f t="shared" si="209"/>
        <v>-</v>
      </c>
      <c r="M290" s="323">
        <f t="shared" si="209"/>
        <v>0</v>
      </c>
      <c r="N290" s="280"/>
      <c r="O290" s="280"/>
      <c r="P290" s="332"/>
    </row>
    <row r="291" spans="1:16" x14ac:dyDescent="0.2">
      <c r="A291" s="803"/>
      <c r="B291" s="322">
        <v>15</v>
      </c>
      <c r="C291" s="323">
        <f>C163</f>
        <v>35</v>
      </c>
      <c r="D291" s="323">
        <f t="shared" ref="D291:F291" si="210">D163</f>
        <v>0.1</v>
      </c>
      <c r="E291" s="323" t="str">
        <f t="shared" si="210"/>
        <v>-</v>
      </c>
      <c r="F291" s="323">
        <f t="shared" si="210"/>
        <v>0</v>
      </c>
      <c r="G291" s="280"/>
      <c r="H291" s="804"/>
      <c r="I291" s="322">
        <v>15</v>
      </c>
      <c r="J291" s="323">
        <f>I163</f>
        <v>70</v>
      </c>
      <c r="K291" s="323">
        <f t="shared" ref="K291:M291" si="211">J163</f>
        <v>-1.8</v>
      </c>
      <c r="L291" s="323" t="str">
        <f t="shared" si="211"/>
        <v>-</v>
      </c>
      <c r="M291" s="323">
        <f t="shared" si="211"/>
        <v>0</v>
      </c>
      <c r="N291" s="280"/>
      <c r="O291" s="280"/>
      <c r="P291" s="332"/>
    </row>
    <row r="292" spans="1:16" x14ac:dyDescent="0.2">
      <c r="A292" s="803"/>
      <c r="B292" s="322">
        <v>16</v>
      </c>
      <c r="C292" s="323">
        <f>C174</f>
        <v>35</v>
      </c>
      <c r="D292" s="323">
        <f t="shared" ref="D292:F292" si="212">D174</f>
        <v>-0.5</v>
      </c>
      <c r="E292" s="323" t="str">
        <f t="shared" si="212"/>
        <v>-</v>
      </c>
      <c r="F292" s="323">
        <f t="shared" si="212"/>
        <v>0</v>
      </c>
      <c r="G292" s="280"/>
      <c r="H292" s="804"/>
      <c r="I292" s="322">
        <v>16</v>
      </c>
      <c r="J292" s="323">
        <f>I174</f>
        <v>70</v>
      </c>
      <c r="K292" s="323">
        <f t="shared" ref="K292:M292" si="213">J174</f>
        <v>-0.3</v>
      </c>
      <c r="L292" s="323" t="str">
        <f t="shared" si="213"/>
        <v>-</v>
      </c>
      <c r="M292" s="323">
        <f t="shared" si="213"/>
        <v>0</v>
      </c>
      <c r="N292" s="280"/>
      <c r="O292" s="280"/>
      <c r="P292" s="332"/>
    </row>
    <row r="293" spans="1:16" x14ac:dyDescent="0.2">
      <c r="A293" s="803"/>
      <c r="B293" s="322">
        <v>17</v>
      </c>
      <c r="C293" s="323">
        <f>C184</f>
        <v>35</v>
      </c>
      <c r="D293" s="323">
        <f t="shared" ref="D293:F293" si="214">D184</f>
        <v>-0.3</v>
      </c>
      <c r="E293" s="323" t="str">
        <f t="shared" si="214"/>
        <v>-</v>
      </c>
      <c r="F293" s="323">
        <f t="shared" si="214"/>
        <v>0</v>
      </c>
      <c r="G293" s="280"/>
      <c r="H293" s="804"/>
      <c r="I293" s="322">
        <v>17</v>
      </c>
      <c r="J293" s="323">
        <f>I184</f>
        <v>70</v>
      </c>
      <c r="K293" s="323">
        <f t="shared" ref="K293:M293" si="215">J184</f>
        <v>-0.3</v>
      </c>
      <c r="L293" s="323" t="str">
        <f t="shared" si="215"/>
        <v>-</v>
      </c>
      <c r="M293" s="323">
        <f t="shared" si="215"/>
        <v>0</v>
      </c>
      <c r="N293" s="280"/>
      <c r="O293" s="280"/>
      <c r="P293" s="332"/>
    </row>
    <row r="294" spans="1:16" x14ac:dyDescent="0.2">
      <c r="A294" s="803"/>
      <c r="B294" s="322">
        <v>18</v>
      </c>
      <c r="C294" s="323">
        <f>C194</f>
        <v>35</v>
      </c>
      <c r="D294" s="323">
        <f t="shared" ref="D294:F294" si="216">D194</f>
        <v>-0.2</v>
      </c>
      <c r="E294" s="323" t="str">
        <f t="shared" si="216"/>
        <v>-</v>
      </c>
      <c r="F294" s="323">
        <f t="shared" si="216"/>
        <v>0</v>
      </c>
      <c r="G294" s="280"/>
      <c r="H294" s="804"/>
      <c r="I294" s="322">
        <v>18</v>
      </c>
      <c r="J294" s="323">
        <f>I194</f>
        <v>70</v>
      </c>
      <c r="K294" s="323">
        <f t="shared" ref="K294:M294" si="217">J194</f>
        <v>-0.1</v>
      </c>
      <c r="L294" s="323" t="str">
        <f t="shared" si="217"/>
        <v>-</v>
      </c>
      <c r="M294" s="323">
        <f t="shared" si="217"/>
        <v>0</v>
      </c>
      <c r="N294" s="280"/>
      <c r="O294" s="280"/>
      <c r="P294" s="332"/>
    </row>
    <row r="295" spans="1:16" x14ac:dyDescent="0.2">
      <c r="A295" s="133"/>
      <c r="B295" s="134"/>
      <c r="C295" s="137"/>
      <c r="D295" s="137"/>
      <c r="E295" s="137"/>
      <c r="F295" s="138"/>
      <c r="G295" s="109"/>
      <c r="H295" s="133"/>
      <c r="I295" s="134"/>
      <c r="J295" s="137"/>
      <c r="K295" s="137"/>
      <c r="L295" s="137"/>
      <c r="M295" s="138"/>
      <c r="N295" s="280"/>
      <c r="O295" s="280"/>
      <c r="P295" s="332"/>
    </row>
    <row r="296" spans="1:16" x14ac:dyDescent="0.2">
      <c r="A296" s="803" t="s">
        <v>188</v>
      </c>
      <c r="B296" s="322">
        <v>1</v>
      </c>
      <c r="C296" s="323">
        <f>C10</f>
        <v>37</v>
      </c>
      <c r="D296" s="323">
        <f t="shared" ref="D296:F296" si="218">D10</f>
        <v>-0.2</v>
      </c>
      <c r="E296" s="323">
        <f t="shared" si="218"/>
        <v>-0.6</v>
      </c>
      <c r="F296" s="323">
        <f t="shared" si="218"/>
        <v>0.19999999999999998</v>
      </c>
      <c r="G296" s="280"/>
      <c r="H296" s="804" t="s">
        <v>188</v>
      </c>
      <c r="I296" s="322">
        <v>1</v>
      </c>
      <c r="J296" s="323">
        <f>I10</f>
        <v>80</v>
      </c>
      <c r="K296" s="323">
        <f t="shared" ref="K296:M296" si="219">J10</f>
        <v>-1.6</v>
      </c>
      <c r="L296" s="323">
        <f t="shared" si="219"/>
        <v>1.0000000000000001E-5</v>
      </c>
      <c r="M296" s="323">
        <f t="shared" si="219"/>
        <v>0.80000500000000008</v>
      </c>
      <c r="N296" s="280"/>
      <c r="O296" s="280"/>
      <c r="P296" s="332"/>
    </row>
    <row r="297" spans="1:16" x14ac:dyDescent="0.2">
      <c r="A297" s="803"/>
      <c r="B297" s="322">
        <v>2</v>
      </c>
      <c r="C297" s="323">
        <f>C21</f>
        <v>37</v>
      </c>
      <c r="D297" s="323">
        <f t="shared" ref="D297:F297" si="220">D21</f>
        <v>-0.3</v>
      </c>
      <c r="E297" s="323">
        <f t="shared" si="220"/>
        <v>-1.8</v>
      </c>
      <c r="F297" s="323">
        <f t="shared" si="220"/>
        <v>0.75</v>
      </c>
      <c r="G297" s="280"/>
      <c r="H297" s="804"/>
      <c r="I297" s="322">
        <v>2</v>
      </c>
      <c r="J297" s="323">
        <f>I21</f>
        <v>80</v>
      </c>
      <c r="K297" s="323">
        <f t="shared" ref="K297:M297" si="221">J21</f>
        <v>-0.7</v>
      </c>
      <c r="L297" s="323">
        <f t="shared" si="221"/>
        <v>-0.4</v>
      </c>
      <c r="M297" s="323">
        <f t="shared" si="221"/>
        <v>0.14999999999999997</v>
      </c>
      <c r="N297" s="280"/>
      <c r="O297" s="280"/>
      <c r="P297" s="332"/>
    </row>
    <row r="298" spans="1:16" x14ac:dyDescent="0.2">
      <c r="A298" s="803"/>
      <c r="B298" s="322">
        <v>3</v>
      </c>
      <c r="C298" s="323">
        <f>C32</f>
        <v>37</v>
      </c>
      <c r="D298" s="323">
        <f t="shared" ref="D298:F298" si="222">D32</f>
        <v>-0.6</v>
      </c>
      <c r="E298" s="323">
        <f t="shared" si="222"/>
        <v>-0.5</v>
      </c>
      <c r="F298" s="323">
        <f t="shared" si="222"/>
        <v>4.9999999999999989E-2</v>
      </c>
      <c r="G298" s="280"/>
      <c r="H298" s="804"/>
      <c r="I298" s="322">
        <v>3</v>
      </c>
      <c r="J298" s="323">
        <f>I32</f>
        <v>80</v>
      </c>
      <c r="K298" s="323">
        <f t="shared" ref="K298:M298" si="223">J32</f>
        <v>-2.9</v>
      </c>
      <c r="L298" s="323">
        <f t="shared" si="223"/>
        <v>-0.6</v>
      </c>
      <c r="M298" s="323">
        <f t="shared" si="223"/>
        <v>1.1499999999999999</v>
      </c>
      <c r="N298" s="280"/>
      <c r="O298" s="280"/>
      <c r="P298" s="332"/>
    </row>
    <row r="299" spans="1:16" x14ac:dyDescent="0.2">
      <c r="A299" s="803"/>
      <c r="B299" s="322">
        <v>4</v>
      </c>
      <c r="C299" s="323">
        <f>C43</f>
        <v>37</v>
      </c>
      <c r="D299" s="323">
        <f t="shared" ref="D299:F299" si="224">D43</f>
        <v>-0.6</v>
      </c>
      <c r="E299" s="323">
        <f t="shared" si="224"/>
        <v>-1.8</v>
      </c>
      <c r="F299" s="323">
        <f t="shared" si="224"/>
        <v>0.60000000000000009</v>
      </c>
      <c r="G299" s="280"/>
      <c r="H299" s="804"/>
      <c r="I299" s="322">
        <v>4</v>
      </c>
      <c r="J299" s="323">
        <f>I43</f>
        <v>80</v>
      </c>
      <c r="K299" s="323">
        <f t="shared" ref="K299:M299" si="225">J43</f>
        <v>1.9</v>
      </c>
      <c r="L299" s="323">
        <f t="shared" si="225"/>
        <v>-0.4</v>
      </c>
      <c r="M299" s="323">
        <f t="shared" si="225"/>
        <v>1.1499999999999999</v>
      </c>
      <c r="N299" s="280"/>
      <c r="O299" s="280"/>
      <c r="P299" s="332"/>
    </row>
    <row r="300" spans="1:16" x14ac:dyDescent="0.2">
      <c r="A300" s="803"/>
      <c r="B300" s="322">
        <v>5</v>
      </c>
      <c r="C300" s="323">
        <f>C54</f>
        <v>37</v>
      </c>
      <c r="D300" s="323">
        <f t="shared" ref="D300:F300" si="226">D54</f>
        <v>1.0000000000000001E-5</v>
      </c>
      <c r="E300" s="323">
        <f t="shared" si="226"/>
        <v>-1.2</v>
      </c>
      <c r="F300" s="323">
        <f t="shared" si="226"/>
        <v>0.60000500000000001</v>
      </c>
      <c r="G300" s="280"/>
      <c r="H300" s="804"/>
      <c r="I300" s="322">
        <v>5</v>
      </c>
      <c r="J300" s="323">
        <f>I54</f>
        <v>80</v>
      </c>
      <c r="K300" s="323">
        <f t="shared" ref="K300:M300" si="227">J54</f>
        <v>0.2</v>
      </c>
      <c r="L300" s="323">
        <f t="shared" si="227"/>
        <v>-0.9</v>
      </c>
      <c r="M300" s="323">
        <f t="shared" si="227"/>
        <v>0.55000000000000004</v>
      </c>
      <c r="N300" s="280"/>
      <c r="O300" s="280"/>
      <c r="P300" s="332"/>
    </row>
    <row r="301" spans="1:16" x14ac:dyDescent="0.2">
      <c r="A301" s="803"/>
      <c r="B301" s="322">
        <v>6</v>
      </c>
      <c r="C301" s="323">
        <f>C65</f>
        <v>37</v>
      </c>
      <c r="D301" s="323">
        <f t="shared" ref="D301:F301" si="228">D65</f>
        <v>-1.1000000000000001</v>
      </c>
      <c r="E301" s="323">
        <f t="shared" si="228"/>
        <v>1.0000000000000001E-5</v>
      </c>
      <c r="F301" s="323">
        <f t="shared" si="228"/>
        <v>0.55000500000000008</v>
      </c>
      <c r="G301" s="280"/>
      <c r="H301" s="804"/>
      <c r="I301" s="322">
        <v>6</v>
      </c>
      <c r="J301" s="323">
        <f>I65</f>
        <v>80</v>
      </c>
      <c r="K301" s="323">
        <f t="shared" ref="K301:M301" si="229">J65</f>
        <v>0.8</v>
      </c>
      <c r="L301" s="323">
        <f t="shared" si="229"/>
        <v>-2.6</v>
      </c>
      <c r="M301" s="323">
        <f t="shared" si="229"/>
        <v>1.7000000000000002</v>
      </c>
      <c r="N301" s="280"/>
      <c r="O301" s="280"/>
      <c r="P301" s="332"/>
    </row>
    <row r="302" spans="1:16" x14ac:dyDescent="0.2">
      <c r="A302" s="803"/>
      <c r="B302" s="322">
        <v>7</v>
      </c>
      <c r="C302" s="323">
        <f>C76</f>
        <v>37</v>
      </c>
      <c r="D302" s="323">
        <f t="shared" ref="D302:F302" si="230">D76</f>
        <v>-1.4</v>
      </c>
      <c r="E302" s="323">
        <f t="shared" si="230"/>
        <v>-0.1</v>
      </c>
      <c r="F302" s="323">
        <f t="shared" si="230"/>
        <v>0.64999999999999991</v>
      </c>
      <c r="G302" s="280"/>
      <c r="H302" s="804"/>
      <c r="I302" s="322">
        <v>7</v>
      </c>
      <c r="J302" s="323">
        <f>I76</f>
        <v>80</v>
      </c>
      <c r="K302" s="323">
        <f t="shared" ref="K302:M302" si="231">J76</f>
        <v>1.2</v>
      </c>
      <c r="L302" s="323">
        <f t="shared" si="231"/>
        <v>4.4000000000000004</v>
      </c>
      <c r="M302" s="323">
        <f t="shared" si="231"/>
        <v>1.6</v>
      </c>
      <c r="N302" s="280"/>
      <c r="O302" s="280"/>
      <c r="P302" s="332"/>
    </row>
    <row r="303" spans="1:16" x14ac:dyDescent="0.2">
      <c r="A303" s="803"/>
      <c r="B303" s="322">
        <v>8</v>
      </c>
      <c r="C303" s="323">
        <f>C87</f>
        <v>37</v>
      </c>
      <c r="D303" s="323">
        <f t="shared" ref="D303:F303" si="232">D87</f>
        <v>-0.5</v>
      </c>
      <c r="E303" s="323">
        <f t="shared" si="232"/>
        <v>-0.3</v>
      </c>
      <c r="F303" s="323">
        <f t="shared" si="232"/>
        <v>0.1</v>
      </c>
      <c r="G303" s="280"/>
      <c r="H303" s="804"/>
      <c r="I303" s="322">
        <v>8</v>
      </c>
      <c r="J303" s="323">
        <f>I87</f>
        <v>80</v>
      </c>
      <c r="K303" s="323">
        <f t="shared" ref="K303:M303" si="233">J87</f>
        <v>-1.2</v>
      </c>
      <c r="L303" s="323">
        <f t="shared" si="233"/>
        <v>2.6</v>
      </c>
      <c r="M303" s="323">
        <f t="shared" si="233"/>
        <v>1.9</v>
      </c>
      <c r="N303" s="280"/>
      <c r="O303" s="280"/>
      <c r="P303" s="332"/>
    </row>
    <row r="304" spans="1:16" x14ac:dyDescent="0.2">
      <c r="A304" s="803"/>
      <c r="B304" s="322">
        <v>9</v>
      </c>
      <c r="C304" s="323">
        <f>C98</f>
        <v>37</v>
      </c>
      <c r="D304" s="323">
        <f t="shared" ref="D304:F304" si="234">D98</f>
        <v>-0.5</v>
      </c>
      <c r="E304" s="323" t="str">
        <f t="shared" si="234"/>
        <v>-</v>
      </c>
      <c r="F304" s="323">
        <f t="shared" si="234"/>
        <v>0</v>
      </c>
      <c r="G304" s="280"/>
      <c r="H304" s="804"/>
      <c r="I304" s="322">
        <v>9</v>
      </c>
      <c r="J304" s="323">
        <f>I98</f>
        <v>80</v>
      </c>
      <c r="K304" s="323">
        <f t="shared" ref="K304:M304" si="235">J98</f>
        <v>-0.5</v>
      </c>
      <c r="L304" s="323" t="str">
        <f t="shared" si="235"/>
        <v>-</v>
      </c>
      <c r="M304" s="323">
        <f t="shared" si="235"/>
        <v>0</v>
      </c>
      <c r="N304" s="280"/>
      <c r="O304" s="280"/>
      <c r="P304" s="332"/>
    </row>
    <row r="305" spans="1:16" x14ac:dyDescent="0.2">
      <c r="A305" s="803"/>
      <c r="B305" s="322">
        <v>10</v>
      </c>
      <c r="C305" s="323">
        <f>C109</f>
        <v>37</v>
      </c>
      <c r="D305" s="323">
        <f t="shared" ref="D305:F305" si="236">D109</f>
        <v>0.2</v>
      </c>
      <c r="E305" s="323">
        <f t="shared" si="236"/>
        <v>0.4</v>
      </c>
      <c r="F305" s="323">
        <f t="shared" si="236"/>
        <v>0.1</v>
      </c>
      <c r="G305" s="280"/>
      <c r="H305" s="804"/>
      <c r="I305" s="322">
        <v>10</v>
      </c>
      <c r="J305" s="323">
        <f>I109</f>
        <v>80</v>
      </c>
      <c r="K305" s="323">
        <f t="shared" ref="K305:M305" si="237">J109</f>
        <v>2.2000000000000002</v>
      </c>
      <c r="L305" s="323">
        <f t="shared" si="237"/>
        <v>-4.7</v>
      </c>
      <c r="M305" s="323">
        <f t="shared" si="237"/>
        <v>3.45</v>
      </c>
      <c r="N305" s="280"/>
      <c r="O305" s="280"/>
      <c r="P305" s="332"/>
    </row>
    <row r="306" spans="1:16" x14ac:dyDescent="0.2">
      <c r="A306" s="803"/>
      <c r="B306" s="322">
        <v>11</v>
      </c>
      <c r="C306" s="323">
        <f>C120</f>
        <v>37</v>
      </c>
      <c r="D306" s="323">
        <f t="shared" ref="D306:F306" si="238">D120</f>
        <v>0.5</v>
      </c>
      <c r="E306" s="323" t="str">
        <f t="shared" si="238"/>
        <v>-</v>
      </c>
      <c r="F306" s="323">
        <f t="shared" si="238"/>
        <v>0</v>
      </c>
      <c r="G306" s="280"/>
      <c r="H306" s="804"/>
      <c r="I306" s="322">
        <v>11</v>
      </c>
      <c r="J306" s="323">
        <f>I120</f>
        <v>80</v>
      </c>
      <c r="K306" s="323">
        <f t="shared" ref="K306:M306" si="239">J120</f>
        <v>-1.4</v>
      </c>
      <c r="L306" s="323" t="str">
        <f t="shared" si="239"/>
        <v>-</v>
      </c>
      <c r="M306" s="323">
        <f t="shared" si="239"/>
        <v>0</v>
      </c>
      <c r="N306" s="280"/>
      <c r="O306" s="280"/>
      <c r="P306" s="332"/>
    </row>
    <row r="307" spans="1:16" x14ac:dyDescent="0.2">
      <c r="A307" s="803"/>
      <c r="B307" s="322">
        <v>12</v>
      </c>
      <c r="C307" s="323">
        <f>C131</f>
        <v>37</v>
      </c>
      <c r="D307" s="323">
        <f t="shared" ref="D307:F307" si="240">D131</f>
        <v>-0.8</v>
      </c>
      <c r="E307" s="323" t="str">
        <f t="shared" si="240"/>
        <v>-</v>
      </c>
      <c r="F307" s="323">
        <f t="shared" si="240"/>
        <v>0</v>
      </c>
      <c r="G307" s="280"/>
      <c r="H307" s="804"/>
      <c r="I307" s="322">
        <v>12</v>
      </c>
      <c r="J307" s="323">
        <f>I131</f>
        <v>80</v>
      </c>
      <c r="K307" s="323">
        <f t="shared" ref="K307:M307" si="241">J131</f>
        <v>-0.9</v>
      </c>
      <c r="L307" s="323" t="str">
        <f t="shared" si="241"/>
        <v>-</v>
      </c>
      <c r="M307" s="323">
        <f t="shared" si="241"/>
        <v>0</v>
      </c>
      <c r="N307" s="280"/>
      <c r="O307" s="280"/>
      <c r="P307" s="332"/>
    </row>
    <row r="308" spans="1:16" x14ac:dyDescent="0.2">
      <c r="A308" s="803"/>
      <c r="B308" s="322">
        <v>13</v>
      </c>
      <c r="C308" s="323">
        <f>C142</f>
        <v>37</v>
      </c>
      <c r="D308" s="323">
        <f t="shared" ref="D308:F308" si="242">D142</f>
        <v>0.4</v>
      </c>
      <c r="E308" s="323" t="str">
        <f t="shared" si="242"/>
        <v>-</v>
      </c>
      <c r="F308" s="323">
        <f t="shared" si="242"/>
        <v>0</v>
      </c>
      <c r="G308" s="280"/>
      <c r="H308" s="804"/>
      <c r="I308" s="322">
        <v>13</v>
      </c>
      <c r="J308" s="323">
        <f>I142</f>
        <v>80</v>
      </c>
      <c r="K308" s="323">
        <f t="shared" ref="K308:M308" si="243">J142</f>
        <v>-2.5</v>
      </c>
      <c r="L308" s="323" t="str">
        <f t="shared" si="243"/>
        <v>-</v>
      </c>
      <c r="M308" s="323">
        <f t="shared" si="243"/>
        <v>0</v>
      </c>
      <c r="N308" s="280"/>
      <c r="O308" s="280"/>
      <c r="P308" s="332"/>
    </row>
    <row r="309" spans="1:16" x14ac:dyDescent="0.2">
      <c r="A309" s="803"/>
      <c r="B309" s="322">
        <v>14</v>
      </c>
      <c r="C309" s="323">
        <f>C153</f>
        <v>37</v>
      </c>
      <c r="D309" s="323">
        <f t="shared" ref="D309:F309" si="244">D153</f>
        <v>-0.1</v>
      </c>
      <c r="E309" s="323" t="str">
        <f t="shared" si="244"/>
        <v>-</v>
      </c>
      <c r="F309" s="323">
        <f t="shared" si="244"/>
        <v>0</v>
      </c>
      <c r="G309" s="280"/>
      <c r="H309" s="804"/>
      <c r="I309" s="322">
        <v>14</v>
      </c>
      <c r="J309" s="323">
        <f>I153</f>
        <v>80</v>
      </c>
      <c r="K309" s="323">
        <f t="shared" ref="K309:M309" si="245">J153</f>
        <v>-1.3</v>
      </c>
      <c r="L309" s="323" t="str">
        <f t="shared" si="245"/>
        <v>-</v>
      </c>
      <c r="M309" s="323">
        <f t="shared" si="245"/>
        <v>0</v>
      </c>
      <c r="N309" s="280"/>
      <c r="O309" s="280"/>
      <c r="P309" s="332"/>
    </row>
    <row r="310" spans="1:16" x14ac:dyDescent="0.2">
      <c r="A310" s="803"/>
      <c r="B310" s="322">
        <v>15</v>
      </c>
      <c r="C310" s="323">
        <f>C164</f>
        <v>37</v>
      </c>
      <c r="D310" s="323">
        <f t="shared" ref="D310:F310" si="246">D164</f>
        <v>1.0000000000000001E-5</v>
      </c>
      <c r="E310" s="323" t="str">
        <f t="shared" si="246"/>
        <v>-</v>
      </c>
      <c r="F310" s="323">
        <f t="shared" si="246"/>
        <v>0</v>
      </c>
      <c r="G310" s="280"/>
      <c r="H310" s="804"/>
      <c r="I310" s="322">
        <v>15</v>
      </c>
      <c r="J310" s="323">
        <f>I164</f>
        <v>80</v>
      </c>
      <c r="K310" s="323">
        <f t="shared" ref="K310:M310" si="247">J164</f>
        <v>-2.2999999999999998</v>
      </c>
      <c r="L310" s="323" t="str">
        <f t="shared" si="247"/>
        <v>-</v>
      </c>
      <c r="M310" s="323">
        <f t="shared" si="247"/>
        <v>0</v>
      </c>
      <c r="N310" s="280"/>
      <c r="O310" s="280"/>
      <c r="P310" s="332"/>
    </row>
    <row r="311" spans="1:16" x14ac:dyDescent="0.2">
      <c r="A311" s="803"/>
      <c r="B311" s="322">
        <v>16</v>
      </c>
      <c r="C311" s="323">
        <f>C175</f>
        <v>37</v>
      </c>
      <c r="D311" s="323">
        <f t="shared" ref="D311:F311" si="248">D175</f>
        <v>-0.6</v>
      </c>
      <c r="E311" s="323" t="str">
        <f t="shared" si="248"/>
        <v>-</v>
      </c>
      <c r="F311" s="323">
        <f t="shared" si="248"/>
        <v>0</v>
      </c>
      <c r="G311" s="280"/>
      <c r="H311" s="804"/>
      <c r="I311" s="322">
        <v>16</v>
      </c>
      <c r="J311" s="323">
        <f>I175</f>
        <v>80</v>
      </c>
      <c r="K311" s="323">
        <f t="shared" ref="K311:M311" si="249">J175</f>
        <v>-0.8</v>
      </c>
      <c r="L311" s="323" t="str">
        <f t="shared" si="249"/>
        <v>-</v>
      </c>
      <c r="M311" s="323">
        <f t="shared" si="249"/>
        <v>0</v>
      </c>
      <c r="N311" s="280"/>
      <c r="O311" s="280"/>
      <c r="P311" s="332"/>
    </row>
    <row r="312" spans="1:16" x14ac:dyDescent="0.2">
      <c r="A312" s="803"/>
      <c r="B312" s="322">
        <v>17</v>
      </c>
      <c r="C312" s="323">
        <f>C185</f>
        <v>37</v>
      </c>
      <c r="D312" s="323">
        <f t="shared" ref="D312:F312" si="250">D185</f>
        <v>-0.3</v>
      </c>
      <c r="E312" s="323" t="str">
        <f t="shared" si="250"/>
        <v>-</v>
      </c>
      <c r="F312" s="323">
        <f t="shared" si="250"/>
        <v>0</v>
      </c>
      <c r="G312" s="280"/>
      <c r="H312" s="804"/>
      <c r="I312" s="322">
        <v>17</v>
      </c>
      <c r="J312" s="323">
        <f>I185</f>
        <v>80</v>
      </c>
      <c r="K312" s="323">
        <f t="shared" ref="K312:M312" si="251">J185</f>
        <v>-0.5</v>
      </c>
      <c r="L312" s="323" t="str">
        <f t="shared" si="251"/>
        <v>-</v>
      </c>
      <c r="M312" s="323">
        <f t="shared" si="251"/>
        <v>0</v>
      </c>
      <c r="N312" s="280"/>
      <c r="O312" s="280"/>
      <c r="P312" s="332"/>
    </row>
    <row r="313" spans="1:16" x14ac:dyDescent="0.2">
      <c r="A313" s="803"/>
      <c r="B313" s="322">
        <v>18</v>
      </c>
      <c r="C313" s="323">
        <f>C195</f>
        <v>37</v>
      </c>
      <c r="D313" s="323">
        <f t="shared" ref="D313:F313" si="252">D195</f>
        <v>-0.3</v>
      </c>
      <c r="E313" s="323" t="str">
        <f t="shared" si="252"/>
        <v>-</v>
      </c>
      <c r="F313" s="323">
        <f t="shared" si="252"/>
        <v>0</v>
      </c>
      <c r="G313" s="280"/>
      <c r="H313" s="804"/>
      <c r="I313" s="322">
        <v>18</v>
      </c>
      <c r="J313" s="323">
        <f>I195</f>
        <v>80</v>
      </c>
      <c r="K313" s="323">
        <f t="shared" ref="K313:M313" si="253">J195</f>
        <v>-0.5</v>
      </c>
      <c r="L313" s="323" t="str">
        <f t="shared" si="253"/>
        <v>-</v>
      </c>
      <c r="M313" s="323">
        <f t="shared" si="253"/>
        <v>0</v>
      </c>
      <c r="N313" s="280"/>
      <c r="O313" s="280"/>
      <c r="P313" s="332"/>
    </row>
    <row r="314" spans="1:16" x14ac:dyDescent="0.2">
      <c r="A314" s="133"/>
      <c r="B314" s="134"/>
      <c r="C314" s="137"/>
      <c r="D314" s="137"/>
      <c r="E314" s="137"/>
      <c r="F314" s="138"/>
      <c r="G314" s="109"/>
      <c r="H314" s="140"/>
      <c r="I314" s="134"/>
      <c r="J314" s="137"/>
      <c r="K314" s="137"/>
      <c r="L314" s="137"/>
      <c r="M314" s="138"/>
      <c r="N314" s="280"/>
      <c r="O314" s="280"/>
      <c r="P314" s="332"/>
    </row>
    <row r="315" spans="1:16" x14ac:dyDescent="0.2">
      <c r="A315" s="803" t="s">
        <v>129</v>
      </c>
      <c r="B315" s="322">
        <v>1</v>
      </c>
      <c r="C315" s="323">
        <f>C11</f>
        <v>40</v>
      </c>
      <c r="D315" s="323">
        <f t="shared" ref="D315:F315" si="254">D11</f>
        <v>-0.3</v>
      </c>
      <c r="E315" s="323">
        <f t="shared" si="254"/>
        <v>-0.8</v>
      </c>
      <c r="F315" s="323">
        <f t="shared" si="254"/>
        <v>0.25</v>
      </c>
      <c r="G315" s="280"/>
      <c r="H315" s="804" t="s">
        <v>129</v>
      </c>
      <c r="I315" s="322">
        <v>1</v>
      </c>
      <c r="J315" s="323">
        <f>I11</f>
        <v>90</v>
      </c>
      <c r="K315" s="323">
        <f t="shared" ref="K315:M315" si="255">J11</f>
        <v>0.3</v>
      </c>
      <c r="L315" s="323">
        <f t="shared" si="255"/>
        <v>1.0000000000000001E-5</v>
      </c>
      <c r="M315" s="323">
        <f t="shared" si="255"/>
        <v>0.14999499999999999</v>
      </c>
      <c r="N315" s="280"/>
      <c r="O315" s="280"/>
      <c r="P315" s="332"/>
    </row>
    <row r="316" spans="1:16" x14ac:dyDescent="0.2">
      <c r="A316" s="803"/>
      <c r="B316" s="322">
        <v>2</v>
      </c>
      <c r="C316" s="323">
        <f>C22</f>
        <v>40</v>
      </c>
      <c r="D316" s="323">
        <f t="shared" ref="D316:F316" si="256">D22</f>
        <v>-0.3</v>
      </c>
      <c r="E316" s="323">
        <f t="shared" si="256"/>
        <v>-2.1</v>
      </c>
      <c r="F316" s="323">
        <f t="shared" si="256"/>
        <v>0.9</v>
      </c>
      <c r="G316" s="280"/>
      <c r="H316" s="804"/>
      <c r="I316" s="322">
        <v>2</v>
      </c>
      <c r="J316" s="323">
        <f>I22</f>
        <v>90</v>
      </c>
      <c r="K316" s="323">
        <f t="shared" ref="K316:M316" si="257">J22</f>
        <v>-0.3</v>
      </c>
      <c r="L316" s="323">
        <f t="shared" si="257"/>
        <v>0.6</v>
      </c>
      <c r="M316" s="323">
        <f t="shared" si="257"/>
        <v>0.44999999999999996</v>
      </c>
      <c r="N316" s="280"/>
      <c r="O316" s="280"/>
      <c r="P316" s="332"/>
    </row>
    <row r="317" spans="1:16" x14ac:dyDescent="0.2">
      <c r="A317" s="803"/>
      <c r="B317" s="322">
        <v>3</v>
      </c>
      <c r="C317" s="323">
        <f>C33</f>
        <v>40</v>
      </c>
      <c r="D317" s="323">
        <f t="shared" ref="D317:F317" si="258">D33</f>
        <v>-0.7</v>
      </c>
      <c r="E317" s="323">
        <f t="shared" si="258"/>
        <v>-0.5</v>
      </c>
      <c r="F317" s="323">
        <f t="shared" si="258"/>
        <v>9.9999999999999978E-2</v>
      </c>
      <c r="G317" s="280"/>
      <c r="H317" s="804"/>
      <c r="I317" s="322">
        <v>3</v>
      </c>
      <c r="J317" s="323">
        <f>I33</f>
        <v>90</v>
      </c>
      <c r="K317" s="323">
        <f t="shared" ref="K317:M317" si="259">J33</f>
        <v>-2</v>
      </c>
      <c r="L317" s="323">
        <f t="shared" si="259"/>
        <v>0.9</v>
      </c>
      <c r="M317" s="323">
        <f t="shared" si="259"/>
        <v>1.45</v>
      </c>
      <c r="N317" s="280"/>
      <c r="O317" s="280"/>
      <c r="P317" s="332"/>
    </row>
    <row r="318" spans="1:16" x14ac:dyDescent="0.2">
      <c r="A318" s="803"/>
      <c r="B318" s="322">
        <v>4</v>
      </c>
      <c r="C318" s="323">
        <f>C44</f>
        <v>40</v>
      </c>
      <c r="D318" s="323">
        <f t="shared" ref="D318:F318" si="260">D44</f>
        <v>-0.6</v>
      </c>
      <c r="E318" s="323">
        <f t="shared" si="260"/>
        <v>-2.1</v>
      </c>
      <c r="F318" s="323">
        <f t="shared" si="260"/>
        <v>0.75</v>
      </c>
      <c r="G318" s="280"/>
      <c r="H318" s="804"/>
      <c r="I318" s="322">
        <v>4</v>
      </c>
      <c r="J318" s="323">
        <f>I44</f>
        <v>90</v>
      </c>
      <c r="K318" s="323">
        <f t="shared" ref="K318:M318" si="261">J44</f>
        <v>3.3</v>
      </c>
      <c r="L318" s="323">
        <f t="shared" si="261"/>
        <v>0.2</v>
      </c>
      <c r="M318" s="323">
        <f t="shared" si="261"/>
        <v>1.5499999999999998</v>
      </c>
      <c r="N318" s="280"/>
      <c r="O318" s="280"/>
      <c r="P318" s="332"/>
    </row>
    <row r="319" spans="1:16" x14ac:dyDescent="0.2">
      <c r="A319" s="803"/>
      <c r="B319" s="322">
        <v>5</v>
      </c>
      <c r="C319" s="323">
        <f>C55</f>
        <v>40</v>
      </c>
      <c r="D319" s="323">
        <f t="shared" ref="D319:F319" si="262">D55</f>
        <v>-0.1</v>
      </c>
      <c r="E319" s="323">
        <f t="shared" si="262"/>
        <v>-1.5</v>
      </c>
      <c r="F319" s="323">
        <f t="shared" si="262"/>
        <v>0.7</v>
      </c>
      <c r="G319" s="280"/>
      <c r="H319" s="804"/>
      <c r="I319" s="322">
        <v>5</v>
      </c>
      <c r="J319" s="323">
        <f>I55</f>
        <v>90</v>
      </c>
      <c r="K319" s="323">
        <f t="shared" ref="K319:M319" si="263">J55</f>
        <v>2.7</v>
      </c>
      <c r="L319" s="323">
        <f t="shared" si="263"/>
        <v>0.2</v>
      </c>
      <c r="M319" s="323">
        <f t="shared" si="263"/>
        <v>1.25</v>
      </c>
      <c r="N319" s="280"/>
      <c r="O319" s="280"/>
      <c r="P319" s="332"/>
    </row>
    <row r="320" spans="1:16" x14ac:dyDescent="0.2">
      <c r="A320" s="803"/>
      <c r="B320" s="322">
        <v>6</v>
      </c>
      <c r="C320" s="323">
        <f>C66</f>
        <v>40</v>
      </c>
      <c r="D320" s="323">
        <f t="shared" ref="D320:F320" si="264">D66</f>
        <v>-1.4</v>
      </c>
      <c r="E320" s="323">
        <f t="shared" si="264"/>
        <v>-0.1</v>
      </c>
      <c r="F320" s="323">
        <f t="shared" si="264"/>
        <v>0.64999999999999991</v>
      </c>
      <c r="G320" s="280"/>
      <c r="H320" s="804"/>
      <c r="I320" s="322">
        <v>6</v>
      </c>
      <c r="J320" s="323">
        <f>I66</f>
        <v>90</v>
      </c>
      <c r="K320" s="323">
        <f t="shared" ref="K320:M320" si="265">J66</f>
        <v>0.7</v>
      </c>
      <c r="L320" s="323">
        <f t="shared" si="265"/>
        <v>-2.6</v>
      </c>
      <c r="M320" s="323">
        <f t="shared" si="265"/>
        <v>1.65</v>
      </c>
      <c r="N320" s="280"/>
      <c r="O320" s="280"/>
      <c r="P320" s="332"/>
    </row>
    <row r="321" spans="1:16" x14ac:dyDescent="0.2">
      <c r="A321" s="803"/>
      <c r="B321" s="322">
        <v>7</v>
      </c>
      <c r="C321" s="323">
        <f>C77</f>
        <v>40</v>
      </c>
      <c r="D321" s="323">
        <f t="shared" ref="D321:F321" si="266">D77</f>
        <v>-1.7</v>
      </c>
      <c r="E321" s="323">
        <f t="shared" si="266"/>
        <v>-0.1</v>
      </c>
      <c r="F321" s="323">
        <f t="shared" si="266"/>
        <v>0.79999999999999993</v>
      </c>
      <c r="G321" s="280"/>
      <c r="H321" s="804"/>
      <c r="I321" s="322">
        <v>7</v>
      </c>
      <c r="J321" s="323">
        <f>I77</f>
        <v>90</v>
      </c>
      <c r="K321" s="323">
        <f t="shared" ref="K321:M321" si="267">J77</f>
        <v>1.8</v>
      </c>
      <c r="L321" s="323">
        <f t="shared" si="267"/>
        <v>4.4000000000000004</v>
      </c>
      <c r="M321" s="323">
        <f t="shared" si="267"/>
        <v>1.3000000000000003</v>
      </c>
      <c r="N321" s="280"/>
      <c r="O321" s="280"/>
      <c r="P321" s="332"/>
    </row>
    <row r="322" spans="1:16" x14ac:dyDescent="0.2">
      <c r="A322" s="803"/>
      <c r="B322" s="322">
        <v>8</v>
      </c>
      <c r="C322" s="323">
        <f>C88</f>
        <v>40</v>
      </c>
      <c r="D322" s="323">
        <f t="shared" ref="D322:F322" si="268">D88</f>
        <v>-0.4</v>
      </c>
      <c r="E322" s="323">
        <f t="shared" si="268"/>
        <v>-0.4</v>
      </c>
      <c r="F322" s="323">
        <f t="shared" si="268"/>
        <v>0</v>
      </c>
      <c r="G322" s="280"/>
      <c r="H322" s="804"/>
      <c r="I322" s="322">
        <v>8</v>
      </c>
      <c r="J322" s="323">
        <f>I88</f>
        <v>90</v>
      </c>
      <c r="K322" s="323">
        <f t="shared" ref="K322:M322" si="269">J88</f>
        <v>-1.3</v>
      </c>
      <c r="L322" s="323">
        <f t="shared" si="269"/>
        <v>2.6</v>
      </c>
      <c r="M322" s="323">
        <f t="shared" si="269"/>
        <v>1.9500000000000002</v>
      </c>
      <c r="N322" s="280"/>
      <c r="O322" s="280"/>
      <c r="P322" s="332"/>
    </row>
    <row r="323" spans="1:16" x14ac:dyDescent="0.2">
      <c r="A323" s="803"/>
      <c r="B323" s="322">
        <v>9</v>
      </c>
      <c r="C323" s="323">
        <f>C99</f>
        <v>40</v>
      </c>
      <c r="D323" s="323">
        <f t="shared" ref="D323:F323" si="270">D99</f>
        <v>-0.4</v>
      </c>
      <c r="E323" s="323" t="str">
        <f t="shared" si="270"/>
        <v>-</v>
      </c>
      <c r="F323" s="323">
        <f t="shared" si="270"/>
        <v>0</v>
      </c>
      <c r="G323" s="280"/>
      <c r="H323" s="804"/>
      <c r="I323" s="322">
        <v>9</v>
      </c>
      <c r="J323" s="323">
        <f>I99</f>
        <v>90</v>
      </c>
      <c r="K323" s="323">
        <f t="shared" ref="K323:M323" si="271">J99</f>
        <v>-0.2</v>
      </c>
      <c r="L323" s="323" t="str">
        <f t="shared" si="271"/>
        <v>-</v>
      </c>
      <c r="M323" s="323">
        <f t="shared" si="271"/>
        <v>0</v>
      </c>
      <c r="N323" s="280"/>
      <c r="O323" s="280"/>
      <c r="P323" s="332"/>
    </row>
    <row r="324" spans="1:16" x14ac:dyDescent="0.2">
      <c r="A324" s="803"/>
      <c r="B324" s="322">
        <v>10</v>
      </c>
      <c r="C324" s="323">
        <f>C110</f>
        <v>40</v>
      </c>
      <c r="D324" s="323">
        <f t="shared" ref="D324:F324" si="272">D110</f>
        <v>0.2</v>
      </c>
      <c r="E324" s="323">
        <f t="shared" si="272"/>
        <v>1.0000000000000001E-5</v>
      </c>
      <c r="F324" s="323">
        <f t="shared" si="272"/>
        <v>9.9995000000000001E-2</v>
      </c>
      <c r="G324" s="280"/>
      <c r="H324" s="804"/>
      <c r="I324" s="322">
        <v>10</v>
      </c>
      <c r="J324" s="323">
        <f>I110</f>
        <v>90</v>
      </c>
      <c r="K324" s="323">
        <f t="shared" ref="K324:M324" si="273">J110</f>
        <v>5.4</v>
      </c>
      <c r="L324" s="323">
        <f t="shared" si="273"/>
        <v>1.0000000000000001E-5</v>
      </c>
      <c r="M324" s="323">
        <f t="shared" si="273"/>
        <v>2.6999950000000004</v>
      </c>
      <c r="N324" s="280"/>
      <c r="O324" s="280"/>
      <c r="P324" s="332"/>
    </row>
    <row r="325" spans="1:16" x14ac:dyDescent="0.2">
      <c r="A325" s="803"/>
      <c r="B325" s="322">
        <v>11</v>
      </c>
      <c r="C325" s="323">
        <f>C121</f>
        <v>40</v>
      </c>
      <c r="D325" s="323">
        <f t="shared" ref="D325:F325" si="274">D121</f>
        <v>0.5</v>
      </c>
      <c r="E325" s="323" t="str">
        <f t="shared" si="274"/>
        <v>-</v>
      </c>
      <c r="F325" s="323">
        <f t="shared" si="274"/>
        <v>0</v>
      </c>
      <c r="G325" s="280"/>
      <c r="H325" s="804"/>
      <c r="I325" s="322">
        <v>11</v>
      </c>
      <c r="J325" s="323">
        <f>I121</f>
        <v>90</v>
      </c>
      <c r="K325" s="323">
        <f t="shared" ref="K325:M325" si="275">J121</f>
        <v>1.3</v>
      </c>
      <c r="L325" s="323" t="str">
        <f t="shared" si="275"/>
        <v>-</v>
      </c>
      <c r="M325" s="323">
        <f t="shared" si="275"/>
        <v>0</v>
      </c>
      <c r="N325" s="280"/>
      <c r="O325" s="280"/>
      <c r="P325" s="332"/>
    </row>
    <row r="326" spans="1:16" x14ac:dyDescent="0.2">
      <c r="A326" s="803"/>
      <c r="B326" s="322">
        <v>12</v>
      </c>
      <c r="C326" s="323">
        <f>C132</f>
        <v>40</v>
      </c>
      <c r="D326" s="323">
        <f t="shared" ref="D326:F326" si="276">D132</f>
        <v>-1.1000000000000001</v>
      </c>
      <c r="E326" s="323" t="str">
        <f t="shared" si="276"/>
        <v>-</v>
      </c>
      <c r="F326" s="323">
        <f t="shared" si="276"/>
        <v>0</v>
      </c>
      <c r="G326" s="280"/>
      <c r="H326" s="804"/>
      <c r="I326" s="322">
        <v>12</v>
      </c>
      <c r="J326" s="323">
        <f>I132</f>
        <v>90</v>
      </c>
      <c r="K326" s="323">
        <f t="shared" ref="K326:M326" si="277">J132</f>
        <v>-0.8</v>
      </c>
      <c r="L326" s="323" t="str">
        <f t="shared" si="277"/>
        <v>-</v>
      </c>
      <c r="M326" s="323">
        <f t="shared" si="277"/>
        <v>0</v>
      </c>
      <c r="N326" s="280"/>
      <c r="O326" s="280"/>
      <c r="P326" s="332"/>
    </row>
    <row r="327" spans="1:16" x14ac:dyDescent="0.2">
      <c r="A327" s="803"/>
      <c r="B327" s="322">
        <v>13</v>
      </c>
      <c r="C327" s="323">
        <f>C143</f>
        <v>40</v>
      </c>
      <c r="D327" s="323">
        <f t="shared" ref="D327:F327" si="278">D143</f>
        <v>0.5</v>
      </c>
      <c r="E327" s="323" t="str">
        <f t="shared" si="278"/>
        <v>-</v>
      </c>
      <c r="F327" s="323">
        <f t="shared" si="278"/>
        <v>0</v>
      </c>
      <c r="G327" s="280"/>
      <c r="H327" s="804"/>
      <c r="I327" s="322">
        <v>13</v>
      </c>
      <c r="J327" s="323">
        <f>I143</f>
        <v>90</v>
      </c>
      <c r="K327" s="323">
        <f t="shared" ref="K327:M327" si="279">J143</f>
        <v>-3.2</v>
      </c>
      <c r="L327" s="323" t="str">
        <f t="shared" si="279"/>
        <v>-</v>
      </c>
      <c r="M327" s="323">
        <f t="shared" si="279"/>
        <v>0</v>
      </c>
      <c r="N327" s="280"/>
      <c r="O327" s="280"/>
      <c r="P327" s="332"/>
    </row>
    <row r="328" spans="1:16" x14ac:dyDescent="0.2">
      <c r="A328" s="803"/>
      <c r="B328" s="322">
        <v>14</v>
      </c>
      <c r="C328" s="323">
        <f>C154</f>
        <v>40</v>
      </c>
      <c r="D328" s="323">
        <f t="shared" ref="D328:F328" si="280">D154</f>
        <v>1.0000000000000001E-5</v>
      </c>
      <c r="E328" s="323" t="str">
        <f t="shared" si="280"/>
        <v>-</v>
      </c>
      <c r="F328" s="333">
        <f t="shared" si="280"/>
        <v>0</v>
      </c>
      <c r="G328" s="280"/>
      <c r="H328" s="804"/>
      <c r="I328" s="322">
        <v>14</v>
      </c>
      <c r="J328" s="323">
        <f>I154</f>
        <v>90</v>
      </c>
      <c r="K328" s="323">
        <f t="shared" ref="K328:M328" si="281">J154</f>
        <v>-2</v>
      </c>
      <c r="L328" s="323" t="str">
        <f t="shared" si="281"/>
        <v>-</v>
      </c>
      <c r="M328" s="323">
        <f t="shared" si="281"/>
        <v>0</v>
      </c>
      <c r="N328" s="280"/>
      <c r="O328" s="280"/>
      <c r="P328" s="332"/>
    </row>
    <row r="329" spans="1:16" x14ac:dyDescent="0.2">
      <c r="A329" s="803"/>
      <c r="B329" s="322">
        <v>15</v>
      </c>
      <c r="C329" s="323">
        <f>C165</f>
        <v>40</v>
      </c>
      <c r="D329" s="323">
        <f t="shared" ref="D329:F329" si="282">D165</f>
        <v>1.0000000000000001E-5</v>
      </c>
      <c r="E329" s="334" t="str">
        <f t="shared" si="282"/>
        <v>-</v>
      </c>
      <c r="F329" s="323">
        <f t="shared" si="282"/>
        <v>0</v>
      </c>
      <c r="G329" s="335"/>
      <c r="H329" s="804"/>
      <c r="I329" s="322">
        <v>15</v>
      </c>
      <c r="J329" s="323">
        <f>I165</f>
        <v>90</v>
      </c>
      <c r="K329" s="323">
        <f t="shared" ref="K329:M329" si="283">J165</f>
        <v>-3</v>
      </c>
      <c r="L329" s="323" t="str">
        <f t="shared" si="283"/>
        <v>-</v>
      </c>
      <c r="M329" s="323">
        <f t="shared" si="283"/>
        <v>0</v>
      </c>
      <c r="N329" s="280"/>
      <c r="O329" s="280"/>
      <c r="P329" s="332"/>
    </row>
    <row r="330" spans="1:16" x14ac:dyDescent="0.2">
      <c r="A330" s="803"/>
      <c r="B330" s="322">
        <v>16</v>
      </c>
      <c r="C330" s="323">
        <f>C176</f>
        <v>40</v>
      </c>
      <c r="D330" s="323">
        <f t="shared" ref="D330:F330" si="284">D176</f>
        <v>-0.8</v>
      </c>
      <c r="E330" s="323" t="str">
        <f t="shared" si="284"/>
        <v>-</v>
      </c>
      <c r="F330" s="336">
        <f t="shared" si="284"/>
        <v>0</v>
      </c>
      <c r="G330" s="280"/>
      <c r="H330" s="804"/>
      <c r="I330" s="322">
        <v>16</v>
      </c>
      <c r="J330" s="323">
        <f>I176</f>
        <v>90</v>
      </c>
      <c r="K330" s="323">
        <f t="shared" ref="K330:M330" si="285">J176</f>
        <v>-1.4</v>
      </c>
      <c r="L330" s="323" t="str">
        <f t="shared" si="285"/>
        <v>-</v>
      </c>
      <c r="M330" s="323">
        <f t="shared" si="285"/>
        <v>0</v>
      </c>
      <c r="N330" s="280"/>
      <c r="O330" s="280"/>
      <c r="P330" s="332"/>
    </row>
    <row r="331" spans="1:16" x14ac:dyDescent="0.2">
      <c r="A331" s="803"/>
      <c r="B331" s="322">
        <v>17</v>
      </c>
      <c r="C331" s="323">
        <f>C186</f>
        <v>40</v>
      </c>
      <c r="D331" s="323">
        <f t="shared" ref="D331:F331" si="286">D186</f>
        <v>-0.4</v>
      </c>
      <c r="E331" s="323" t="str">
        <f t="shared" si="286"/>
        <v>-</v>
      </c>
      <c r="F331" s="323">
        <f t="shared" si="286"/>
        <v>0</v>
      </c>
      <c r="G331" s="280"/>
      <c r="H331" s="804"/>
      <c r="I331" s="322">
        <v>17</v>
      </c>
      <c r="J331" s="323">
        <f>I186</f>
        <v>90</v>
      </c>
      <c r="K331" s="323">
        <f t="shared" ref="K331:M331" si="287">J186</f>
        <v>-0.8</v>
      </c>
      <c r="L331" s="323" t="str">
        <f t="shared" si="287"/>
        <v>-</v>
      </c>
      <c r="M331" s="323">
        <f t="shared" si="287"/>
        <v>0</v>
      </c>
      <c r="N331" s="280"/>
      <c r="O331" s="280"/>
      <c r="P331" s="332"/>
    </row>
    <row r="332" spans="1:16" x14ac:dyDescent="0.2">
      <c r="A332" s="803"/>
      <c r="B332" s="322">
        <v>18</v>
      </c>
      <c r="C332" s="323">
        <f>C196</f>
        <v>40</v>
      </c>
      <c r="D332" s="323">
        <f t="shared" ref="D332:F332" si="288">D196</f>
        <v>-0.4</v>
      </c>
      <c r="E332" s="323" t="str">
        <f t="shared" si="288"/>
        <v>-</v>
      </c>
      <c r="F332" s="323">
        <f t="shared" si="288"/>
        <v>0</v>
      </c>
      <c r="G332" s="280"/>
      <c r="H332" s="804"/>
      <c r="I332" s="322">
        <v>18</v>
      </c>
      <c r="J332" s="323">
        <f>I196</f>
        <v>90</v>
      </c>
      <c r="K332" s="323">
        <f t="shared" ref="K332:M332" si="289">J196</f>
        <v>-0.9</v>
      </c>
      <c r="L332" s="323" t="str">
        <f t="shared" si="289"/>
        <v>-</v>
      </c>
      <c r="M332" s="323">
        <f t="shared" si="289"/>
        <v>0</v>
      </c>
      <c r="N332" s="280"/>
      <c r="O332" s="280"/>
      <c r="P332" s="332"/>
    </row>
    <row r="333" spans="1:16" ht="13.5" thickBot="1" x14ac:dyDescent="0.25">
      <c r="A333" s="337"/>
      <c r="B333" s="141"/>
      <c r="C333" s="109"/>
      <c r="D333" s="109"/>
      <c r="E333" s="109"/>
      <c r="F333" s="109"/>
      <c r="G333" s="109"/>
      <c r="H333" s="280"/>
      <c r="I333" s="338"/>
      <c r="J333" s="141"/>
      <c r="K333" s="109"/>
      <c r="L333" s="109"/>
      <c r="M333" s="109"/>
      <c r="N333" s="109"/>
      <c r="O333" s="109"/>
      <c r="P333" s="332"/>
    </row>
    <row r="334" spans="1:16" x14ac:dyDescent="0.2">
      <c r="A334" s="279">
        <f>A372</f>
        <v>18</v>
      </c>
      <c r="B334" s="805" t="str">
        <f>A353</f>
        <v>Digital Thermohygro Barometer : EXTECH, SD700, SN : A.100586</v>
      </c>
      <c r="C334" s="805"/>
      <c r="D334" s="806"/>
      <c r="E334" s="142"/>
      <c r="F334" s="279">
        <f>A334</f>
        <v>18</v>
      </c>
      <c r="G334" s="805" t="str">
        <f>B334</f>
        <v>Digital Thermohygro Barometer : EXTECH, SD700, SN : A.100586</v>
      </c>
      <c r="H334" s="805"/>
      <c r="I334" s="806"/>
      <c r="J334" s="142"/>
      <c r="K334" s="279">
        <f>A334</f>
        <v>18</v>
      </c>
      <c r="L334" s="807" t="str">
        <f>G334</f>
        <v>Digital Thermohygro Barometer : EXTECH, SD700, SN : A.100586</v>
      </c>
      <c r="M334" s="808"/>
      <c r="N334" s="808"/>
      <c r="O334" s="809"/>
      <c r="P334" s="332"/>
    </row>
    <row r="335" spans="1:16" ht="13.5" x14ac:dyDescent="0.2">
      <c r="A335" s="143" t="s">
        <v>487</v>
      </c>
      <c r="B335" s="796" t="s">
        <v>252</v>
      </c>
      <c r="C335" s="796"/>
      <c r="D335" s="797" t="s">
        <v>488</v>
      </c>
      <c r="E335" s="109"/>
      <c r="F335" s="143" t="s">
        <v>489</v>
      </c>
      <c r="G335" s="796" t="s">
        <v>252</v>
      </c>
      <c r="H335" s="796"/>
      <c r="I335" s="797" t="s">
        <v>488</v>
      </c>
      <c r="J335" s="109"/>
      <c r="K335" s="798"/>
      <c r="L335" s="801" t="s">
        <v>511</v>
      </c>
      <c r="M335" s="801" t="s">
        <v>512</v>
      </c>
      <c r="N335" s="801" t="s">
        <v>128</v>
      </c>
      <c r="O335" s="802" t="s">
        <v>158</v>
      </c>
      <c r="P335" s="332"/>
    </row>
    <row r="336" spans="1:16" ht="15" x14ac:dyDescent="0.2">
      <c r="A336" s="144" t="s">
        <v>510</v>
      </c>
      <c r="B336" s="276">
        <f>VLOOKUP(B334,A354:K371,9,FALSE)</f>
        <v>2020</v>
      </c>
      <c r="C336" s="276" t="str">
        <f>VLOOKUP(B334,A354:K371,10,FALSE)</f>
        <v>-</v>
      </c>
      <c r="D336" s="797"/>
      <c r="E336" s="109"/>
      <c r="F336" s="145" t="s">
        <v>491</v>
      </c>
      <c r="G336" s="276">
        <f>B336</f>
        <v>2020</v>
      </c>
      <c r="H336" s="276" t="str">
        <f>C336</f>
        <v>-</v>
      </c>
      <c r="I336" s="797"/>
      <c r="J336" s="109"/>
      <c r="K336" s="799"/>
      <c r="L336" s="801"/>
      <c r="M336" s="801"/>
      <c r="N336" s="801"/>
      <c r="O336" s="802"/>
      <c r="P336" s="332"/>
    </row>
    <row r="337" spans="1:16" x14ac:dyDescent="0.2">
      <c r="A337" s="146">
        <f>VLOOKUP($A$334,$B$201:$F$218,2,FALSE)</f>
        <v>15</v>
      </c>
      <c r="B337" s="147">
        <f>VLOOKUP($A$334,$B$201:$F$218,3,FALSE)</f>
        <v>1.0000000000000001E-5</v>
      </c>
      <c r="C337" s="147" t="str">
        <f>VLOOKUP($A$334,$B$201:$F$218,4,FALSE)</f>
        <v>-</v>
      </c>
      <c r="D337" s="148">
        <f>VLOOKUP($A$334,$B$201:$F$218,5,FALSE)</f>
        <v>0</v>
      </c>
      <c r="E337" s="109"/>
      <c r="F337" s="146">
        <f>VLOOKUP($F$334,$I$201:$M$218,2,FALSE)</f>
        <v>30</v>
      </c>
      <c r="G337" s="147">
        <f>VLOOKUP($F$334,$I$201:$M$218,3,FALSE)</f>
        <v>-0.4</v>
      </c>
      <c r="H337" s="147" t="str">
        <f>VLOOKUP($F$334,$I$201:$M$218,4,FALSE)</f>
        <v>-</v>
      </c>
      <c r="I337" s="148">
        <f>VLOOKUP($F$334,$I$201:$M$218,5,FALSE)</f>
        <v>0</v>
      </c>
      <c r="J337" s="109"/>
      <c r="K337" s="800"/>
      <c r="L337" s="801"/>
      <c r="M337" s="801"/>
      <c r="N337" s="801"/>
      <c r="O337" s="802"/>
      <c r="P337" s="332"/>
    </row>
    <row r="338" spans="1:16" x14ac:dyDescent="0.2">
      <c r="A338" s="146">
        <f>VLOOKUP($A$334,$B$220:$F$237,2,FALSE)</f>
        <v>20</v>
      </c>
      <c r="B338" s="147">
        <f>VLOOKUP($A$334,$B$220:$F$237,3,FALSE)</f>
        <v>1.0000000000000001E-5</v>
      </c>
      <c r="C338" s="147" t="str">
        <f>VLOOKUP($A$334,$B$220:$F$237,4,FALSE)</f>
        <v>-</v>
      </c>
      <c r="D338" s="148">
        <f>VLOOKUP($A$334,$B$220:$F$237,5,FALSE)</f>
        <v>0</v>
      </c>
      <c r="E338" s="109"/>
      <c r="F338" s="146">
        <f>VLOOKUP($F$334,$I$220:$M$237,2,FALSE)</f>
        <v>40</v>
      </c>
      <c r="G338" s="147">
        <f>VLOOKUP($F$334,$I$220:$M$237,3,FALSE)</f>
        <v>-0.1</v>
      </c>
      <c r="H338" s="147" t="str">
        <f>VLOOKUP($F$334,$I$220:$M$237,4,FALSE)</f>
        <v>-</v>
      </c>
      <c r="I338" s="148">
        <f>VLOOKUP($F$334,$I$220:$M$237,5,FALSE)</f>
        <v>0</v>
      </c>
      <c r="J338" s="109"/>
      <c r="K338" s="339" t="s">
        <v>487</v>
      </c>
      <c r="L338" s="340">
        <f>AVERAGE(ID!E14:F14)</f>
        <v>29</v>
      </c>
      <c r="M338" s="341">
        <f>L338+C347</f>
        <v>28.920002</v>
      </c>
      <c r="N338" s="341">
        <f>STDEV(ID!E14:F14)</f>
        <v>0</v>
      </c>
      <c r="O338" s="342">
        <f>VLOOKUP(K334,$O$200:$P$217,2,(FALSE))</f>
        <v>0.3</v>
      </c>
      <c r="P338" s="343"/>
    </row>
    <row r="339" spans="1:16" ht="13.5" thickBot="1" x14ac:dyDescent="0.25">
      <c r="A339" s="146">
        <f>VLOOKUP($A$334,$B$239:$F$256,2,FALSE)</f>
        <v>25</v>
      </c>
      <c r="B339" s="147">
        <f>VLOOKUP($A$334,$B$239:$F$256,3,FALSE)</f>
        <v>1.0000000000000001E-5</v>
      </c>
      <c r="C339" s="147" t="str">
        <f>VLOOKUP($A$334,$B$239:$F$256,4,FALSE)</f>
        <v>-</v>
      </c>
      <c r="D339" s="148">
        <f>VLOOKUP($A$334,$B$239:$F$256,5,FALSE)</f>
        <v>0</v>
      </c>
      <c r="E339" s="109"/>
      <c r="F339" s="146">
        <f>VLOOKUP($F$334,$I$239:$M$256,2,FALSE)</f>
        <v>50</v>
      </c>
      <c r="G339" s="147">
        <f>VLOOKUP($F$334,$I$239:$M$256,3,FALSE)</f>
        <v>1.0000000000000001E-5</v>
      </c>
      <c r="H339" s="147" t="str">
        <f>VLOOKUP($F$334,$I$239:$M$256,4,FALSE)</f>
        <v>-</v>
      </c>
      <c r="I339" s="148">
        <f>VLOOKUP($F$334,$I$239:$M$256,5,FALSE)</f>
        <v>0</v>
      </c>
      <c r="J339" s="109"/>
      <c r="K339" s="344" t="s">
        <v>491</v>
      </c>
      <c r="L339" s="345">
        <f>AVERAGE(ID!E15:F15)</f>
        <v>68</v>
      </c>
      <c r="M339" s="346">
        <f>L339+H347</f>
        <v>67.920001999999997</v>
      </c>
      <c r="N339" s="341">
        <f>STDEV(ID!E15:F15)</f>
        <v>0</v>
      </c>
      <c r="O339" s="347">
        <f>VLOOKUP(K334,$O$222:$P$239,2,(FALSE))</f>
        <v>2</v>
      </c>
      <c r="P339" s="343"/>
    </row>
    <row r="340" spans="1:16" x14ac:dyDescent="0.2">
      <c r="A340" s="146">
        <f>VLOOKUP($A$334,$B$258:$F$275,2,FALSE)</f>
        <v>30</v>
      </c>
      <c r="B340" s="147">
        <f>VLOOKUP($A$334,$B$258:$F$275,3,FALSE)</f>
        <v>-0.1</v>
      </c>
      <c r="C340" s="147" t="str">
        <f>VLOOKUP($A$334,$B$258:$F$275,4,FALSE)</f>
        <v>-</v>
      </c>
      <c r="D340" s="148">
        <f>VLOOKUP($A$334,$B$258:$F$275,5,FALSE)</f>
        <v>0</v>
      </c>
      <c r="E340" s="109"/>
      <c r="F340" s="146">
        <f>VLOOKUP($F$334,$I$258:$M$275,2,FALSE)</f>
        <v>60</v>
      </c>
      <c r="G340" s="147">
        <f>VLOOKUP($F$334,$I$258:$M$275,3,FALSE)</f>
        <v>1.0000000000000001E-5</v>
      </c>
      <c r="H340" s="147" t="str">
        <f>VLOOKUP($F$334,$I$258:$M$275,4,FALSE)</f>
        <v>-</v>
      </c>
      <c r="I340" s="148">
        <f>VLOOKUP($F$334,$I$258:$M$275,5,FALSE)</f>
        <v>0</v>
      </c>
      <c r="J340" s="109"/>
      <c r="K340" s="109"/>
      <c r="L340" s="348"/>
      <c r="M340" s="349"/>
      <c r="N340" s="348"/>
      <c r="O340" s="149"/>
      <c r="P340" s="343"/>
    </row>
    <row r="341" spans="1:16" x14ac:dyDescent="0.2">
      <c r="A341" s="146">
        <f>VLOOKUP($A$334,$B$277:$F$294,2,FALSE)</f>
        <v>35</v>
      </c>
      <c r="B341" s="147">
        <f>VLOOKUP($A$334,$B$277:$F$294,3,FALSE)</f>
        <v>-0.2</v>
      </c>
      <c r="C341" s="147" t="str">
        <f>VLOOKUP($A$334,$B$277:$F$294,4,FALSE)</f>
        <v>-</v>
      </c>
      <c r="D341" s="148">
        <f>VLOOKUP($A$334,$B$277:$F$294,5,FALSE)</f>
        <v>0</v>
      </c>
      <c r="E341" s="109"/>
      <c r="F341" s="146">
        <f>VLOOKUP($F$334,$I$277:$M$294,2,FALSE)</f>
        <v>70</v>
      </c>
      <c r="G341" s="147">
        <f>VLOOKUP($F$334,$I$277:$M$294,3,FALSE)</f>
        <v>-0.1</v>
      </c>
      <c r="H341" s="147" t="str">
        <f>VLOOKUP($F$334,$I$277:$M$294,4,FALSE)</f>
        <v>-</v>
      </c>
      <c r="I341" s="148">
        <f>VLOOKUP($F$334,$I$277:$M$294,5,FALSE)</f>
        <v>0</v>
      </c>
      <c r="J341" s="109"/>
      <c r="K341" s="109"/>
      <c r="L341" s="784" t="s">
        <v>513</v>
      </c>
      <c r="M341" s="784"/>
      <c r="N341" s="784"/>
      <c r="O341" s="150"/>
      <c r="P341" s="343"/>
    </row>
    <row r="342" spans="1:16" ht="15.75" x14ac:dyDescent="0.25">
      <c r="A342" s="146">
        <f>VLOOKUP($A$334,$B$296:$F$313,2,FALSE)</f>
        <v>37</v>
      </c>
      <c r="B342" s="147">
        <f>VLOOKUP($A$334,$B$296:$F$313,3,FALSE)</f>
        <v>-0.3</v>
      </c>
      <c r="C342" s="147" t="str">
        <f>VLOOKUP($A$334,$B$296:$F$313,4,FALSE)</f>
        <v>-</v>
      </c>
      <c r="D342" s="148">
        <f>VLOOKUP($A$334,$B$296:$F$313,5,FALSE)</f>
        <v>0</v>
      </c>
      <c r="E342" s="109"/>
      <c r="F342" s="146">
        <f>VLOOKUP($F$334,$I$296:$M$313,2,FALSE)</f>
        <v>80</v>
      </c>
      <c r="G342" s="147">
        <f>VLOOKUP($F$334,$I$296:$M$313,3,FALSE)</f>
        <v>-0.5</v>
      </c>
      <c r="H342" s="147" t="str">
        <f>VLOOKUP($F$334,$I$296:$M$313,4,FALSE)</f>
        <v>-</v>
      </c>
      <c r="I342" s="148">
        <f>VLOOKUP($F$334,$I$296:$M$313,5,FALSE)</f>
        <v>0</v>
      </c>
      <c r="J342" s="109"/>
      <c r="K342" s="109"/>
      <c r="L342" s="170" t="str">
        <f>TEXT(M338,"0.0")</f>
        <v>28.9</v>
      </c>
      <c r="M342" s="170" t="str">
        <f>TEXT(O338,"0.0")</f>
        <v>0.3</v>
      </c>
      <c r="N342" s="350" t="s">
        <v>514</v>
      </c>
      <c r="O342" s="151"/>
      <c r="P342" s="351"/>
    </row>
    <row r="343" spans="1:16" ht="16.5" thickBot="1" x14ac:dyDescent="0.25">
      <c r="A343" s="152">
        <f>VLOOKUP($A$334,$B$315:$F$332,2,FALSE)</f>
        <v>40</v>
      </c>
      <c r="B343" s="153">
        <f>VLOOKUP($A$334,$B$315:$F$332,3,FALSE)</f>
        <v>-0.4</v>
      </c>
      <c r="C343" s="153" t="str">
        <f>VLOOKUP($A$334,$B$315:$F$332,4,FALSE)</f>
        <v>-</v>
      </c>
      <c r="D343" s="154">
        <f>VLOOKUP($A$334,$B$315:$F$332,5,FALSE)</f>
        <v>0</v>
      </c>
      <c r="E343" s="109"/>
      <c r="F343" s="152">
        <f>VLOOKUP($F$334,$I$315:$M$332,2,FALSE)</f>
        <v>90</v>
      </c>
      <c r="G343" s="153">
        <f>VLOOKUP($F$334,$I$315:$M$332,3,FALSE)</f>
        <v>-0.9</v>
      </c>
      <c r="H343" s="153" t="str">
        <f>VLOOKUP($F$334,$I$315:$M$332,4,FALSE)</f>
        <v>-</v>
      </c>
      <c r="I343" s="154">
        <f>VLOOKUP($F$334,$I$315:$M$332,5,FALSE)</f>
        <v>0</v>
      </c>
      <c r="J343" s="109"/>
      <c r="K343" s="109"/>
      <c r="L343" s="170" t="str">
        <f>TEXT(M339,"0.0")</f>
        <v>67.9</v>
      </c>
      <c r="M343" s="170" t="str">
        <f>TEXT(O339,"0.0")</f>
        <v>2.0</v>
      </c>
      <c r="N343" s="350" t="s">
        <v>515</v>
      </c>
      <c r="O343" s="151"/>
      <c r="P343" s="343"/>
    </row>
    <row r="344" spans="1:16" ht="16.5" thickBot="1" x14ac:dyDescent="0.3">
      <c r="A344" s="155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71" t="s">
        <v>516</v>
      </c>
      <c r="M344" s="352" t="s">
        <v>517</v>
      </c>
      <c r="N344" s="352" t="s">
        <v>518</v>
      </c>
      <c r="O344" s="151"/>
      <c r="P344" s="353"/>
    </row>
    <row r="345" spans="1:16" ht="15.75" thickBot="1" x14ac:dyDescent="0.3">
      <c r="A345" s="785" t="s">
        <v>519</v>
      </c>
      <c r="B345" s="786"/>
      <c r="C345" s="786"/>
      <c r="D345" s="787"/>
      <c r="E345" s="354"/>
      <c r="F345" s="785" t="s">
        <v>520</v>
      </c>
      <c r="G345" s="786"/>
      <c r="H345" s="786"/>
      <c r="I345" s="787"/>
      <c r="J345" s="109"/>
      <c r="K345" s="109"/>
      <c r="L345" s="109"/>
      <c r="M345" s="355"/>
      <c r="N345" s="172"/>
      <c r="O345" s="151"/>
      <c r="P345" s="356"/>
    </row>
    <row r="346" spans="1:16" ht="13.5" x14ac:dyDescent="0.2">
      <c r="A346" s="279"/>
      <c r="B346" s="156">
        <f>IF(A347&lt;=A338,A337,IF(A347&lt;=A339,A338,IF(A347&lt;=A340,A339,IF(A347&lt;=A341,A340,IF(A347&lt;=A342,A341,IF(A347&lt;=A343,A342))))))</f>
        <v>25</v>
      </c>
      <c r="C346" s="156"/>
      <c r="D346" s="157">
        <f>IF(A347&lt;=A338,B337,IF(A347&lt;=A339,B338,IF(A347&lt;=A340,B339,IF(A347&lt;=A341,B340,IF(A347&lt;=A342,B341,IF(A347&lt;=A343,B342))))))</f>
        <v>1.0000000000000001E-5</v>
      </c>
      <c r="E346" s="357"/>
      <c r="F346" s="158"/>
      <c r="G346" s="156">
        <f>IF(F347&lt;=F338,F337,IF(F347&lt;=F339,F338,IF(F347&lt;=F340,F339,IF(F347&lt;=F341,F340,IF(F347&lt;=F342,F341,IF(F347&lt;=F343,F342))))))</f>
        <v>60</v>
      </c>
      <c r="H346" s="156"/>
      <c r="I346" s="157">
        <f>IF(F347&lt;=F338,G337,IF(F347&lt;=F339,G338,IF(F347&lt;=F340,G339,IF(F347&lt;=F341,G340,IF(F347&lt;=F342,G341,IF(F347&lt;=F343,G342))))))</f>
        <v>1.0000000000000001E-5</v>
      </c>
      <c r="J346" s="109"/>
      <c r="K346" s="109"/>
      <c r="L346" s="109"/>
      <c r="M346" s="109"/>
      <c r="N346" s="109"/>
      <c r="O346" s="159"/>
      <c r="P346" s="159"/>
    </row>
    <row r="347" spans="1:16" ht="15" x14ac:dyDescent="0.25">
      <c r="A347" s="160">
        <f>L338</f>
        <v>29</v>
      </c>
      <c r="B347" s="161"/>
      <c r="C347" s="161">
        <f>((A347-B346)/(B348-B346)*(D348-D346)+D346)</f>
        <v>-7.9998000000000014E-2</v>
      </c>
      <c r="D347" s="162"/>
      <c r="E347" s="357"/>
      <c r="F347" s="160">
        <f>L339</f>
        <v>68</v>
      </c>
      <c r="G347" s="161"/>
      <c r="H347" s="161">
        <f>((F347-G346)/(G348-G346)*(I348-I346)+I346)</f>
        <v>-7.9998000000000014E-2</v>
      </c>
      <c r="I347" s="162"/>
      <c r="J347" s="109"/>
      <c r="K347" s="109" t="str">
        <f>L344&amp;L342&amp;M344&amp;M342&amp;N344&amp;N342</f>
        <v>( 28.9 ± 0.3 ) °C</v>
      </c>
      <c r="L347" s="109"/>
      <c r="M347" s="109"/>
      <c r="N347" s="109"/>
      <c r="O347" s="159"/>
      <c r="P347" s="358"/>
    </row>
    <row r="348" spans="1:16" ht="13.5" thickBot="1" x14ac:dyDescent="0.25">
      <c r="A348" s="163"/>
      <c r="B348" s="164">
        <f>IF(A347&lt;=A338,A338,IF(A347&lt;=A339,A339,IF(A347&lt;=A340,A340,IF(A347&lt;=A341,A341,IF(A347&lt;=A342,A342,IF(A347&lt;=A343,A343))))))</f>
        <v>30</v>
      </c>
      <c r="C348" s="165"/>
      <c r="D348" s="166">
        <f>IF(A347&lt;=A338,B338,IF(A347&lt;=A339,B339,IF(A347&lt;=A340,B340,IF(A347&lt;=A341,B341,IF(A347&lt;=A342,B342,IF(A347&lt;=A343,B343))))))</f>
        <v>-0.1</v>
      </c>
      <c r="E348" s="167"/>
      <c r="F348" s="163"/>
      <c r="G348" s="164">
        <f>IF(F347&lt;=F338,F338,IF(F347&lt;=F339,F339,IF(F347&lt;=F340,F340,IF(F347&lt;=F341,F341,IF(F347&lt;=F342,F342,IF(F347&lt;=F343,F343))))))</f>
        <v>70</v>
      </c>
      <c r="H348" s="165"/>
      <c r="I348" s="166">
        <f>IF(F347&lt;=F338,G338,IF(F347&lt;=F339,G339,IF(F347&lt;=F340,G340,IF(F347&lt;=F341,G341,IF(F347&lt;=F342,G342,IF(F347&lt;=F343,G343))))))</f>
        <v>-0.1</v>
      </c>
      <c r="J348" s="168"/>
      <c r="K348" s="168" t="str">
        <f>L344&amp;L343&amp;M344&amp;M343&amp;N344&amp;N343</f>
        <v>( 67.9 ± 2.0 ) %RH</v>
      </c>
      <c r="L348" s="168"/>
      <c r="M348" s="168"/>
      <c r="N348" s="168"/>
      <c r="O348" s="169"/>
      <c r="P348" s="359"/>
    </row>
    <row r="349" spans="1:16" x14ac:dyDescent="0.2">
      <c r="A349" s="328"/>
      <c r="B349" s="328"/>
      <c r="C349" s="328"/>
      <c r="D349" s="328"/>
      <c r="E349" s="328"/>
      <c r="F349" s="328"/>
      <c r="G349" s="328"/>
      <c r="H349" s="328"/>
      <c r="I349" s="328"/>
      <c r="J349" s="328"/>
      <c r="K349" s="328"/>
      <c r="L349" s="328"/>
      <c r="M349" s="328"/>
      <c r="N349" s="328"/>
      <c r="O349" s="328"/>
      <c r="P349" s="328"/>
    </row>
    <row r="350" spans="1:16" x14ac:dyDescent="0.2">
      <c r="A350" s="328"/>
      <c r="B350" s="328"/>
      <c r="C350" s="328"/>
      <c r="D350" s="328"/>
      <c r="E350" s="328"/>
      <c r="F350" s="328"/>
      <c r="G350" s="328"/>
      <c r="H350" s="328"/>
      <c r="I350" s="328"/>
      <c r="J350" s="328"/>
      <c r="K350" s="328"/>
      <c r="L350" s="328"/>
      <c r="M350" s="328"/>
      <c r="N350" s="328"/>
      <c r="O350" s="328"/>
      <c r="P350" s="328"/>
    </row>
    <row r="351" spans="1:16" x14ac:dyDescent="0.2">
      <c r="A351" s="328"/>
      <c r="B351" s="328"/>
      <c r="C351" s="328"/>
      <c r="D351" s="328"/>
      <c r="E351" s="328"/>
      <c r="F351" s="328"/>
      <c r="G351" s="328"/>
      <c r="H351" s="328"/>
      <c r="I351" s="328"/>
      <c r="J351" s="328"/>
      <c r="K351" s="328"/>
      <c r="L351" s="328"/>
      <c r="M351" s="328"/>
      <c r="N351" s="328"/>
      <c r="O351" s="328"/>
      <c r="P351" s="328"/>
    </row>
    <row r="352" spans="1:16" ht="13.5" thickBot="1" x14ac:dyDescent="0.25">
      <c r="A352" s="328"/>
      <c r="B352" s="328"/>
      <c r="C352" s="328"/>
      <c r="D352" s="328"/>
      <c r="E352" s="328"/>
      <c r="F352" s="328"/>
      <c r="G352" s="328"/>
      <c r="H352" s="328"/>
      <c r="I352" s="328"/>
      <c r="J352" s="328"/>
      <c r="K352" s="328"/>
      <c r="L352" s="328"/>
      <c r="M352" s="328"/>
      <c r="N352" s="328"/>
      <c r="O352" s="328"/>
      <c r="P352" s="328"/>
    </row>
    <row r="353" spans="1:16" ht="13.5" thickBot="1" x14ac:dyDescent="0.25">
      <c r="A353" s="788" t="str">
        <f>ID!B42</f>
        <v>Digital Thermohygro Barometer : EXTECH, SD700, SN : A.100586</v>
      </c>
      <c r="B353" s="789"/>
      <c r="C353" s="789"/>
      <c r="D353" s="789"/>
      <c r="E353" s="789"/>
      <c r="F353" s="789"/>
      <c r="G353" s="789"/>
      <c r="H353" s="789"/>
      <c r="I353" s="790"/>
      <c r="J353" s="790"/>
      <c r="K353" s="791"/>
      <c r="L353" s="282"/>
      <c r="M353" s="282"/>
      <c r="N353" s="282"/>
      <c r="O353" s="282"/>
      <c r="P353" s="282"/>
    </row>
    <row r="354" spans="1:16" x14ac:dyDescent="0.2">
      <c r="A354" s="360" t="s">
        <v>618</v>
      </c>
      <c r="B354" s="361"/>
      <c r="C354" s="361"/>
      <c r="D354" s="362"/>
      <c r="E354" s="362"/>
      <c r="F354" s="362"/>
      <c r="G354" s="363"/>
      <c r="H354" s="364"/>
      <c r="I354" s="365">
        <f>D4</f>
        <v>2020</v>
      </c>
      <c r="J354" s="366">
        <f>E4</f>
        <v>2017</v>
      </c>
      <c r="K354" s="367">
        <v>1</v>
      </c>
      <c r="L354" s="282"/>
      <c r="M354" s="282"/>
      <c r="N354" s="282"/>
      <c r="O354" s="282"/>
      <c r="P354" s="282"/>
    </row>
    <row r="355" spans="1:16" x14ac:dyDescent="0.2">
      <c r="A355" s="360" t="s">
        <v>619</v>
      </c>
      <c r="B355" s="361"/>
      <c r="C355" s="361"/>
      <c r="D355" s="362"/>
      <c r="E355" s="362"/>
      <c r="F355" s="362"/>
      <c r="G355" s="363"/>
      <c r="H355" s="364"/>
      <c r="I355" s="368">
        <f>D15</f>
        <v>2018</v>
      </c>
      <c r="J355" s="369">
        <f>E15</f>
        <v>2017</v>
      </c>
      <c r="K355" s="367">
        <v>2</v>
      </c>
      <c r="L355" s="282"/>
      <c r="M355" s="282"/>
      <c r="N355" s="282"/>
      <c r="O355" s="282"/>
      <c r="P355" s="282"/>
    </row>
    <row r="356" spans="1:16" x14ac:dyDescent="0.2">
      <c r="A356" s="360" t="s">
        <v>521</v>
      </c>
      <c r="B356" s="361"/>
      <c r="C356" s="361"/>
      <c r="D356" s="362"/>
      <c r="E356" s="362"/>
      <c r="F356" s="362"/>
      <c r="G356" s="363"/>
      <c r="H356" s="364"/>
      <c r="I356" s="368">
        <f>D26</f>
        <v>2018</v>
      </c>
      <c r="J356" s="369">
        <f>E26</f>
        <v>2017</v>
      </c>
      <c r="K356" s="367">
        <v>3</v>
      </c>
      <c r="L356" s="282"/>
      <c r="M356" s="282"/>
      <c r="N356" s="282"/>
      <c r="O356" s="282"/>
      <c r="P356" s="282"/>
    </row>
    <row r="357" spans="1:16" x14ac:dyDescent="0.2">
      <c r="A357" s="360" t="s">
        <v>620</v>
      </c>
      <c r="B357" s="361"/>
      <c r="C357" s="361"/>
      <c r="D357" s="362"/>
      <c r="E357" s="362"/>
      <c r="F357" s="362"/>
      <c r="G357" s="363"/>
      <c r="H357" s="364"/>
      <c r="I357" s="368">
        <f>D37</f>
        <v>2017</v>
      </c>
      <c r="J357" s="369">
        <f>E37</f>
        <v>2015</v>
      </c>
      <c r="K357" s="367">
        <v>4</v>
      </c>
      <c r="L357" s="282"/>
      <c r="M357" s="282"/>
      <c r="N357" s="282"/>
      <c r="O357" s="282"/>
      <c r="P357" s="282"/>
    </row>
    <row r="358" spans="1:16" x14ac:dyDescent="0.2">
      <c r="A358" s="360" t="s">
        <v>621</v>
      </c>
      <c r="B358" s="361"/>
      <c r="C358" s="361"/>
      <c r="D358" s="362"/>
      <c r="E358" s="362"/>
      <c r="F358" s="362"/>
      <c r="G358" s="363"/>
      <c r="H358" s="364"/>
      <c r="I358" s="368">
        <f>D48</f>
        <v>2017</v>
      </c>
      <c r="J358" s="369">
        <f>E48</f>
        <v>2015</v>
      </c>
      <c r="K358" s="367">
        <v>5</v>
      </c>
      <c r="L358" s="282"/>
      <c r="M358" s="282"/>
      <c r="N358" s="282"/>
      <c r="O358" s="282"/>
      <c r="P358" s="282"/>
    </row>
    <row r="359" spans="1:16" x14ac:dyDescent="0.2">
      <c r="A359" s="360" t="s">
        <v>522</v>
      </c>
      <c r="B359" s="361"/>
      <c r="C359" s="361"/>
      <c r="D359" s="362"/>
      <c r="E359" s="362"/>
      <c r="F359" s="362"/>
      <c r="G359" s="363"/>
      <c r="H359" s="364"/>
      <c r="I359" s="368">
        <f>D59</f>
        <v>2018</v>
      </c>
      <c r="J359" s="369">
        <f>E59</f>
        <v>2017</v>
      </c>
      <c r="K359" s="367">
        <v>6</v>
      </c>
      <c r="L359" s="282"/>
      <c r="M359" s="282"/>
      <c r="N359" s="282"/>
      <c r="O359" s="282"/>
      <c r="P359" s="282"/>
    </row>
    <row r="360" spans="1:16" x14ac:dyDescent="0.2">
      <c r="A360" s="360" t="s">
        <v>523</v>
      </c>
      <c r="B360" s="361"/>
      <c r="C360" s="361"/>
      <c r="D360" s="362"/>
      <c r="E360" s="362"/>
      <c r="F360" s="362"/>
      <c r="G360" s="363"/>
      <c r="H360" s="364"/>
      <c r="I360" s="368">
        <f>D70</f>
        <v>2018</v>
      </c>
      <c r="J360" s="369">
        <f>E70</f>
        <v>2017</v>
      </c>
      <c r="K360" s="367">
        <v>7</v>
      </c>
      <c r="L360" s="282"/>
      <c r="M360" s="282"/>
      <c r="N360" s="282"/>
      <c r="O360" s="282"/>
      <c r="P360" s="282"/>
    </row>
    <row r="361" spans="1:16" x14ac:dyDescent="0.2">
      <c r="A361" s="360" t="s">
        <v>524</v>
      </c>
      <c r="B361" s="361"/>
      <c r="C361" s="361"/>
      <c r="D361" s="362"/>
      <c r="E361" s="362"/>
      <c r="F361" s="362"/>
      <c r="G361" s="363"/>
      <c r="H361" s="364"/>
      <c r="I361" s="368">
        <f>D81</f>
        <v>2019</v>
      </c>
      <c r="J361" s="369">
        <f>E81</f>
        <v>2017</v>
      </c>
      <c r="K361" s="367">
        <v>8</v>
      </c>
      <c r="L361" s="282"/>
      <c r="M361" s="282"/>
      <c r="N361" s="282"/>
      <c r="O361" s="282"/>
      <c r="P361" s="282"/>
    </row>
    <row r="362" spans="1:16" x14ac:dyDescent="0.2">
      <c r="A362" s="360" t="s">
        <v>525</v>
      </c>
      <c r="B362" s="361"/>
      <c r="C362" s="361"/>
      <c r="D362" s="362"/>
      <c r="E362" s="362"/>
      <c r="F362" s="362"/>
      <c r="G362" s="363"/>
      <c r="H362" s="364"/>
      <c r="I362" s="368">
        <f>D92</f>
        <v>2019</v>
      </c>
      <c r="J362" s="369" t="str">
        <f>E92</f>
        <v>-</v>
      </c>
      <c r="K362" s="367">
        <v>9</v>
      </c>
      <c r="L362" s="282"/>
      <c r="M362" s="282"/>
      <c r="N362" s="282"/>
      <c r="O362" s="282"/>
      <c r="P362" s="282"/>
    </row>
    <row r="363" spans="1:16" x14ac:dyDescent="0.2">
      <c r="A363" s="360" t="s">
        <v>526</v>
      </c>
      <c r="B363" s="361"/>
      <c r="C363" s="361"/>
      <c r="D363" s="362"/>
      <c r="E363" s="362"/>
      <c r="F363" s="362"/>
      <c r="G363" s="363"/>
      <c r="H363" s="364"/>
      <c r="I363" s="368">
        <f>D103</f>
        <v>2019</v>
      </c>
      <c r="J363" s="369">
        <f>E103</f>
        <v>2016</v>
      </c>
      <c r="K363" s="367">
        <v>10</v>
      </c>
      <c r="L363" s="282"/>
      <c r="M363" s="282"/>
      <c r="N363" s="282"/>
      <c r="O363" s="282"/>
      <c r="P363" s="282"/>
    </row>
    <row r="364" spans="1:16" x14ac:dyDescent="0.2">
      <c r="A364" s="360" t="s">
        <v>527</v>
      </c>
      <c r="B364" s="361"/>
      <c r="C364" s="361"/>
      <c r="D364" s="362"/>
      <c r="E364" s="362"/>
      <c r="F364" s="362"/>
      <c r="G364" s="363"/>
      <c r="H364" s="364"/>
      <c r="I364" s="368">
        <f>D114</f>
        <v>2020</v>
      </c>
      <c r="J364" s="369" t="str">
        <f>E114</f>
        <v>-</v>
      </c>
      <c r="K364" s="367">
        <v>11</v>
      </c>
      <c r="L364" s="282"/>
      <c r="M364" s="282"/>
      <c r="N364" s="282"/>
      <c r="O364" s="282"/>
      <c r="P364" s="282"/>
    </row>
    <row r="365" spans="1:16" x14ac:dyDescent="0.2">
      <c r="A365" s="360" t="s">
        <v>528</v>
      </c>
      <c r="B365" s="361"/>
      <c r="C365" s="361"/>
      <c r="D365" s="362"/>
      <c r="E365" s="362"/>
      <c r="F365" s="362"/>
      <c r="G365" s="363"/>
      <c r="H365" s="364"/>
      <c r="I365" s="370">
        <v>2020</v>
      </c>
      <c r="J365" s="371" t="s">
        <v>81</v>
      </c>
      <c r="K365" s="367">
        <v>12</v>
      </c>
      <c r="L365" s="282"/>
      <c r="M365" s="282"/>
      <c r="N365" s="282"/>
      <c r="O365" s="282"/>
      <c r="P365" s="282"/>
    </row>
    <row r="366" spans="1:16" x14ac:dyDescent="0.2">
      <c r="A366" s="360" t="s">
        <v>529</v>
      </c>
      <c r="B366" s="361"/>
      <c r="C366" s="361"/>
      <c r="D366" s="362"/>
      <c r="E366" s="362"/>
      <c r="F366" s="362"/>
      <c r="G366" s="363"/>
      <c r="H366" s="364"/>
      <c r="I366" s="370">
        <v>2020</v>
      </c>
      <c r="J366" s="371" t="s">
        <v>81</v>
      </c>
      <c r="K366" s="367">
        <v>13</v>
      </c>
      <c r="L366" s="282"/>
      <c r="M366" s="282"/>
      <c r="N366" s="282"/>
      <c r="O366" s="282"/>
      <c r="P366" s="282"/>
    </row>
    <row r="367" spans="1:16" x14ac:dyDescent="0.2">
      <c r="A367" s="360" t="s">
        <v>530</v>
      </c>
      <c r="B367" s="361"/>
      <c r="C367" s="361"/>
      <c r="D367" s="362"/>
      <c r="E367" s="362"/>
      <c r="F367" s="362"/>
      <c r="G367" s="363"/>
      <c r="H367" s="364"/>
      <c r="I367" s="370">
        <v>2020</v>
      </c>
      <c r="J367" s="371" t="s">
        <v>81</v>
      </c>
      <c r="K367" s="367">
        <v>14</v>
      </c>
      <c r="L367" s="282"/>
      <c r="M367" s="282"/>
      <c r="N367" s="282"/>
      <c r="O367" s="282"/>
      <c r="P367" s="282"/>
    </row>
    <row r="368" spans="1:16" x14ac:dyDescent="0.2">
      <c r="A368" s="360" t="s">
        <v>531</v>
      </c>
      <c r="B368" s="361"/>
      <c r="C368" s="361"/>
      <c r="D368" s="362"/>
      <c r="E368" s="362"/>
      <c r="F368" s="362"/>
      <c r="G368" s="363"/>
      <c r="H368" s="364"/>
      <c r="I368" s="370">
        <v>2020</v>
      </c>
      <c r="J368" s="371" t="s">
        <v>81</v>
      </c>
      <c r="K368" s="367">
        <v>15</v>
      </c>
      <c r="L368" s="282"/>
      <c r="M368" s="282"/>
      <c r="N368" s="282"/>
      <c r="O368" s="282"/>
      <c r="P368" s="282"/>
    </row>
    <row r="369" spans="1:16" x14ac:dyDescent="0.2">
      <c r="A369" s="360" t="s">
        <v>532</v>
      </c>
      <c r="B369" s="361"/>
      <c r="C369" s="361"/>
      <c r="D369" s="362"/>
      <c r="E369" s="362"/>
      <c r="F369" s="362"/>
      <c r="G369" s="363"/>
      <c r="H369" s="364"/>
      <c r="I369" s="370">
        <v>2020</v>
      </c>
      <c r="J369" s="371" t="s">
        <v>81</v>
      </c>
      <c r="K369" s="367">
        <v>16</v>
      </c>
      <c r="L369" s="282"/>
      <c r="M369" s="282"/>
      <c r="N369" s="282"/>
      <c r="O369" s="282"/>
      <c r="P369" s="282"/>
    </row>
    <row r="370" spans="1:16" x14ac:dyDescent="0.2">
      <c r="A370" s="360" t="s">
        <v>533</v>
      </c>
      <c r="B370" s="361"/>
      <c r="C370" s="361"/>
      <c r="D370" s="362"/>
      <c r="E370" s="362"/>
      <c r="F370" s="362"/>
      <c r="G370" s="363"/>
      <c r="H370" s="364"/>
      <c r="I370" s="370">
        <v>2020</v>
      </c>
      <c r="J370" s="371" t="s">
        <v>81</v>
      </c>
      <c r="K370" s="367">
        <v>17</v>
      </c>
      <c r="L370" s="282"/>
      <c r="M370" s="282"/>
      <c r="N370" s="282"/>
      <c r="O370" s="282"/>
      <c r="P370" s="282"/>
    </row>
    <row r="371" spans="1:16" x14ac:dyDescent="0.2">
      <c r="A371" s="360" t="s">
        <v>135</v>
      </c>
      <c r="B371" s="361"/>
      <c r="C371" s="361"/>
      <c r="D371" s="362"/>
      <c r="E371" s="362"/>
      <c r="F371" s="362"/>
      <c r="G371" s="363"/>
      <c r="H371" s="364"/>
      <c r="I371" s="368">
        <v>2020</v>
      </c>
      <c r="J371" s="372" t="s">
        <v>81</v>
      </c>
      <c r="K371" s="367">
        <v>18</v>
      </c>
      <c r="L371" s="282"/>
      <c r="M371" s="282"/>
      <c r="N371" s="282"/>
      <c r="O371" s="282"/>
      <c r="P371" s="282"/>
    </row>
    <row r="372" spans="1:16" ht="13.5" thickBot="1" x14ac:dyDescent="0.25">
      <c r="A372" s="792">
        <f>VLOOKUP(A353,A354:K371,11,(FALSE))</f>
        <v>18</v>
      </c>
      <c r="B372" s="793"/>
      <c r="C372" s="793"/>
      <c r="D372" s="793"/>
      <c r="E372" s="793"/>
      <c r="F372" s="793"/>
      <c r="G372" s="793"/>
      <c r="H372" s="793"/>
      <c r="I372" s="794"/>
      <c r="J372" s="794"/>
      <c r="K372" s="795"/>
      <c r="L372" s="282"/>
      <c r="M372" s="282"/>
      <c r="N372" s="282"/>
      <c r="O372" s="282"/>
      <c r="P372" s="282"/>
    </row>
  </sheetData>
  <mergeCells count="262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23:O123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23:A132"/>
    <mergeCell ref="B123:F123"/>
    <mergeCell ref="H123:L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87:A196"/>
    <mergeCell ref="B187:F187"/>
    <mergeCell ref="H187:L18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45:A154"/>
    <mergeCell ref="B145:F145"/>
    <mergeCell ref="H145:L145"/>
    <mergeCell ref="A156:A165"/>
    <mergeCell ref="B156:F156"/>
    <mergeCell ref="H156:L156"/>
    <mergeCell ref="A167:A176"/>
    <mergeCell ref="B167:F167"/>
    <mergeCell ref="H167:L167"/>
    <mergeCell ref="A177:A186"/>
    <mergeCell ref="B177:F177"/>
    <mergeCell ref="H177:L177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N177:O177"/>
    <mergeCell ref="B178:C178"/>
    <mergeCell ref="D178:E178"/>
    <mergeCell ref="F178:F179"/>
    <mergeCell ref="H178:I178"/>
    <mergeCell ref="J178:K178"/>
    <mergeCell ref="L178:L179"/>
    <mergeCell ref="B179:C179"/>
    <mergeCell ref="H179:I179"/>
    <mergeCell ref="N187:O187"/>
    <mergeCell ref="B188:C188"/>
    <mergeCell ref="D188:E188"/>
    <mergeCell ref="F188:F189"/>
    <mergeCell ref="H188:I188"/>
    <mergeCell ref="J188:K188"/>
    <mergeCell ref="L188:L189"/>
    <mergeCell ref="B189:C189"/>
    <mergeCell ref="H189:I189"/>
    <mergeCell ref="A198:A200"/>
    <mergeCell ref="B198:B200"/>
    <mergeCell ref="C198:F198"/>
    <mergeCell ref="H198:H200"/>
    <mergeCell ref="I198:I200"/>
    <mergeCell ref="J198:M198"/>
    <mergeCell ref="O198:P198"/>
    <mergeCell ref="D199:E199"/>
    <mergeCell ref="F199:F200"/>
    <mergeCell ref="K199:L199"/>
    <mergeCell ref="M199:M200"/>
    <mergeCell ref="O199:P199"/>
    <mergeCell ref="A201:A218"/>
    <mergeCell ref="H201:H218"/>
    <mergeCell ref="A220:A237"/>
    <mergeCell ref="H220:H237"/>
    <mergeCell ref="O220:P220"/>
    <mergeCell ref="O221:P221"/>
    <mergeCell ref="A239:A256"/>
    <mergeCell ref="H239:H256"/>
    <mergeCell ref="A258:A275"/>
    <mergeCell ref="H258:H275"/>
    <mergeCell ref="O335:O337"/>
    <mergeCell ref="A277:A294"/>
    <mergeCell ref="H277:H294"/>
    <mergeCell ref="A296:A313"/>
    <mergeCell ref="H296:H313"/>
    <mergeCell ref="A315:A332"/>
    <mergeCell ref="H315:H332"/>
    <mergeCell ref="B334:D334"/>
    <mergeCell ref="G334:I334"/>
    <mergeCell ref="L334:O334"/>
    <mergeCell ref="L341:N341"/>
    <mergeCell ref="A345:D345"/>
    <mergeCell ref="F345:I345"/>
    <mergeCell ref="A353:K353"/>
    <mergeCell ref="A372:K372"/>
    <mergeCell ref="B335:C335"/>
    <mergeCell ref="D335:D336"/>
    <mergeCell ref="G335:H335"/>
    <mergeCell ref="I335:I336"/>
    <mergeCell ref="K335:K337"/>
    <mergeCell ref="L335:L337"/>
    <mergeCell ref="M335:M337"/>
    <mergeCell ref="N335:N337"/>
  </mergeCells>
  <pageMargins left="0.7" right="0.7" top="0.75" bottom="0.75" header="0.3" footer="0.3"/>
  <pageSetup paperSize="9" orientation="portrait" horizontalDpi="4294967293" verticalDpi="72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6:O11"/>
  <sheetViews>
    <sheetView workbookViewId="0">
      <selection activeCell="N339" sqref="N338:N339"/>
    </sheetView>
  </sheetViews>
  <sheetFormatPr defaultRowHeight="12.75" x14ac:dyDescent="0.2"/>
  <cols>
    <col min="2" max="2" width="9.140625" customWidth="1"/>
  </cols>
  <sheetData>
    <row r="6" spans="2:15" ht="15.75" x14ac:dyDescent="0.25">
      <c r="B6" s="241"/>
      <c r="C6" s="242"/>
      <c r="D6" s="7"/>
      <c r="E6" s="7"/>
      <c r="F6" s="7"/>
      <c r="G6" s="7"/>
      <c r="H6" s="7"/>
      <c r="I6" s="7"/>
      <c r="J6" s="7"/>
      <c r="K6" s="7"/>
      <c r="L6" s="7"/>
      <c r="M6" s="243"/>
      <c r="N6" s="242"/>
      <c r="O6" s="244"/>
    </row>
    <row r="7" spans="2:15" ht="15.75" x14ac:dyDescent="0.25">
      <c r="B7" s="241"/>
      <c r="C7" s="242"/>
      <c r="D7" s="7"/>
      <c r="E7" s="7"/>
      <c r="F7" s="7"/>
      <c r="G7" s="7"/>
      <c r="H7" s="7"/>
      <c r="I7" s="7"/>
      <c r="J7" s="7"/>
      <c r="K7" s="7"/>
      <c r="L7" s="7"/>
      <c r="M7" s="243"/>
      <c r="N7" s="242"/>
      <c r="O7" s="244"/>
    </row>
    <row r="8" spans="2:15" ht="15.75" x14ac:dyDescent="0.25">
      <c r="B8" s="241"/>
      <c r="C8" s="242"/>
      <c r="D8" s="7"/>
      <c r="E8" s="7"/>
      <c r="F8" s="7"/>
      <c r="G8" s="7"/>
      <c r="H8" s="7"/>
      <c r="I8" s="7"/>
      <c r="J8" s="7"/>
      <c r="K8" s="7"/>
      <c r="L8" s="7"/>
      <c r="M8" s="243"/>
      <c r="N8" s="242"/>
      <c r="O8" s="244"/>
    </row>
    <row r="9" spans="2:15" ht="15.75" x14ac:dyDescent="0.25">
      <c r="B9" s="241"/>
      <c r="C9" s="242"/>
      <c r="D9" s="7"/>
      <c r="E9" s="7"/>
      <c r="F9" s="7"/>
      <c r="G9" s="7"/>
      <c r="H9" s="7"/>
      <c r="I9" s="7"/>
      <c r="J9" s="7"/>
      <c r="K9" s="7"/>
      <c r="L9" s="7"/>
      <c r="M9" s="243"/>
      <c r="N9" s="242"/>
      <c r="O9" s="244"/>
    </row>
    <row r="10" spans="2:15" ht="15.75" x14ac:dyDescent="0.25">
      <c r="B10" s="241"/>
      <c r="C10" s="242"/>
      <c r="D10" s="7"/>
      <c r="E10" s="7"/>
      <c r="F10" s="7"/>
      <c r="G10" s="7"/>
      <c r="H10" s="7"/>
      <c r="I10" s="7"/>
      <c r="J10" s="7"/>
      <c r="K10" s="7"/>
      <c r="L10" s="7"/>
      <c r="M10" s="243"/>
      <c r="N10" s="242"/>
      <c r="O10" s="244"/>
    </row>
    <row r="11" spans="2:15" ht="15.75" x14ac:dyDescent="0.25">
      <c r="B11" s="241"/>
      <c r="C11" s="242"/>
      <c r="D11" s="7"/>
      <c r="E11" s="7"/>
      <c r="F11" s="7"/>
      <c r="G11" s="7"/>
      <c r="H11" s="7"/>
      <c r="I11" s="7"/>
      <c r="J11" s="7"/>
      <c r="K11" s="7"/>
      <c r="L11" s="7"/>
      <c r="M11" s="243"/>
      <c r="N11" s="242"/>
      <c r="O11" s="244"/>
    </row>
  </sheetData>
  <sheetProtection algorithmName="SHA-512" hashValue="So6QSMWd+3ge86xjOuO5+I+ZRgLPZWu5oMro8eg7Iw9aWtwfoRGquipsM22KI9XQjtrne59AhuoFG0l4Pr62wA==" saltValue="SFHi0JkCf0aix/+PBow6X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E100"/>
  <sheetViews>
    <sheetView topLeftCell="B55" zoomScale="70" zoomScaleNormal="70" workbookViewId="0">
      <selection activeCell="B73" sqref="B73"/>
    </sheetView>
  </sheetViews>
  <sheetFormatPr defaultRowHeight="12.75" x14ac:dyDescent="0.2"/>
  <cols>
    <col min="1" max="1" width="92.42578125" customWidth="1"/>
    <col min="2" max="2" width="92.7109375" customWidth="1"/>
    <col min="3" max="3" width="57.7109375" customWidth="1"/>
  </cols>
  <sheetData>
    <row r="1" spans="1:5" x14ac:dyDescent="0.2">
      <c r="C1" s="3" t="s">
        <v>628</v>
      </c>
      <c r="D1" s="3" t="s">
        <v>534</v>
      </c>
      <c r="E1">
        <v>500</v>
      </c>
    </row>
    <row r="2" spans="1:5" x14ac:dyDescent="0.2">
      <c r="C2" s="3" t="s">
        <v>535</v>
      </c>
      <c r="D2" s="3" t="s">
        <v>536</v>
      </c>
      <c r="E2">
        <v>100</v>
      </c>
    </row>
    <row r="3" spans="1:5" ht="18.75" customHeight="1" x14ac:dyDescent="0.2"/>
    <row r="4" spans="1:5" x14ac:dyDescent="0.2">
      <c r="A4" s="11"/>
    </row>
    <row r="5" spans="1:5" x14ac:dyDescent="0.2">
      <c r="A5" s="90" t="s">
        <v>537</v>
      </c>
    </row>
    <row r="6" spans="1:5" x14ac:dyDescent="0.2">
      <c r="A6" s="90" t="s">
        <v>538</v>
      </c>
      <c r="B6" s="3"/>
    </row>
    <row r="7" spans="1:5" x14ac:dyDescent="0.2">
      <c r="A7" s="90" t="s">
        <v>539</v>
      </c>
      <c r="B7" s="12"/>
    </row>
    <row r="8" spans="1:5" x14ac:dyDescent="0.2">
      <c r="A8" s="90" t="s">
        <v>540</v>
      </c>
    </row>
    <row r="9" spans="1:5" x14ac:dyDescent="0.2">
      <c r="A9" s="90" t="s">
        <v>541</v>
      </c>
    </row>
    <row r="10" spans="1:5" x14ac:dyDescent="0.2">
      <c r="A10" s="90" t="s">
        <v>542</v>
      </c>
    </row>
    <row r="11" spans="1:5" x14ac:dyDescent="0.2">
      <c r="A11" s="90" t="s">
        <v>543</v>
      </c>
    </row>
    <row r="12" spans="1:5" ht="15" x14ac:dyDescent="0.25">
      <c r="A12" s="13" t="s">
        <v>544</v>
      </c>
    </row>
    <row r="13" spans="1:5" ht="15" x14ac:dyDescent="0.25">
      <c r="A13" s="13" t="s">
        <v>248</v>
      </c>
    </row>
    <row r="14" spans="1:5" ht="15" x14ac:dyDescent="0.25">
      <c r="A14" s="13" t="s">
        <v>545</v>
      </c>
    </row>
    <row r="15" spans="1:5" ht="15" x14ac:dyDescent="0.25">
      <c r="A15" s="13" t="s">
        <v>546</v>
      </c>
    </row>
    <row r="16" spans="1:5" ht="15" x14ac:dyDescent="0.25">
      <c r="A16" s="13" t="s">
        <v>547</v>
      </c>
    </row>
    <row r="17" spans="1:4" ht="15" x14ac:dyDescent="0.25">
      <c r="A17" s="13" t="s">
        <v>548</v>
      </c>
    </row>
    <row r="18" spans="1:4" ht="15" x14ac:dyDescent="0.25">
      <c r="A18" s="13" t="s">
        <v>549</v>
      </c>
    </row>
    <row r="19" spans="1:4" ht="15" x14ac:dyDescent="0.25">
      <c r="A19" s="13" t="s">
        <v>136</v>
      </c>
    </row>
    <row r="20" spans="1:4" ht="15" x14ac:dyDescent="0.25">
      <c r="A20" s="13" t="s">
        <v>550</v>
      </c>
    </row>
    <row r="21" spans="1:4" ht="15" x14ac:dyDescent="0.25">
      <c r="A21" s="13" t="s">
        <v>551</v>
      </c>
    </row>
    <row r="22" spans="1:4" x14ac:dyDescent="0.2">
      <c r="A22" s="11" t="s">
        <v>552</v>
      </c>
      <c r="D22" s="3"/>
    </row>
    <row r="23" spans="1:4" x14ac:dyDescent="0.2">
      <c r="A23" s="11" t="s">
        <v>553</v>
      </c>
    </row>
    <row r="25" spans="1:4" x14ac:dyDescent="0.2">
      <c r="A25" s="3" t="s">
        <v>554</v>
      </c>
    </row>
    <row r="26" spans="1:4" x14ac:dyDescent="0.2">
      <c r="A26" t="s">
        <v>555</v>
      </c>
    </row>
    <row r="29" spans="1:4" x14ac:dyDescent="0.2">
      <c r="A29" s="3" t="s">
        <v>124</v>
      </c>
      <c r="B29" s="3" t="s">
        <v>124</v>
      </c>
    </row>
    <row r="30" spans="1:4" x14ac:dyDescent="0.2">
      <c r="A30" s="3" t="s">
        <v>556</v>
      </c>
      <c r="B30" s="3" t="s">
        <v>556</v>
      </c>
    </row>
    <row r="34" spans="1:2" x14ac:dyDescent="0.2">
      <c r="A34" s="90" t="s">
        <v>537</v>
      </c>
      <c r="B34" s="93" t="s">
        <v>557</v>
      </c>
    </row>
    <row r="35" spans="1:2" x14ac:dyDescent="0.2">
      <c r="A35" s="90" t="s">
        <v>558</v>
      </c>
      <c r="B35" s="93" t="s">
        <v>557</v>
      </c>
    </row>
    <row r="36" spans="1:2" x14ac:dyDescent="0.2">
      <c r="A36" s="90" t="s">
        <v>539</v>
      </c>
      <c r="B36" s="93" t="s">
        <v>559</v>
      </c>
    </row>
    <row r="37" spans="1:2" x14ac:dyDescent="0.2">
      <c r="A37" s="90" t="s">
        <v>540</v>
      </c>
      <c r="B37" s="93" t="s">
        <v>559</v>
      </c>
    </row>
    <row r="38" spans="1:2" x14ac:dyDescent="0.2">
      <c r="A38" s="90" t="s">
        <v>541</v>
      </c>
      <c r="B38" s="93" t="s">
        <v>559</v>
      </c>
    </row>
    <row r="39" spans="1:2" x14ac:dyDescent="0.2">
      <c r="A39" s="90" t="s">
        <v>542</v>
      </c>
      <c r="B39" s="93" t="s">
        <v>559</v>
      </c>
    </row>
    <row r="40" spans="1:2" x14ac:dyDescent="0.2">
      <c r="A40" s="90" t="s">
        <v>543</v>
      </c>
      <c r="B40" s="93" t="s">
        <v>559</v>
      </c>
    </row>
    <row r="43" spans="1:2" ht="15.75" x14ac:dyDescent="0.25">
      <c r="A43" s="10" t="s">
        <v>560</v>
      </c>
    </row>
    <row r="44" spans="1:2" ht="15.75" x14ac:dyDescent="0.25">
      <c r="A44" s="10" t="s">
        <v>561</v>
      </c>
    </row>
    <row r="45" spans="1:2" ht="15.75" x14ac:dyDescent="0.25">
      <c r="A45" s="10" t="s">
        <v>562</v>
      </c>
    </row>
    <row r="46" spans="1:2" ht="15.75" x14ac:dyDescent="0.25">
      <c r="A46" s="10" t="s">
        <v>563</v>
      </c>
    </row>
    <row r="47" spans="1:2" ht="15.75" x14ac:dyDescent="0.25">
      <c r="A47" s="10" t="s">
        <v>564</v>
      </c>
    </row>
    <row r="48" spans="1:2" ht="15.75" x14ac:dyDescent="0.25">
      <c r="A48" s="10" t="s">
        <v>565</v>
      </c>
    </row>
    <row r="49" spans="1:3" x14ac:dyDescent="0.2">
      <c r="A49" t="s">
        <v>566</v>
      </c>
    </row>
    <row r="50" spans="1:3" x14ac:dyDescent="0.2">
      <c r="A50" t="s">
        <v>567</v>
      </c>
    </row>
    <row r="52" spans="1:3" ht="15" x14ac:dyDescent="0.25">
      <c r="A52" s="13" t="s">
        <v>568</v>
      </c>
    </row>
    <row r="53" spans="1:3" ht="15" x14ac:dyDescent="0.25">
      <c r="A53" s="13" t="s">
        <v>569</v>
      </c>
    </row>
    <row r="54" spans="1:3" ht="15" x14ac:dyDescent="0.25">
      <c r="A54" s="13" t="s">
        <v>570</v>
      </c>
    </row>
    <row r="55" spans="1:3" ht="15" x14ac:dyDescent="0.25">
      <c r="A55" s="13" t="s">
        <v>571</v>
      </c>
    </row>
    <row r="57" spans="1:3" ht="15.75" x14ac:dyDescent="0.25">
      <c r="A57" s="7" t="s">
        <v>141</v>
      </c>
      <c r="B57" s="210" t="s">
        <v>572</v>
      </c>
      <c r="C57" s="40"/>
    </row>
    <row r="58" spans="1:3" ht="15.75" x14ac:dyDescent="0.25">
      <c r="A58" s="7" t="s">
        <v>146</v>
      </c>
      <c r="B58" s="210" t="s">
        <v>166</v>
      </c>
      <c r="C58" s="40"/>
    </row>
    <row r="59" spans="1:3" ht="15.75" x14ac:dyDescent="0.25">
      <c r="A59" s="7" t="s">
        <v>147</v>
      </c>
      <c r="B59" s="210" t="s">
        <v>165</v>
      </c>
      <c r="C59" s="40"/>
    </row>
    <row r="60" spans="1:3" ht="15.75" x14ac:dyDescent="0.25">
      <c r="A60" s="7" t="s">
        <v>151</v>
      </c>
      <c r="B60" s="210" t="s">
        <v>166</v>
      </c>
    </row>
    <row r="61" spans="1:3" ht="15.75" x14ac:dyDescent="0.25">
      <c r="A61" s="7" t="s">
        <v>133</v>
      </c>
      <c r="B61" s="210" t="s">
        <v>166</v>
      </c>
    </row>
    <row r="62" spans="1:3" ht="15.75" x14ac:dyDescent="0.25">
      <c r="A62" s="7" t="s">
        <v>152</v>
      </c>
      <c r="B62" s="210" t="s">
        <v>166</v>
      </c>
    </row>
    <row r="63" spans="1:3" x14ac:dyDescent="0.2">
      <c r="A63" s="73" t="s">
        <v>573</v>
      </c>
      <c r="B63" s="90" t="str">
        <f>ID!B41</f>
        <v>Electrical Safety Analyzer, Merek : Fluke, Model : ESA 620, SN : 1837056</v>
      </c>
    </row>
    <row r="64" spans="1:3" x14ac:dyDescent="0.2">
      <c r="B64" s="90" t="s">
        <v>629</v>
      </c>
      <c r="C64" s="92">
        <v>1</v>
      </c>
    </row>
    <row r="65" spans="1:3" x14ac:dyDescent="0.2">
      <c r="B65" s="90" t="s">
        <v>538</v>
      </c>
      <c r="C65" s="92">
        <v>2</v>
      </c>
    </row>
    <row r="66" spans="1:3" x14ac:dyDescent="0.2">
      <c r="B66" s="90" t="s">
        <v>630</v>
      </c>
      <c r="C66" s="92">
        <v>3</v>
      </c>
    </row>
    <row r="67" spans="1:3" x14ac:dyDescent="0.2">
      <c r="B67" s="90" t="s">
        <v>540</v>
      </c>
      <c r="C67" s="92">
        <v>4</v>
      </c>
    </row>
    <row r="68" spans="1:3" x14ac:dyDescent="0.2">
      <c r="B68" s="90" t="s">
        <v>541</v>
      </c>
      <c r="C68" s="92">
        <v>5</v>
      </c>
    </row>
    <row r="69" spans="1:3" x14ac:dyDescent="0.2">
      <c r="B69" s="90" t="s">
        <v>631</v>
      </c>
      <c r="C69" s="92">
        <v>6</v>
      </c>
    </row>
    <row r="70" spans="1:3" x14ac:dyDescent="0.2">
      <c r="B70" s="90" t="s">
        <v>632</v>
      </c>
      <c r="C70" s="92">
        <v>7</v>
      </c>
    </row>
    <row r="71" spans="1:3" x14ac:dyDescent="0.2">
      <c r="B71" s="90" t="s">
        <v>574</v>
      </c>
      <c r="C71" s="92">
        <v>8</v>
      </c>
    </row>
    <row r="72" spans="1:3" ht="13.5" thickBot="1" x14ac:dyDescent="0.25">
      <c r="B72" s="90" t="s">
        <v>575</v>
      </c>
      <c r="C72" s="92">
        <v>9</v>
      </c>
    </row>
    <row r="73" spans="1:3" ht="13.5" thickBot="1" x14ac:dyDescent="0.25">
      <c r="B73" s="91">
        <f>VLOOKUP(B63,B64:C72,2,TRUE)</f>
        <v>9</v>
      </c>
    </row>
    <row r="77" spans="1:3" x14ac:dyDescent="0.2">
      <c r="A77" s="275" t="s">
        <v>545</v>
      </c>
    </row>
    <row r="78" spans="1:3" x14ac:dyDescent="0.2">
      <c r="A78" s="275" t="s">
        <v>544</v>
      </c>
    </row>
    <row r="79" spans="1:3" x14ac:dyDescent="0.2">
      <c r="A79" s="275" t="s">
        <v>248</v>
      </c>
    </row>
    <row r="80" spans="1:3" x14ac:dyDescent="0.2">
      <c r="A80" s="275" t="s">
        <v>546</v>
      </c>
    </row>
    <row r="81" spans="1:1" x14ac:dyDescent="0.2">
      <c r="A81" s="275" t="s">
        <v>551</v>
      </c>
    </row>
    <row r="82" spans="1:1" x14ac:dyDescent="0.2">
      <c r="A82" s="275" t="s">
        <v>136</v>
      </c>
    </row>
    <row r="83" spans="1:1" x14ac:dyDescent="0.2">
      <c r="A83" s="275" t="s">
        <v>547</v>
      </c>
    </row>
    <row r="84" spans="1:1" x14ac:dyDescent="0.2">
      <c r="A84" s="275" t="s">
        <v>548</v>
      </c>
    </row>
    <row r="85" spans="1:1" x14ac:dyDescent="0.2">
      <c r="A85" s="275" t="s">
        <v>550</v>
      </c>
    </row>
    <row r="86" spans="1:1" x14ac:dyDescent="0.2">
      <c r="A86" s="275" t="s">
        <v>576</v>
      </c>
    </row>
    <row r="87" spans="1:1" x14ac:dyDescent="0.2">
      <c r="A87" s="275" t="s">
        <v>577</v>
      </c>
    </row>
    <row r="88" spans="1:1" x14ac:dyDescent="0.2">
      <c r="A88" s="275" t="s">
        <v>578</v>
      </c>
    </row>
    <row r="89" spans="1:1" x14ac:dyDescent="0.2">
      <c r="A89" s="275" t="s">
        <v>579</v>
      </c>
    </row>
    <row r="90" spans="1:1" x14ac:dyDescent="0.2">
      <c r="A90" s="275" t="s">
        <v>580</v>
      </c>
    </row>
    <row r="91" spans="1:1" x14ac:dyDescent="0.2">
      <c r="A91" s="275" t="s">
        <v>581</v>
      </c>
    </row>
    <row r="92" spans="1:1" x14ac:dyDescent="0.2">
      <c r="A92" s="275" t="s">
        <v>582</v>
      </c>
    </row>
    <row r="93" spans="1:1" x14ac:dyDescent="0.2">
      <c r="A93" s="275" t="s">
        <v>583</v>
      </c>
    </row>
    <row r="94" spans="1:1" x14ac:dyDescent="0.2">
      <c r="A94" s="275" t="s">
        <v>584</v>
      </c>
    </row>
    <row r="95" spans="1:1" x14ac:dyDescent="0.2">
      <c r="A95" s="275" t="s">
        <v>585</v>
      </c>
    </row>
    <row r="96" spans="1:1" x14ac:dyDescent="0.2">
      <c r="A96" s="275" t="s">
        <v>586</v>
      </c>
    </row>
    <row r="97" spans="1:1" x14ac:dyDescent="0.2">
      <c r="A97" s="275" t="s">
        <v>587</v>
      </c>
    </row>
    <row r="98" spans="1:1" x14ac:dyDescent="0.2">
      <c r="A98" s="275" t="s">
        <v>588</v>
      </c>
    </row>
    <row r="99" spans="1:1" x14ac:dyDescent="0.2">
      <c r="A99" s="275" t="s">
        <v>589</v>
      </c>
    </row>
    <row r="100" spans="1:1" x14ac:dyDescent="0.2">
      <c r="A100" s="275" t="s">
        <v>590</v>
      </c>
    </row>
  </sheetData>
  <phoneticPr fontId="64" type="noConversion"/>
  <dataValidations count="1">
    <dataValidation type="list" allowBlank="1" showInputMessage="1" showErrorMessage="1" sqref="D22" xr:uid="{00000000-0002-0000-0D00-000000000000}">
      <formula1>$A$20:$A$21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topLeftCell="H7" workbookViewId="0">
      <selection activeCell="H11" sqref="H11"/>
    </sheetView>
  </sheetViews>
  <sheetFormatPr defaultRowHeight="12.75" x14ac:dyDescent="0.2"/>
  <cols>
    <col min="7" max="7" width="20.28515625" customWidth="1"/>
    <col min="8" max="8" width="76.5703125" customWidth="1"/>
  </cols>
  <sheetData>
    <row r="1" spans="1:8" x14ac:dyDescent="0.2">
      <c r="A1" t="s">
        <v>591</v>
      </c>
    </row>
    <row r="10" spans="1:8" x14ac:dyDescent="0.2">
      <c r="G10" s="14" t="s">
        <v>592</v>
      </c>
      <c r="H10" s="14" t="s">
        <v>593</v>
      </c>
    </row>
    <row r="11" spans="1:8" ht="75" customHeight="1" x14ac:dyDescent="0.2">
      <c r="G11" s="15" t="s">
        <v>594</v>
      </c>
      <c r="H11" s="16" t="s">
        <v>595</v>
      </c>
    </row>
    <row r="12" spans="1:8" ht="74.25" customHeight="1" x14ac:dyDescent="0.2">
      <c r="G12" s="17" t="s">
        <v>596</v>
      </c>
      <c r="H12" s="16" t="s">
        <v>597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workbookViewId="0">
      <selection activeCell="D27" sqref="D27"/>
    </sheetView>
  </sheetViews>
  <sheetFormatPr defaultRowHeight="12.75" x14ac:dyDescent="0.2"/>
  <cols>
    <col min="2" max="2" width="18.5703125" customWidth="1"/>
    <col min="3" max="3" width="42.140625" bestFit="1" customWidth="1"/>
    <col min="4" max="4" width="61.42578125" customWidth="1"/>
  </cols>
  <sheetData>
    <row r="2" spans="1:5" x14ac:dyDescent="0.2">
      <c r="A2" s="616" t="s">
        <v>77</v>
      </c>
      <c r="B2" s="616" t="s">
        <v>78</v>
      </c>
      <c r="C2" s="616" t="s">
        <v>79</v>
      </c>
      <c r="D2" s="616"/>
      <c r="E2" s="617" t="s">
        <v>80</v>
      </c>
    </row>
    <row r="3" spans="1:5" x14ac:dyDescent="0.2">
      <c r="A3" s="616"/>
      <c r="B3" s="616"/>
      <c r="C3" s="374" t="s">
        <v>12</v>
      </c>
      <c r="D3" s="374" t="s">
        <v>13</v>
      </c>
      <c r="E3" s="618"/>
    </row>
    <row r="4" spans="1:5" ht="14.25" x14ac:dyDescent="0.2">
      <c r="A4" s="374">
        <v>1</v>
      </c>
      <c r="B4" s="375">
        <v>44225</v>
      </c>
      <c r="C4" s="376" t="s">
        <v>81</v>
      </c>
      <c r="D4" s="377" t="s">
        <v>82</v>
      </c>
      <c r="E4" s="391"/>
    </row>
    <row r="5" spans="1:5" ht="12.75" customHeight="1" x14ac:dyDescent="0.2">
      <c r="A5" s="374"/>
      <c r="B5" s="378"/>
      <c r="C5" s="382" t="s">
        <v>83</v>
      </c>
      <c r="D5" s="379" t="s">
        <v>84</v>
      </c>
      <c r="E5" s="391"/>
    </row>
    <row r="6" spans="1:5" ht="25.5" x14ac:dyDescent="0.2">
      <c r="A6" s="374"/>
      <c r="B6" s="378"/>
      <c r="C6" s="380" t="s">
        <v>81</v>
      </c>
      <c r="D6" s="381" t="s">
        <v>85</v>
      </c>
      <c r="E6" s="391"/>
    </row>
    <row r="7" spans="1:5" x14ac:dyDescent="0.2">
      <c r="A7" s="374"/>
      <c r="B7" s="378"/>
      <c r="C7" s="374" t="s">
        <v>86</v>
      </c>
      <c r="D7" s="374" t="s">
        <v>87</v>
      </c>
      <c r="E7" s="391"/>
    </row>
    <row r="8" spans="1:5" x14ac:dyDescent="0.2">
      <c r="A8" s="374"/>
      <c r="B8" s="378"/>
      <c r="C8" s="380" t="s">
        <v>81</v>
      </c>
      <c r="D8" s="374" t="s">
        <v>88</v>
      </c>
      <c r="E8" s="391"/>
    </row>
    <row r="9" spans="1:5" x14ac:dyDescent="0.2">
      <c r="A9" s="374"/>
      <c r="B9" s="378"/>
      <c r="C9" s="374" t="s">
        <v>89</v>
      </c>
      <c r="D9" s="374" t="s">
        <v>90</v>
      </c>
      <c r="E9" s="391"/>
    </row>
    <row r="10" spans="1:5" x14ac:dyDescent="0.2">
      <c r="A10" s="374">
        <v>2</v>
      </c>
      <c r="B10" s="378">
        <v>44316</v>
      </c>
      <c r="C10" s="374" t="s">
        <v>91</v>
      </c>
      <c r="D10" s="374" t="s">
        <v>92</v>
      </c>
      <c r="E10" s="391" t="s">
        <v>93</v>
      </c>
    </row>
    <row r="11" spans="1:5" x14ac:dyDescent="0.2">
      <c r="A11" s="374"/>
      <c r="B11" s="378"/>
      <c r="C11" s="374" t="s">
        <v>94</v>
      </c>
      <c r="D11" s="374" t="s">
        <v>92</v>
      </c>
      <c r="E11" s="391" t="s">
        <v>93</v>
      </c>
    </row>
    <row r="12" spans="1:5" x14ac:dyDescent="0.2">
      <c r="A12" s="374"/>
      <c r="B12" s="378"/>
      <c r="C12" s="374" t="s">
        <v>95</v>
      </c>
      <c r="D12" s="374" t="s">
        <v>92</v>
      </c>
      <c r="E12" s="391" t="s">
        <v>93</v>
      </c>
    </row>
    <row r="13" spans="1:5" x14ac:dyDescent="0.2">
      <c r="A13" s="374">
        <v>3</v>
      </c>
      <c r="B13" s="378">
        <v>44343</v>
      </c>
      <c r="C13" s="374" t="s">
        <v>96</v>
      </c>
      <c r="D13" s="374" t="s">
        <v>92</v>
      </c>
      <c r="E13" s="391" t="s">
        <v>97</v>
      </c>
    </row>
    <row r="14" spans="1:5" x14ac:dyDescent="0.2">
      <c r="A14" s="374">
        <v>4</v>
      </c>
      <c r="B14" s="378" t="s">
        <v>98</v>
      </c>
      <c r="C14" s="374" t="s">
        <v>99</v>
      </c>
      <c r="D14" s="374" t="s">
        <v>92</v>
      </c>
      <c r="E14" s="93" t="s">
        <v>100</v>
      </c>
    </row>
    <row r="15" spans="1:5" x14ac:dyDescent="0.2">
      <c r="A15" s="374">
        <v>5</v>
      </c>
      <c r="B15" s="378" t="s">
        <v>101</v>
      </c>
      <c r="C15" s="374" t="s">
        <v>102</v>
      </c>
      <c r="D15" s="374" t="s">
        <v>92</v>
      </c>
      <c r="E15" s="93" t="s">
        <v>100</v>
      </c>
    </row>
    <row r="16" spans="1:5" x14ac:dyDescent="0.2">
      <c r="A16" s="619">
        <v>6</v>
      </c>
      <c r="B16" s="378" t="s">
        <v>103</v>
      </c>
      <c r="C16" s="374" t="s">
        <v>104</v>
      </c>
      <c r="D16" s="374" t="s">
        <v>105</v>
      </c>
      <c r="E16" s="391" t="s">
        <v>106</v>
      </c>
    </row>
    <row r="17" spans="1:5" x14ac:dyDescent="0.2">
      <c r="A17" s="620"/>
      <c r="B17" s="378" t="s">
        <v>103</v>
      </c>
      <c r="C17" s="374" t="s">
        <v>107</v>
      </c>
      <c r="D17" s="374" t="s">
        <v>92</v>
      </c>
      <c r="E17" s="391" t="s">
        <v>106</v>
      </c>
    </row>
    <row r="18" spans="1:5" x14ac:dyDescent="0.2">
      <c r="A18" s="620"/>
      <c r="B18" s="378" t="s">
        <v>108</v>
      </c>
      <c r="C18" s="374" t="s">
        <v>109</v>
      </c>
      <c r="D18" s="374" t="s">
        <v>110</v>
      </c>
      <c r="E18" s="93" t="s">
        <v>97</v>
      </c>
    </row>
    <row r="19" spans="1:5" x14ac:dyDescent="0.2">
      <c r="A19" s="621"/>
      <c r="B19" s="378" t="s">
        <v>111</v>
      </c>
      <c r="C19" s="374" t="s">
        <v>112</v>
      </c>
      <c r="D19" s="374" t="s">
        <v>92</v>
      </c>
      <c r="E19" s="93" t="s">
        <v>97</v>
      </c>
    </row>
    <row r="20" spans="1:5" x14ac:dyDescent="0.2">
      <c r="A20" s="374"/>
      <c r="B20" s="378"/>
      <c r="C20" s="374"/>
      <c r="D20" s="374"/>
      <c r="E20" s="391"/>
    </row>
    <row r="21" spans="1:5" x14ac:dyDescent="0.2">
      <c r="A21" s="374"/>
      <c r="B21" s="378"/>
      <c r="C21" s="374"/>
      <c r="D21" s="374"/>
      <c r="E21" s="391"/>
    </row>
    <row r="22" spans="1:5" x14ac:dyDescent="0.2">
      <c r="A22" s="374"/>
      <c r="B22" s="378"/>
      <c r="C22" s="374"/>
      <c r="D22" s="374"/>
      <c r="E22" s="391"/>
    </row>
    <row r="100" spans="1:1" x14ac:dyDescent="0.2">
      <c r="A100" s="392" t="s">
        <v>113</v>
      </c>
    </row>
  </sheetData>
  <sheetProtection algorithmName="SHA-512" hashValue="PPytD29pU+7M+oTYzef1n6wxFnOEJnAsH9QLp01/q2/7bdv2DK2f6PLfHTUhpLGQyCrLBMHcu0lgk/wRNaYJ5Q==" saltValue="1jTILxFeVYAra3MItwkslw==" spinCount="100000" sheet="1" objects="1" scenarios="1"/>
  <mergeCells count="5">
    <mergeCell ref="A2:A3"/>
    <mergeCell ref="B2:B3"/>
    <mergeCell ref="C2:D2"/>
    <mergeCell ref="E2:E3"/>
    <mergeCell ref="A16:A1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7"/>
  <sheetViews>
    <sheetView showGridLines="0" view="pageBreakPreview" topLeftCell="A4" zoomScale="85" zoomScaleNormal="56" zoomScaleSheetLayoutView="85" workbookViewId="0">
      <selection activeCell="F16" sqref="F16"/>
    </sheetView>
  </sheetViews>
  <sheetFormatPr defaultColWidth="9.140625" defaultRowHeight="12.75" x14ac:dyDescent="0.2"/>
  <cols>
    <col min="1" max="1" width="4" style="402" customWidth="1"/>
    <col min="2" max="2" width="4.140625" style="402" customWidth="1"/>
    <col min="3" max="3" width="22" style="402" customWidth="1"/>
    <col min="4" max="4" width="13" style="402" customWidth="1"/>
    <col min="5" max="8" width="8.7109375" style="402" customWidth="1"/>
    <col min="9" max="9" width="8.7109375" style="554" customWidth="1"/>
    <col min="10" max="10" width="10.28515625" style="402" customWidth="1"/>
    <col min="11" max="11" width="35.85546875" style="402" customWidth="1"/>
    <col min="12" max="12" width="8.5703125" style="402" customWidth="1"/>
    <col min="13" max="13" width="20.5703125" style="402" customWidth="1"/>
    <col min="14" max="14" width="31.85546875" style="402" bestFit="1" customWidth="1"/>
    <col min="15" max="15" width="48" style="402" customWidth="1"/>
    <col min="16" max="16" width="13.85546875" style="402" customWidth="1"/>
    <col min="17" max="22" width="4.7109375" style="402" customWidth="1"/>
    <col min="23" max="16384" width="9.140625" style="402"/>
  </cols>
  <sheetData>
    <row r="1" spans="1:20" ht="18.75" x14ac:dyDescent="0.2">
      <c r="A1" s="588" t="s">
        <v>114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489"/>
      <c r="S1" s="9"/>
    </row>
    <row r="2" spans="1:20" s="210" customFormat="1" ht="14.25" customHeight="1" x14ac:dyDescent="0.2">
      <c r="A2" s="266"/>
      <c r="B2" s="266"/>
      <c r="C2" s="266"/>
      <c r="D2" s="266"/>
      <c r="G2" s="266"/>
      <c r="H2" s="390" t="str">
        <f>IF(PENYELIA!H59&gt;=70,N6,N7)</f>
        <v>Nomor Sertifikat : 42 /</v>
      </c>
      <c r="I2" s="558" t="s">
        <v>115</v>
      </c>
      <c r="J2" s="266"/>
      <c r="K2" s="266"/>
      <c r="L2" s="42"/>
      <c r="S2" s="41"/>
      <c r="T2" s="41"/>
    </row>
    <row r="3" spans="1:20" ht="15.75" customHeight="1" x14ac:dyDescent="0.2">
      <c r="B3" s="225"/>
      <c r="C3" s="225"/>
      <c r="D3" s="225"/>
      <c r="E3" s="225"/>
      <c r="F3" s="225"/>
      <c r="G3" s="225"/>
      <c r="H3" s="225"/>
      <c r="I3" s="490"/>
      <c r="J3" s="225"/>
      <c r="K3" s="225"/>
    </row>
    <row r="4" spans="1:20" ht="14.25" x14ac:dyDescent="0.2">
      <c r="A4" s="178" t="str">
        <f>LK!A4</f>
        <v>Merek</v>
      </c>
      <c r="C4" s="178"/>
      <c r="D4" s="226" t="s">
        <v>3</v>
      </c>
      <c r="E4" s="653" t="s">
        <v>116</v>
      </c>
      <c r="F4" s="653"/>
      <c r="G4" s="653"/>
      <c r="H4" s="653"/>
      <c r="I4" s="653"/>
      <c r="J4" s="653"/>
      <c r="K4" s="178"/>
      <c r="L4" s="491"/>
    </row>
    <row r="5" spans="1:20" ht="14.25" x14ac:dyDescent="0.2">
      <c r="A5" s="178" t="str">
        <f>LK!A5</f>
        <v>Model/Tipe</v>
      </c>
      <c r="C5" s="178"/>
      <c r="D5" s="226" t="s">
        <v>3</v>
      </c>
      <c r="E5" s="656" t="s">
        <v>117</v>
      </c>
      <c r="F5" s="653"/>
      <c r="G5" s="653"/>
      <c r="H5" s="653"/>
      <c r="I5" s="653"/>
      <c r="J5" s="653"/>
      <c r="K5" s="178"/>
      <c r="L5" s="491"/>
      <c r="N5" s="571" t="s">
        <v>592</v>
      </c>
      <c r="O5" s="571" t="s">
        <v>593</v>
      </c>
    </row>
    <row r="6" spans="1:20" ht="15.75" x14ac:dyDescent="0.2">
      <c r="A6" s="178" t="str">
        <f>LK!A6</f>
        <v>No. Seri</v>
      </c>
      <c r="C6" s="178"/>
      <c r="D6" s="226" t="s">
        <v>3</v>
      </c>
      <c r="E6" s="656" t="s">
        <v>118</v>
      </c>
      <c r="F6" s="653"/>
      <c r="G6" s="653"/>
      <c r="H6" s="653"/>
      <c r="I6" s="653"/>
      <c r="J6" s="653"/>
      <c r="K6" s="178"/>
      <c r="L6" s="491"/>
      <c r="N6" s="572" t="s">
        <v>622</v>
      </c>
      <c r="O6" s="573" t="s">
        <v>623</v>
      </c>
    </row>
    <row r="7" spans="1:20" ht="15.75" x14ac:dyDescent="0.2">
      <c r="A7" s="178" t="str">
        <f>LK!A7</f>
        <v>Tanggal Penerimaan Alat</v>
      </c>
      <c r="C7" s="178"/>
      <c r="D7" s="226" t="s">
        <v>3</v>
      </c>
      <c r="E7" s="656" t="s">
        <v>119</v>
      </c>
      <c r="F7" s="653"/>
      <c r="G7" s="653"/>
      <c r="H7" s="653"/>
      <c r="I7" s="653"/>
      <c r="J7" s="653"/>
      <c r="K7" s="178"/>
      <c r="L7" s="491"/>
      <c r="N7" s="17" t="s">
        <v>624</v>
      </c>
      <c r="O7" s="573" t="s">
        <v>625</v>
      </c>
    </row>
    <row r="8" spans="1:20" ht="14.25" x14ac:dyDescent="0.2">
      <c r="A8" s="178" t="str">
        <f>LK!A8</f>
        <v>Tanggal Pengujian</v>
      </c>
      <c r="C8" s="178"/>
      <c r="D8" s="226" t="s">
        <v>3</v>
      </c>
      <c r="E8" s="656" t="s">
        <v>119</v>
      </c>
      <c r="F8" s="653"/>
      <c r="G8" s="653"/>
      <c r="H8" s="653"/>
      <c r="I8" s="653"/>
      <c r="J8" s="653"/>
      <c r="K8" s="178"/>
      <c r="L8" s="491"/>
    </row>
    <row r="9" spans="1:20" ht="14.25" x14ac:dyDescent="0.2">
      <c r="A9" s="178" t="str">
        <f>LK!A9</f>
        <v>Tempat Pengujian</v>
      </c>
      <c r="C9" s="178"/>
      <c r="D9" s="226" t="s">
        <v>3</v>
      </c>
      <c r="E9" s="653" t="s">
        <v>120</v>
      </c>
      <c r="F9" s="653"/>
      <c r="G9" s="653"/>
      <c r="H9" s="653"/>
      <c r="I9" s="653"/>
      <c r="J9" s="653"/>
      <c r="K9" s="178"/>
      <c r="L9" s="491"/>
    </row>
    <row r="10" spans="1:20" ht="14.25" x14ac:dyDescent="0.2">
      <c r="A10" s="178" t="str">
        <f>LK!A10</f>
        <v>Nama Ruang</v>
      </c>
      <c r="C10" s="178"/>
      <c r="D10" s="226" t="s">
        <v>3</v>
      </c>
      <c r="E10" s="653" t="s">
        <v>120</v>
      </c>
      <c r="F10" s="653"/>
      <c r="G10" s="653"/>
      <c r="H10" s="653"/>
      <c r="I10" s="653"/>
      <c r="J10" s="653"/>
      <c r="K10" s="178"/>
      <c r="L10" s="491"/>
    </row>
    <row r="11" spans="1:20" ht="14.25" x14ac:dyDescent="0.2">
      <c r="A11" s="178" t="s">
        <v>121</v>
      </c>
      <c r="C11" s="178"/>
      <c r="D11" s="226" t="s">
        <v>3</v>
      </c>
      <c r="E11" s="654" t="s">
        <v>122</v>
      </c>
      <c r="F11" s="654"/>
      <c r="G11" s="654"/>
      <c r="H11" s="654"/>
      <c r="I11" s="654"/>
      <c r="J11" s="654"/>
      <c r="K11" s="178"/>
      <c r="L11" s="491"/>
    </row>
    <row r="12" spans="1:20" ht="14.25" x14ac:dyDescent="0.2">
      <c r="B12" s="178"/>
      <c r="C12" s="178"/>
      <c r="D12" s="178"/>
      <c r="E12" s="178"/>
      <c r="F12" s="178"/>
      <c r="G12" s="178"/>
      <c r="H12" s="178"/>
      <c r="I12" s="181"/>
      <c r="J12" s="178"/>
      <c r="K12" s="178"/>
      <c r="L12" s="491"/>
    </row>
    <row r="13" spans="1:20" ht="15" x14ac:dyDescent="0.2">
      <c r="A13" s="182" t="s">
        <v>10</v>
      </c>
      <c r="B13" s="182" t="s">
        <v>11</v>
      </c>
      <c r="D13" s="182"/>
      <c r="E13" s="183" t="s">
        <v>12</v>
      </c>
      <c r="F13" s="183" t="s">
        <v>13</v>
      </c>
      <c r="G13" s="183" t="s">
        <v>123</v>
      </c>
      <c r="H13" s="492"/>
      <c r="I13" s="493"/>
      <c r="J13" s="182"/>
      <c r="K13" s="178"/>
      <c r="L13" s="491"/>
    </row>
    <row r="14" spans="1:20" ht="16.5" x14ac:dyDescent="0.2">
      <c r="B14" s="178"/>
      <c r="C14" s="178" t="s">
        <v>15</v>
      </c>
      <c r="D14" s="226" t="s">
        <v>3</v>
      </c>
      <c r="E14" s="559">
        <v>29</v>
      </c>
      <c r="F14" s="559">
        <v>29</v>
      </c>
      <c r="G14" s="214">
        <f>AVERAGE(E14:F14)</f>
        <v>29</v>
      </c>
      <c r="H14" s="185" t="s">
        <v>16</v>
      </c>
      <c r="I14" s="181"/>
      <c r="J14" s="178"/>
      <c r="K14" s="178"/>
      <c r="L14" s="491"/>
    </row>
    <row r="15" spans="1:20" ht="14.25" x14ac:dyDescent="0.2">
      <c r="B15" s="178"/>
      <c r="C15" s="178" t="s">
        <v>17</v>
      </c>
      <c r="D15" s="226" t="s">
        <v>3</v>
      </c>
      <c r="E15" s="560">
        <v>68</v>
      </c>
      <c r="F15" s="559">
        <v>68</v>
      </c>
      <c r="G15" s="214">
        <f>AVERAGE(E15:F15)</f>
        <v>68</v>
      </c>
      <c r="H15" s="178" t="s">
        <v>18</v>
      </c>
      <c r="I15" s="181"/>
      <c r="J15" s="178"/>
      <c r="K15" s="178"/>
      <c r="L15" s="491"/>
    </row>
    <row r="16" spans="1:20" ht="14.25" x14ac:dyDescent="0.2">
      <c r="B16" s="178"/>
      <c r="C16" s="178" t="s">
        <v>19</v>
      </c>
      <c r="D16" s="226" t="s">
        <v>3</v>
      </c>
      <c r="E16" s="561">
        <v>223</v>
      </c>
      <c r="F16" s="178" t="s">
        <v>21</v>
      </c>
      <c r="G16" s="202"/>
      <c r="H16" s="206"/>
      <c r="I16" s="181"/>
      <c r="J16" s="178"/>
      <c r="K16" s="178"/>
      <c r="L16" s="491"/>
    </row>
    <row r="17" spans="1:27" ht="15.75" customHeight="1" x14ac:dyDescent="0.2">
      <c r="B17" s="178"/>
      <c r="C17" s="178"/>
      <c r="D17" s="178"/>
      <c r="E17" s="178"/>
      <c r="F17" s="178"/>
      <c r="G17" s="178"/>
      <c r="H17" s="178"/>
      <c r="I17" s="181"/>
      <c r="J17" s="178"/>
      <c r="K17" s="178"/>
      <c r="L17" s="491"/>
    </row>
    <row r="18" spans="1:27" ht="15" x14ac:dyDescent="0.2">
      <c r="A18" s="182" t="s">
        <v>22</v>
      </c>
      <c r="B18" s="182" t="s">
        <v>23</v>
      </c>
      <c r="D18" s="182"/>
      <c r="E18" s="182"/>
      <c r="F18" s="182"/>
      <c r="G18" s="182"/>
      <c r="H18" s="182"/>
      <c r="I18" s="181"/>
      <c r="J18" s="178"/>
      <c r="K18" s="178"/>
      <c r="L18" s="491"/>
    </row>
    <row r="19" spans="1:27" ht="14.25" x14ac:dyDescent="0.2">
      <c r="B19" s="178"/>
      <c r="C19" s="178" t="s">
        <v>24</v>
      </c>
      <c r="D19" s="226" t="s">
        <v>3</v>
      </c>
      <c r="E19" s="575" t="s">
        <v>124</v>
      </c>
      <c r="F19" s="178"/>
      <c r="G19" s="178"/>
      <c r="H19" s="178"/>
      <c r="I19" s="181"/>
      <c r="J19" s="178"/>
      <c r="K19" s="178"/>
      <c r="L19" s="491"/>
    </row>
    <row r="20" spans="1:27" ht="14.25" x14ac:dyDescent="0.2">
      <c r="B20" s="178"/>
      <c r="C20" s="178" t="s">
        <v>26</v>
      </c>
      <c r="D20" s="226" t="s">
        <v>3</v>
      </c>
      <c r="E20" s="575" t="s">
        <v>124</v>
      </c>
      <c r="F20" s="178"/>
      <c r="G20" s="178"/>
      <c r="H20" s="178"/>
      <c r="I20" s="181"/>
      <c r="J20" s="178"/>
      <c r="K20" s="178"/>
      <c r="L20" s="491"/>
    </row>
    <row r="21" spans="1:27" ht="15.75" customHeight="1" x14ac:dyDescent="0.2">
      <c r="B21" s="178"/>
      <c r="C21" s="178"/>
      <c r="D21" s="178"/>
      <c r="E21" s="178"/>
      <c r="F21" s="178"/>
      <c r="G21" s="178"/>
      <c r="H21" s="178"/>
      <c r="I21" s="181"/>
      <c r="J21" s="178"/>
      <c r="K21" s="178"/>
      <c r="L21" s="491"/>
    </row>
    <row r="22" spans="1:27" ht="15" x14ac:dyDescent="0.2">
      <c r="A22" s="182" t="s">
        <v>27</v>
      </c>
      <c r="B22" s="182" t="s">
        <v>28</v>
      </c>
      <c r="D22" s="178"/>
      <c r="E22" s="187"/>
      <c r="F22" s="188"/>
      <c r="G22" s="227"/>
      <c r="H22" s="178"/>
      <c r="I22" s="178"/>
      <c r="J22" s="178"/>
      <c r="K22" s="178"/>
      <c r="L22" s="491"/>
    </row>
    <row r="23" spans="1:27" ht="34.5" customHeight="1" x14ac:dyDescent="0.2">
      <c r="B23" s="183" t="s">
        <v>29</v>
      </c>
      <c r="C23" s="594" t="s">
        <v>30</v>
      </c>
      <c r="D23" s="655"/>
      <c r="E23" s="655"/>
      <c r="F23" s="655"/>
      <c r="G23" s="655"/>
      <c r="H23" s="655"/>
      <c r="I23" s="592" t="s">
        <v>31</v>
      </c>
      <c r="J23" s="592"/>
      <c r="K23" s="494" t="s">
        <v>125</v>
      </c>
      <c r="L23" s="491"/>
    </row>
    <row r="24" spans="1:27" ht="15" customHeight="1" x14ac:dyDescent="0.2">
      <c r="B24" s="191">
        <v>1</v>
      </c>
      <c r="C24" s="231" t="str">
        <f>LK!C25</f>
        <v xml:space="preserve">Resistansi isolasi </v>
      </c>
      <c r="D24" s="192"/>
      <c r="E24" s="192"/>
      <c r="F24" s="192"/>
      <c r="G24" s="192"/>
      <c r="H24" s="192"/>
      <c r="I24" s="563" t="s">
        <v>626</v>
      </c>
      <c r="J24" s="569" t="str">
        <f>LK!J25</f>
        <v>MΩ</v>
      </c>
      <c r="K24" s="495" t="str">
        <f>LK!K25</f>
        <v>&gt; 2 MΩ</v>
      </c>
      <c r="L24" s="491"/>
    </row>
    <row r="25" spans="1:27" ht="15" customHeight="1" x14ac:dyDescent="0.2">
      <c r="B25" s="193">
        <v>2</v>
      </c>
      <c r="C25" s="562" t="str">
        <f>LK!C26</f>
        <v>Resistansi pembumian protektif</v>
      </c>
      <c r="D25" s="195"/>
      <c r="E25" s="195"/>
      <c r="F25" s="195"/>
      <c r="G25" s="195"/>
      <c r="H25" s="195"/>
      <c r="I25" s="564">
        <v>0.1</v>
      </c>
      <c r="J25" s="569" t="str">
        <f>LK!J26</f>
        <v>Ω</v>
      </c>
      <c r="K25" s="495" t="str">
        <f>LK!K26</f>
        <v>≤ 0.2 Ω</v>
      </c>
      <c r="L25" s="491"/>
    </row>
    <row r="26" spans="1:27" ht="15" customHeight="1" x14ac:dyDescent="0.2">
      <c r="B26" s="193">
        <v>3</v>
      </c>
      <c r="C26" s="583" t="s">
        <v>628</v>
      </c>
      <c r="D26" s="231"/>
      <c r="E26" s="231"/>
      <c r="F26" s="231"/>
      <c r="G26" s="231"/>
      <c r="H26" s="231"/>
      <c r="I26" s="563">
        <v>2.2999999999999998</v>
      </c>
      <c r="J26" s="569" t="str">
        <f>LK!J27</f>
        <v>µA</v>
      </c>
      <c r="K26" s="495" t="str">
        <f>VLOOKUP(C26,'List cetik - cetik'!C1:E2,2,TRUE)</f>
        <v>≤ 500 µA</v>
      </c>
      <c r="L26" s="582">
        <f>VLOOKUP(C26,'List cetik - cetik'!C1:E2,3,TRUE)</f>
        <v>500</v>
      </c>
      <c r="M26" s="481" t="s">
        <v>126</v>
      </c>
      <c r="N26" s="565">
        <v>20</v>
      </c>
    </row>
    <row r="27" spans="1:27" ht="15.75" customHeight="1" x14ac:dyDescent="0.2">
      <c r="B27" s="196"/>
      <c r="C27" s="178"/>
      <c r="D27" s="178"/>
      <c r="E27" s="178"/>
      <c r="F27" s="178"/>
      <c r="G27" s="178"/>
      <c r="H27" s="178"/>
      <c r="I27" s="178"/>
      <c r="J27" s="197"/>
      <c r="K27" s="496"/>
      <c r="O27" s="26"/>
      <c r="P27" s="27"/>
      <c r="Q27" s="27"/>
      <c r="R27" s="28"/>
      <c r="S27" s="29"/>
      <c r="T27" s="30"/>
      <c r="U27" s="27"/>
      <c r="V27" s="27"/>
      <c r="W27" s="27"/>
      <c r="X27" s="27"/>
      <c r="Y27" s="27"/>
      <c r="Z27" s="27"/>
      <c r="AA27" s="27"/>
    </row>
    <row r="28" spans="1:27" ht="15" x14ac:dyDescent="0.2">
      <c r="A28" s="182" t="s">
        <v>43</v>
      </c>
      <c r="B28" s="182" t="s">
        <v>44</v>
      </c>
      <c r="D28" s="182"/>
      <c r="E28" s="182"/>
      <c r="F28" s="196"/>
      <c r="G28" s="178"/>
      <c r="H28" s="178"/>
      <c r="I28" s="181"/>
      <c r="J28" s="178"/>
      <c r="K28" s="178"/>
      <c r="M28" s="402" t="s">
        <v>127</v>
      </c>
      <c r="O28" s="18"/>
      <c r="P28" s="613"/>
      <c r="Q28" s="613"/>
      <c r="R28" s="613"/>
      <c r="S28" s="613"/>
      <c r="T28" s="613"/>
      <c r="U28" s="613"/>
      <c r="V28" s="613"/>
      <c r="W28" s="613"/>
      <c r="X28" s="614"/>
      <c r="Y28" s="614"/>
      <c r="Z28" s="614"/>
      <c r="AA28" s="614"/>
    </row>
    <row r="29" spans="1:27" ht="16.5" customHeight="1" x14ac:dyDescent="0.25">
      <c r="B29" s="590" t="s">
        <v>29</v>
      </c>
      <c r="C29" s="590" t="s">
        <v>30</v>
      </c>
      <c r="D29" s="593" t="s">
        <v>45</v>
      </c>
      <c r="E29" s="592" t="s">
        <v>46</v>
      </c>
      <c r="F29" s="592"/>
      <c r="G29" s="592"/>
      <c r="H29" s="592"/>
      <c r="I29" s="592"/>
      <c r="J29" s="593" t="s">
        <v>128</v>
      </c>
      <c r="K29" s="646"/>
      <c r="L29" s="642"/>
      <c r="M29" s="642"/>
      <c r="O29" s="18"/>
      <c r="P29" s="18"/>
      <c r="Q29" s="18"/>
      <c r="R29" s="18"/>
      <c r="S29" s="18"/>
      <c r="T29" s="18"/>
      <c r="U29" s="18"/>
      <c r="V29" s="18"/>
      <c r="W29" s="18"/>
      <c r="X29" s="19"/>
      <c r="Y29" s="2"/>
      <c r="Z29" s="2"/>
      <c r="AA29" s="2"/>
    </row>
    <row r="30" spans="1:27" ht="18.75" customHeight="1" x14ac:dyDescent="0.2">
      <c r="B30" s="591"/>
      <c r="C30" s="591"/>
      <c r="D30" s="593"/>
      <c r="E30" s="183" t="s">
        <v>48</v>
      </c>
      <c r="F30" s="183" t="s">
        <v>49</v>
      </c>
      <c r="G30" s="183" t="s">
        <v>50</v>
      </c>
      <c r="H30" s="183" t="s">
        <v>51</v>
      </c>
      <c r="I30" s="488" t="s">
        <v>52</v>
      </c>
      <c r="J30" s="593"/>
      <c r="K30" s="646"/>
      <c r="L30" s="644"/>
      <c r="M30" s="652" t="s">
        <v>131</v>
      </c>
      <c r="O30" s="19"/>
      <c r="P30" s="609"/>
      <c r="Q30" s="609"/>
      <c r="R30" s="609"/>
      <c r="S30" s="609"/>
      <c r="T30" s="609"/>
      <c r="U30" s="609"/>
      <c r="V30" s="609"/>
      <c r="W30" s="609"/>
      <c r="X30" s="27"/>
      <c r="Y30" s="31"/>
      <c r="Z30" s="612"/>
      <c r="AA30" s="612"/>
    </row>
    <row r="31" spans="1:27" ht="70.5" customHeight="1" x14ac:dyDescent="0.2">
      <c r="B31" s="184">
        <v>1</v>
      </c>
      <c r="C31" s="198" t="str">
        <f>VLOOKUP(B40,K60:L65,2,0)</f>
        <v>Spectral Radiance (µW/cm2 )</v>
      </c>
      <c r="D31" s="184" t="s">
        <v>130</v>
      </c>
      <c r="E31" s="559">
        <v>130</v>
      </c>
      <c r="F31" s="559">
        <v>132</v>
      </c>
      <c r="G31" s="559">
        <v>130</v>
      </c>
      <c r="H31" s="559">
        <v>132</v>
      </c>
      <c r="I31" s="559">
        <v>130</v>
      </c>
      <c r="J31" s="580">
        <f>STDEV(E31:I31)</f>
        <v>1.0954451150103321</v>
      </c>
      <c r="K31" s="497"/>
      <c r="L31" s="644"/>
      <c r="M31" s="652"/>
      <c r="O31" s="19"/>
      <c r="P31" s="609"/>
      <c r="Q31" s="609"/>
      <c r="R31" s="609"/>
      <c r="S31" s="609"/>
      <c r="T31" s="609"/>
      <c r="U31" s="609"/>
      <c r="V31" s="609"/>
      <c r="W31" s="609"/>
      <c r="X31" s="27"/>
      <c r="Y31" s="32"/>
      <c r="Z31" s="612"/>
      <c r="AA31" s="612"/>
    </row>
    <row r="32" spans="1:27" ht="15.75" customHeight="1" x14ac:dyDescent="0.2">
      <c r="B32" s="196"/>
      <c r="C32" s="196"/>
      <c r="D32" s="197"/>
      <c r="E32" s="196"/>
      <c r="F32" s="196"/>
      <c r="G32" s="196"/>
      <c r="H32" s="196"/>
      <c r="I32" s="179"/>
      <c r="J32" s="179"/>
      <c r="K32" s="179"/>
      <c r="O32" s="19"/>
      <c r="P32" s="609"/>
      <c r="Q32" s="609"/>
      <c r="R32" s="609"/>
      <c r="S32" s="609"/>
      <c r="T32" s="609"/>
      <c r="U32" s="609"/>
      <c r="V32" s="609"/>
      <c r="W32" s="609"/>
      <c r="X32" s="27"/>
      <c r="Y32" s="32"/>
      <c r="Z32" s="612"/>
      <c r="AA32" s="612"/>
    </row>
    <row r="33" spans="1:27" ht="15" x14ac:dyDescent="0.2">
      <c r="A33" s="213" t="s">
        <v>56</v>
      </c>
      <c r="B33" s="213" t="s">
        <v>57</v>
      </c>
      <c r="C33" s="210"/>
      <c r="D33" s="211"/>
      <c r="E33" s="211"/>
      <c r="F33" s="211"/>
      <c r="G33" s="211"/>
      <c r="H33" s="211"/>
      <c r="I33" s="212"/>
      <c r="J33" s="211"/>
      <c r="K33" s="211"/>
      <c r="O33" s="19"/>
      <c r="P33" s="609"/>
      <c r="Q33" s="609"/>
      <c r="R33" s="609"/>
      <c r="S33" s="609"/>
      <c r="T33" s="609"/>
      <c r="U33" s="609"/>
      <c r="V33" s="609"/>
      <c r="W33" s="609"/>
      <c r="X33" s="27"/>
      <c r="Y33" s="32"/>
      <c r="Z33" s="612"/>
      <c r="AA33" s="612"/>
    </row>
    <row r="34" spans="1:27" ht="14.25" x14ac:dyDescent="0.2">
      <c r="A34" s="210"/>
      <c r="B34" s="211" t="str">
        <f>'Data Sertifikat'!Q79</f>
        <v>Ketidakpastian pengukuran diperoleh dari sumber kesalalahan tipe A dan tipe B</v>
      </c>
      <c r="C34" s="210"/>
      <c r="D34" s="211"/>
      <c r="E34" s="211"/>
      <c r="F34" s="211"/>
      <c r="G34" s="211"/>
      <c r="H34" s="211"/>
      <c r="I34" s="212"/>
      <c r="J34" s="211"/>
      <c r="K34" s="211"/>
      <c r="O34" s="19"/>
      <c r="P34" s="27"/>
      <c r="Q34" s="27"/>
      <c r="R34" s="27"/>
      <c r="S34" s="27"/>
      <c r="T34" s="27"/>
      <c r="U34" s="27"/>
      <c r="V34" s="27"/>
      <c r="W34" s="27"/>
      <c r="X34" s="27"/>
      <c r="Y34" s="32"/>
      <c r="Z34" s="612"/>
      <c r="AA34" s="612"/>
    </row>
    <row r="35" spans="1:27" ht="15.75" x14ac:dyDescent="0.25">
      <c r="A35" s="210"/>
      <c r="B35" s="211" t="str">
        <f>'DB ESA'!N311</f>
        <v>Hasil pengukuran keselamatan listrik tertelusur ke Satuan Internasional ( SI ) melalui PT. Kaliman (LK-032-IDN)</v>
      </c>
      <c r="C35" s="210"/>
      <c r="D35" s="211"/>
      <c r="E35" s="211"/>
      <c r="F35" s="211"/>
      <c r="G35" s="211"/>
      <c r="H35" s="211"/>
      <c r="I35" s="211"/>
      <c r="J35" s="211"/>
      <c r="K35" s="215"/>
      <c r="M35" s="498"/>
      <c r="N35" s="498"/>
      <c r="O35" s="498"/>
      <c r="P35" s="498"/>
      <c r="Q35" s="27"/>
      <c r="R35" s="27"/>
      <c r="S35" s="27"/>
      <c r="T35" s="27"/>
      <c r="U35" s="27"/>
      <c r="V35" s="27"/>
      <c r="W35" s="27"/>
      <c r="X35" s="32"/>
      <c r="Y35" s="33"/>
      <c r="Z35" s="33"/>
    </row>
    <row r="36" spans="1:27" ht="15" x14ac:dyDescent="0.2">
      <c r="A36" s="210"/>
      <c r="B36" s="211" t="str">
        <f>'Data Sertifikat'!Q69</f>
        <v>Hasil pengujian kinerja spectral radiance tertelusur ke Laboratorium Standar Nasional Satuan Ukuran, Badan Standarisasi Nasional (SNSU-BSN)</v>
      </c>
      <c r="C36" s="211"/>
      <c r="D36" s="211"/>
      <c r="E36" s="211"/>
      <c r="F36" s="211"/>
      <c r="G36" s="211"/>
      <c r="H36" s="211"/>
      <c r="I36" s="211"/>
      <c r="J36" s="211"/>
      <c r="K36" s="211"/>
      <c r="M36" s="265"/>
      <c r="N36" s="499" t="s">
        <v>131</v>
      </c>
      <c r="O36" s="500"/>
      <c r="P36" s="500"/>
      <c r="Q36" s="27"/>
      <c r="R36" s="27"/>
      <c r="S36" s="27"/>
      <c r="T36" s="27"/>
      <c r="U36" s="27"/>
      <c r="V36" s="27"/>
      <c r="W36" s="27"/>
      <c r="X36" s="32"/>
      <c r="Y36" s="33"/>
      <c r="Z36" s="33"/>
    </row>
    <row r="37" spans="1:27" ht="15" x14ac:dyDescent="0.2">
      <c r="A37" s="210"/>
      <c r="B37" s="215" t="str">
        <f>IF(I26="-",M28,"-")</f>
        <v>-</v>
      </c>
      <c r="C37" s="210"/>
      <c r="D37" s="215"/>
      <c r="E37" s="211"/>
      <c r="F37" s="211"/>
      <c r="G37" s="211"/>
      <c r="H37" s="211"/>
      <c r="I37" s="212"/>
      <c r="J37" s="211"/>
      <c r="K37" s="211"/>
      <c r="M37" s="265"/>
      <c r="N37" s="501" t="s">
        <v>129</v>
      </c>
      <c r="O37" s="500"/>
      <c r="P37" s="500"/>
      <c r="Q37" s="27"/>
      <c r="R37" s="27"/>
      <c r="S37" s="27"/>
      <c r="T37" s="27"/>
      <c r="U37" s="27"/>
      <c r="V37" s="27"/>
      <c r="W37" s="27"/>
      <c r="X37" s="27"/>
      <c r="Y37" s="32"/>
      <c r="Z37" s="33"/>
      <c r="AA37" s="33"/>
    </row>
    <row r="38" spans="1:27" ht="15.75" customHeight="1" x14ac:dyDescent="0.2">
      <c r="A38" s="210"/>
      <c r="B38" s="211" t="str">
        <f>M54</f>
        <v>-</v>
      </c>
      <c r="C38" s="217"/>
      <c r="D38" s="211"/>
      <c r="E38" s="211"/>
      <c r="F38" s="211"/>
      <c r="G38" s="211"/>
      <c r="H38" s="211"/>
      <c r="I38" s="212"/>
      <c r="J38" s="211"/>
      <c r="K38" s="211"/>
      <c r="M38" s="265"/>
      <c r="N38" s="265"/>
      <c r="O38" s="500"/>
      <c r="P38" s="500"/>
      <c r="Q38" s="27"/>
      <c r="R38" s="27"/>
      <c r="S38" s="27"/>
      <c r="T38" s="27"/>
      <c r="U38" s="27"/>
      <c r="V38" s="27"/>
      <c r="W38" s="27"/>
      <c r="X38" s="27"/>
      <c r="Y38" s="32"/>
      <c r="Z38" s="612"/>
      <c r="AA38" s="612"/>
    </row>
    <row r="39" spans="1:27" ht="15" x14ac:dyDescent="0.2">
      <c r="A39" s="213" t="s">
        <v>59</v>
      </c>
      <c r="B39" s="213" t="s">
        <v>132</v>
      </c>
      <c r="C39" s="210"/>
      <c r="D39" s="213"/>
      <c r="E39" s="211"/>
      <c r="F39" s="211"/>
      <c r="G39" s="211"/>
      <c r="H39" s="211"/>
      <c r="I39" s="212"/>
      <c r="J39" s="211"/>
      <c r="K39" s="211"/>
      <c r="M39" s="265"/>
      <c r="N39" s="265"/>
      <c r="O39" s="500"/>
      <c r="P39" s="500"/>
      <c r="Q39" s="27"/>
      <c r="R39" s="27"/>
      <c r="S39" s="27"/>
      <c r="T39" s="27"/>
      <c r="U39" s="27"/>
      <c r="V39" s="27"/>
      <c r="W39" s="27"/>
      <c r="X39" s="27"/>
      <c r="Y39" s="32"/>
      <c r="Z39" s="612"/>
      <c r="AA39" s="612"/>
    </row>
    <row r="40" spans="1:27" ht="15" x14ac:dyDescent="0.2">
      <c r="A40" s="210"/>
      <c r="B40" s="643" t="s">
        <v>133</v>
      </c>
      <c r="C40" s="643"/>
      <c r="D40" s="643"/>
      <c r="E40" s="643"/>
      <c r="F40" s="643"/>
      <c r="G40" s="643"/>
      <c r="H40" s="643"/>
      <c r="I40" s="643"/>
      <c r="J40" s="215"/>
      <c r="K40" s="215"/>
      <c r="M40" s="502"/>
      <c r="N40" s="502"/>
      <c r="O40" s="502"/>
      <c r="P40" s="503" t="s">
        <v>134</v>
      </c>
      <c r="Q40" s="27"/>
      <c r="R40" s="27"/>
      <c r="S40" s="27"/>
      <c r="T40" s="27"/>
      <c r="U40" s="27"/>
      <c r="V40" s="27"/>
      <c r="W40" s="27"/>
      <c r="X40" s="27"/>
      <c r="Y40" s="32"/>
      <c r="Z40" s="612"/>
      <c r="AA40" s="612"/>
    </row>
    <row r="41" spans="1:27" ht="15.75" x14ac:dyDescent="0.2">
      <c r="A41" s="210"/>
      <c r="B41" s="647" t="s">
        <v>614</v>
      </c>
      <c r="C41" s="647"/>
      <c r="D41" s="647"/>
      <c r="E41" s="647"/>
      <c r="F41" s="647"/>
      <c r="G41" s="647"/>
      <c r="H41" s="647"/>
      <c r="I41" s="647"/>
      <c r="J41" s="211"/>
      <c r="K41" s="211"/>
      <c r="L41" s="23"/>
      <c r="M41" s="502"/>
      <c r="N41" s="499" t="s">
        <v>131</v>
      </c>
      <c r="O41" s="504">
        <f>IF(M44="-",20,IF(M44&lt;=M45,M48,IF(M44&gt;M45,0)))</f>
        <v>40</v>
      </c>
      <c r="P41" s="650">
        <f>VLOOKUP(M30,N41:O42,2,FALSE)</f>
        <v>40</v>
      </c>
    </row>
    <row r="42" spans="1:27" ht="15" x14ac:dyDescent="0.2">
      <c r="A42" s="210"/>
      <c r="B42" s="648" t="s">
        <v>135</v>
      </c>
      <c r="C42" s="648"/>
      <c r="D42" s="648"/>
      <c r="E42" s="648"/>
      <c r="F42" s="648"/>
      <c r="G42" s="648"/>
      <c r="H42" s="648"/>
      <c r="I42" s="566"/>
      <c r="J42" s="211"/>
      <c r="K42" s="211"/>
      <c r="M42" s="502"/>
      <c r="N42" s="501" t="s">
        <v>129</v>
      </c>
      <c r="O42" s="504">
        <f>M49</f>
        <v>40</v>
      </c>
      <c r="P42" s="651"/>
    </row>
    <row r="43" spans="1:27" ht="15.75" customHeight="1" x14ac:dyDescent="0.2">
      <c r="A43" s="210"/>
      <c r="B43" s="213"/>
      <c r="C43" s="211"/>
      <c r="D43" s="211"/>
      <c r="E43" s="211"/>
      <c r="F43" s="211"/>
      <c r="G43" s="211"/>
      <c r="H43" s="211"/>
      <c r="I43" s="212"/>
      <c r="J43" s="211"/>
      <c r="K43" s="211"/>
      <c r="M43" s="582"/>
      <c r="N43" s="502"/>
      <c r="O43" s="502"/>
      <c r="P43" s="502"/>
    </row>
    <row r="44" spans="1:27" ht="15" x14ac:dyDescent="0.2">
      <c r="A44" s="213" t="s">
        <v>72</v>
      </c>
      <c r="B44" s="213" t="s">
        <v>73</v>
      </c>
      <c r="C44" s="210"/>
      <c r="D44" s="211"/>
      <c r="E44" s="211"/>
      <c r="F44" s="211"/>
      <c r="G44" s="211"/>
      <c r="H44" s="211"/>
      <c r="I44" s="212"/>
      <c r="J44" s="211"/>
      <c r="K44" s="211"/>
      <c r="M44" s="582">
        <f>'DB ESA'!O271</f>
        <v>120.59114423016506</v>
      </c>
      <c r="N44" s="582">
        <f>IF(M44&gt;M45,M46,IF(M44&lt;=M45,M44))</f>
        <v>120.59114423016506</v>
      </c>
      <c r="O44" s="502"/>
      <c r="P44" s="502"/>
    </row>
    <row r="45" spans="1:27" ht="15" customHeight="1" x14ac:dyDescent="0.2">
      <c r="A45" s="210"/>
      <c r="B45" s="636" t="str">
        <f>IF(PENYELIA!H59&gt;=70,O6,IF(PENYELIA!H59&lt;70,O7))</f>
        <v>Alat yang dikalibrasi dalam batas toleransi dan dinyatakan LAIK PAKAI, dimana hasil atau skor akhir sama dengan atau melampaui 70 % berdasarkan Keputusan Direktur Jenderal Pelayanan Kesehatan No : HK.02.02/V/0412/2020</v>
      </c>
      <c r="C45" s="636"/>
      <c r="D45" s="636"/>
      <c r="E45" s="636"/>
      <c r="F45" s="636"/>
      <c r="G45" s="636"/>
      <c r="H45" s="636"/>
      <c r="I45" s="636"/>
      <c r="J45" s="636"/>
      <c r="K45" s="636"/>
      <c r="M45" s="582">
        <f>L26</f>
        <v>500</v>
      </c>
      <c r="N45" s="582">
        <f>'DB ESA'!N272</f>
        <v>10.498361019464998</v>
      </c>
      <c r="O45" s="502"/>
      <c r="P45" s="502"/>
    </row>
    <row r="46" spans="1:27" ht="12" customHeight="1" x14ac:dyDescent="0.2">
      <c r="A46" s="210"/>
      <c r="B46" s="636"/>
      <c r="C46" s="636"/>
      <c r="D46" s="636"/>
      <c r="E46" s="636"/>
      <c r="F46" s="636"/>
      <c r="G46" s="636"/>
      <c r="H46" s="636"/>
      <c r="I46" s="636"/>
      <c r="J46" s="636"/>
      <c r="K46" s="636"/>
      <c r="M46" s="582">
        <f>N26</f>
        <v>20</v>
      </c>
      <c r="N46" s="582">
        <f>IF(M44&lt;=M45,M48,IF(M46&lt;=100,M48,0))</f>
        <v>40</v>
      </c>
      <c r="O46" s="502"/>
      <c r="P46" s="502"/>
    </row>
    <row r="47" spans="1:27" ht="15.75" customHeight="1" x14ac:dyDescent="0.2">
      <c r="A47" s="210"/>
      <c r="B47" s="213"/>
      <c r="C47" s="211"/>
      <c r="D47" s="211"/>
      <c r="E47" s="211"/>
      <c r="F47" s="211"/>
      <c r="G47" s="211"/>
      <c r="H47" s="211"/>
      <c r="I47" s="212"/>
      <c r="J47" s="211"/>
      <c r="K47" s="211"/>
      <c r="M47" s="502"/>
      <c r="N47" s="502"/>
      <c r="O47" s="502"/>
      <c r="P47" s="502"/>
    </row>
    <row r="48" spans="1:27" ht="15" x14ac:dyDescent="0.2">
      <c r="A48" s="213" t="s">
        <v>75</v>
      </c>
      <c r="B48" s="213" t="s">
        <v>76</v>
      </c>
      <c r="C48" s="210"/>
      <c r="D48" s="211"/>
      <c r="E48" s="211"/>
      <c r="F48" s="211"/>
      <c r="G48" s="211"/>
      <c r="H48" s="211"/>
      <c r="I48" s="212"/>
      <c r="J48" s="211"/>
      <c r="K48" s="211"/>
      <c r="M48" s="24">
        <f>SUM(PENYELIA!L25:L27)</f>
        <v>40</v>
      </c>
      <c r="N48" s="505"/>
      <c r="O48" s="24"/>
      <c r="P48" s="24"/>
    </row>
    <row r="49" spans="1:17" ht="15" x14ac:dyDescent="0.2">
      <c r="A49" s="210"/>
      <c r="B49" s="649" t="s">
        <v>136</v>
      </c>
      <c r="C49" s="649"/>
      <c r="D49" s="649"/>
      <c r="E49" s="211"/>
      <c r="F49" s="211"/>
      <c r="G49" s="211"/>
      <c r="H49" s="211"/>
      <c r="I49" s="212"/>
      <c r="J49" s="211"/>
      <c r="K49" s="211"/>
      <c r="M49" s="506">
        <f>N46</f>
        <v>40</v>
      </c>
      <c r="N49" s="24"/>
      <c r="O49" s="24"/>
      <c r="P49" s="24"/>
    </row>
    <row r="50" spans="1:17" ht="15" thickBot="1" x14ac:dyDescent="0.25">
      <c r="A50" s="210"/>
      <c r="B50" s="211"/>
      <c r="C50" s="211"/>
      <c r="D50" s="211"/>
      <c r="E50" s="211"/>
      <c r="F50" s="211"/>
      <c r="G50" s="211"/>
      <c r="H50" s="211"/>
      <c r="I50" s="212"/>
      <c r="J50" s="211"/>
      <c r="K50" s="211"/>
    </row>
    <row r="51" spans="1:17" ht="15" x14ac:dyDescent="0.2">
      <c r="A51" s="213" t="s">
        <v>137</v>
      </c>
      <c r="B51" s="219" t="s">
        <v>138</v>
      </c>
      <c r="C51" s="210"/>
      <c r="D51" s="220"/>
      <c r="E51" s="220"/>
      <c r="F51" s="220"/>
      <c r="G51" s="220"/>
      <c r="H51" s="211"/>
      <c r="I51" s="222"/>
      <c r="J51" s="212"/>
      <c r="K51" s="211"/>
      <c r="M51" s="507"/>
      <c r="N51" s="508">
        <v>0</v>
      </c>
      <c r="O51" s="509" t="s">
        <v>81</v>
      </c>
      <c r="P51" s="510"/>
      <c r="Q51" s="511"/>
    </row>
    <row r="52" spans="1:17" ht="15" x14ac:dyDescent="0.2">
      <c r="A52" s="210"/>
      <c r="B52" s="258" t="s">
        <v>139</v>
      </c>
      <c r="C52" s="552"/>
      <c r="D52" s="215"/>
      <c r="E52" s="218"/>
      <c r="F52" s="218"/>
      <c r="G52" s="212"/>
      <c r="H52" s="211"/>
      <c r="I52" s="211"/>
      <c r="J52" s="211"/>
      <c r="K52" s="211"/>
      <c r="M52" s="512">
        <f>N46</f>
        <v>40</v>
      </c>
      <c r="N52" s="513">
        <v>20</v>
      </c>
      <c r="O52" s="24" t="s">
        <v>140</v>
      </c>
      <c r="P52" s="24"/>
      <c r="Q52" s="514"/>
    </row>
    <row r="53" spans="1:17" ht="15.75" thickBot="1" x14ac:dyDescent="0.25">
      <c r="A53" s="210"/>
      <c r="B53" s="211"/>
      <c r="C53" s="218"/>
      <c r="D53" s="218"/>
      <c r="E53" s="223"/>
      <c r="F53" s="218"/>
      <c r="G53" s="212"/>
      <c r="H53" s="211"/>
      <c r="I53" s="211"/>
      <c r="J53" s="211"/>
      <c r="K53" s="211"/>
      <c r="M53" s="515"/>
      <c r="N53" s="516">
        <v>40</v>
      </c>
      <c r="O53" s="517" t="s">
        <v>81</v>
      </c>
      <c r="P53" s="518"/>
      <c r="Q53" s="519"/>
    </row>
    <row r="54" spans="1:17" ht="15" x14ac:dyDescent="0.2">
      <c r="A54" s="210"/>
      <c r="B54" s="211"/>
      <c r="C54" s="218"/>
      <c r="D54" s="218"/>
      <c r="E54" s="223"/>
      <c r="F54" s="218"/>
      <c r="G54" s="212"/>
      <c r="H54" s="211"/>
      <c r="I54" s="211"/>
      <c r="J54" s="211"/>
      <c r="K54" s="211"/>
      <c r="M54" s="506" t="str">
        <f>VLOOKUP(M52,N51:Q53,2,0)</f>
        <v>-</v>
      </c>
    </row>
    <row r="55" spans="1:17" ht="14.25" x14ac:dyDescent="0.2">
      <c r="A55" s="210"/>
      <c r="B55" s="211"/>
      <c r="C55" s="218"/>
      <c r="D55" s="218"/>
      <c r="E55" s="223"/>
      <c r="F55" s="218"/>
      <c r="G55" s="212"/>
      <c r="H55" s="211"/>
      <c r="I55" s="211"/>
      <c r="J55" s="211"/>
      <c r="K55" s="211"/>
    </row>
    <row r="56" spans="1:17" ht="14.25" x14ac:dyDescent="0.2">
      <c r="A56" s="210"/>
      <c r="B56" s="211"/>
      <c r="C56" s="218"/>
      <c r="D56" s="218"/>
      <c r="E56" s="223"/>
      <c r="F56" s="218"/>
      <c r="G56" s="212"/>
      <c r="H56" s="211"/>
      <c r="I56" s="211"/>
      <c r="J56" s="211"/>
      <c r="K56" s="211"/>
    </row>
    <row r="57" spans="1:17" ht="14.25" x14ac:dyDescent="0.2">
      <c r="A57" s="210"/>
      <c r="B57" s="211"/>
      <c r="C57" s="218"/>
      <c r="D57" s="218"/>
      <c r="E57" s="223"/>
      <c r="F57" s="218"/>
      <c r="G57" s="212"/>
      <c r="H57" s="211"/>
      <c r="I57" s="645"/>
      <c r="J57" s="645"/>
      <c r="K57" s="211"/>
    </row>
    <row r="58" spans="1:17" ht="14.25" x14ac:dyDescent="0.2">
      <c r="A58" s="210"/>
      <c r="B58" s="211"/>
      <c r="C58" s="211"/>
      <c r="D58" s="211"/>
      <c r="E58" s="211"/>
      <c r="F58" s="211"/>
      <c r="G58" s="211"/>
      <c r="H58" s="211"/>
      <c r="I58" s="212"/>
      <c r="J58" s="211"/>
      <c r="K58" s="211"/>
    </row>
    <row r="59" spans="1:17" ht="15" x14ac:dyDescent="0.2">
      <c r="B59" s="22"/>
      <c r="C59" s="22"/>
      <c r="D59" s="22"/>
      <c r="E59" s="22"/>
      <c r="F59" s="22"/>
      <c r="G59" s="22"/>
      <c r="H59" s="22"/>
      <c r="I59" s="520"/>
      <c r="J59" s="22"/>
      <c r="K59" s="22"/>
    </row>
    <row r="60" spans="1:17" ht="16.5" thickBot="1" x14ac:dyDescent="0.3">
      <c r="B60" s="22"/>
      <c r="C60" s="22"/>
      <c r="D60" s="22"/>
      <c r="E60" s="22"/>
      <c r="F60" s="22"/>
      <c r="G60" s="22"/>
      <c r="H60" s="22"/>
      <c r="I60" s="22"/>
      <c r="J60" s="22"/>
      <c r="K60" s="7" t="s">
        <v>141</v>
      </c>
      <c r="L60" s="521" t="s">
        <v>142</v>
      </c>
      <c r="M60" s="402" t="s">
        <v>143</v>
      </c>
      <c r="N60" s="71" t="s">
        <v>144</v>
      </c>
      <c r="O60" s="553">
        <v>0.05</v>
      </c>
      <c r="P60" s="402" t="s">
        <v>145</v>
      </c>
    </row>
    <row r="61" spans="1:17" ht="16.5" thickBot="1" x14ac:dyDescent="0.3">
      <c r="I61" s="402"/>
      <c r="K61" s="7" t="s">
        <v>146</v>
      </c>
      <c r="L61" s="521" t="s">
        <v>142</v>
      </c>
      <c r="M61" s="402" t="s">
        <v>143</v>
      </c>
      <c r="N61" s="71" t="s">
        <v>144</v>
      </c>
      <c r="O61" s="553">
        <v>0.05</v>
      </c>
      <c r="P61" s="402" t="s">
        <v>145</v>
      </c>
    </row>
    <row r="62" spans="1:17" ht="16.5" thickBot="1" x14ac:dyDescent="0.3">
      <c r="B62" s="225"/>
      <c r="C62" s="225"/>
      <c r="D62" s="225"/>
      <c r="E62" s="225"/>
      <c r="F62" s="225"/>
      <c r="G62" s="225"/>
      <c r="H62" s="225"/>
      <c r="I62" s="225"/>
      <c r="J62" s="225"/>
      <c r="K62" s="7" t="s">
        <v>147</v>
      </c>
      <c r="L62" s="521" t="s">
        <v>148</v>
      </c>
      <c r="M62" s="522" t="s">
        <v>149</v>
      </c>
      <c r="N62" s="71" t="s">
        <v>150</v>
      </c>
      <c r="O62" s="553">
        <v>0.01</v>
      </c>
      <c r="P62" s="402" t="s">
        <v>145</v>
      </c>
    </row>
    <row r="63" spans="1:17" ht="16.5" thickBot="1" x14ac:dyDescent="0.3">
      <c r="B63" s="225"/>
      <c r="C63" s="225"/>
      <c r="D63" s="225"/>
      <c r="E63" s="225"/>
      <c r="F63" s="225"/>
      <c r="G63" s="225"/>
      <c r="H63" s="225"/>
      <c r="I63" s="225"/>
      <c r="J63" s="225"/>
      <c r="K63" s="7" t="s">
        <v>151</v>
      </c>
      <c r="L63" s="521" t="s">
        <v>142</v>
      </c>
      <c r="M63" s="402" t="s">
        <v>143</v>
      </c>
      <c r="N63" s="71" t="s">
        <v>144</v>
      </c>
      <c r="O63" s="553">
        <v>0.05</v>
      </c>
      <c r="P63" s="402" t="s">
        <v>145</v>
      </c>
    </row>
    <row r="64" spans="1:17" ht="16.5" thickBot="1" x14ac:dyDescent="0.3">
      <c r="B64" s="225"/>
      <c r="C64" s="225"/>
      <c r="D64" s="225"/>
      <c r="E64" s="225"/>
      <c r="F64" s="225"/>
      <c r="G64" s="225"/>
      <c r="H64" s="225"/>
      <c r="I64" s="225"/>
      <c r="J64" s="225"/>
      <c r="K64" s="7" t="s">
        <v>133</v>
      </c>
      <c r="L64" s="521" t="s">
        <v>142</v>
      </c>
      <c r="M64" s="402" t="s">
        <v>143</v>
      </c>
      <c r="N64" s="71" t="s">
        <v>144</v>
      </c>
      <c r="O64" s="553">
        <v>0.05</v>
      </c>
      <c r="P64" s="402" t="s">
        <v>145</v>
      </c>
    </row>
    <row r="65" spans="2:16" ht="16.5" thickBot="1" x14ac:dyDescent="0.3">
      <c r="B65" s="225"/>
      <c r="C65" s="225"/>
      <c r="D65" s="225"/>
      <c r="E65" s="225"/>
      <c r="F65" s="225"/>
      <c r="G65" s="225"/>
      <c r="H65" s="225"/>
      <c r="I65" s="225"/>
      <c r="J65" s="225"/>
      <c r="K65" s="7" t="s">
        <v>152</v>
      </c>
      <c r="L65" s="521" t="s">
        <v>142</v>
      </c>
      <c r="M65" s="402" t="s">
        <v>143</v>
      </c>
      <c r="N65" s="71" t="s">
        <v>144</v>
      </c>
      <c r="O65" s="553">
        <v>0.05</v>
      </c>
      <c r="P65" s="402" t="s">
        <v>145</v>
      </c>
    </row>
    <row r="66" spans="2:16" x14ac:dyDescent="0.2">
      <c r="G66" s="27"/>
      <c r="J66" s="27" t="s">
        <v>47</v>
      </c>
      <c r="K66" s="402" t="str">
        <f>VLOOKUP(B40,K60:M65,3,0)</f>
        <v xml:space="preserve">≥ 176 µW/cm² </v>
      </c>
    </row>
    <row r="67" spans="2:16" x14ac:dyDescent="0.2">
      <c r="G67" s="27"/>
      <c r="J67" s="27" t="s">
        <v>153</v>
      </c>
      <c r="K67" s="402" t="str">
        <f>VLOOKUP(B40,K60:N65,4,0)</f>
        <v xml:space="preserve">µW/cm²   </v>
      </c>
    </row>
    <row r="68" spans="2:16" x14ac:dyDescent="0.2">
      <c r="G68" s="27"/>
      <c r="J68" s="27" t="s">
        <v>154</v>
      </c>
      <c r="K68" s="555" t="str">
        <f>VLOOKUP(B40,K60:P65,6,0)</f>
        <v>Sertifikat Standar</v>
      </c>
    </row>
    <row r="70" spans="2:16" x14ac:dyDescent="0.2">
      <c r="K70" s="556"/>
      <c r="L70" s="523"/>
    </row>
    <row r="86" spans="4:4" x14ac:dyDescent="0.2">
      <c r="D86" s="557"/>
    </row>
    <row r="87" spans="4:4" x14ac:dyDescent="0.2">
      <c r="D87" s="557"/>
    </row>
  </sheetData>
  <sheetProtection formatCells="0" formatColumns="0" formatRows="0" insertColumns="0" insertRows="0" deleteColumns="0" deleteRows="0"/>
  <mergeCells count="42">
    <mergeCell ref="E4:J4"/>
    <mergeCell ref="E5:J5"/>
    <mergeCell ref="E6:J6"/>
    <mergeCell ref="A1:K1"/>
    <mergeCell ref="E8:J8"/>
    <mergeCell ref="E7:J7"/>
    <mergeCell ref="E9:J9"/>
    <mergeCell ref="E10:J10"/>
    <mergeCell ref="Z28:AA28"/>
    <mergeCell ref="P28:W28"/>
    <mergeCell ref="X28:Y28"/>
    <mergeCell ref="E11:J11"/>
    <mergeCell ref="C23:H23"/>
    <mergeCell ref="I23:J23"/>
    <mergeCell ref="I57:J57"/>
    <mergeCell ref="J29:J30"/>
    <mergeCell ref="P31:W31"/>
    <mergeCell ref="P33:W33"/>
    <mergeCell ref="P32:W32"/>
    <mergeCell ref="P30:W30"/>
    <mergeCell ref="K29:K30"/>
    <mergeCell ref="B41:I41"/>
    <mergeCell ref="B42:H42"/>
    <mergeCell ref="B45:K46"/>
    <mergeCell ref="B49:D49"/>
    <mergeCell ref="P41:P42"/>
    <mergeCell ref="M30:M31"/>
    <mergeCell ref="Z38:AA38"/>
    <mergeCell ref="Z39:AA39"/>
    <mergeCell ref="Z40:AA40"/>
    <mergeCell ref="Z31:AA31"/>
    <mergeCell ref="B29:B30"/>
    <mergeCell ref="C29:C30"/>
    <mergeCell ref="D29:D30"/>
    <mergeCell ref="E29:I29"/>
    <mergeCell ref="Z33:AA33"/>
    <mergeCell ref="Z32:AA32"/>
    <mergeCell ref="Z34:AA34"/>
    <mergeCell ref="Z30:AA30"/>
    <mergeCell ref="L29:M29"/>
    <mergeCell ref="B40:I40"/>
    <mergeCell ref="L30:L31"/>
  </mergeCells>
  <phoneticPr fontId="9" type="noConversion"/>
  <dataValidations count="2">
    <dataValidation type="list" allowBlank="1" showInputMessage="1" sqref="M30" xr:uid="{00000000-0002-0000-0200-000000000000}">
      <formula1>$N$41:$N$42</formula1>
    </dataValidation>
    <dataValidation allowBlank="1" showInputMessage="1" sqref="G2:K2 A2:D2" xr:uid="{00000000-0002-0000-0200-000001000000}"/>
  </dataValidations>
  <printOptions horizontalCentered="1"/>
  <pageMargins left="0.5" right="0.25" top="0.5" bottom="0.25" header="0.25" footer="0.25"/>
  <pageSetup paperSize="9" scale="72" orientation="portrait" horizontalDpi="4294967292" r:id="rId1"/>
  <headerFooter>
    <oddHeader>&amp;R&amp;"-,Regular"&amp;8OA.ID - 038 - 18 / REV : 0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8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48" r:id="rId8"/>
      </mc:Fallback>
    </mc:AlternateContent>
    <mc:AlternateContent xmlns:mc="http://schemas.openxmlformats.org/markup-compatibility/2006">
      <mc:Choice Requires="x14">
        <oleObject progId="Equation.3" shapeId="6149" r:id="rId9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49" r:id="rId9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1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1" r:id="rId11"/>
      </mc:Fallback>
    </mc:AlternateContent>
    <mc:AlternateContent xmlns:mc="http://schemas.openxmlformats.org/markup-compatibility/2006">
      <mc:Choice Requires="x14">
        <oleObject progId="Equation.3" shapeId="6152" r:id="rId12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2" r:id="rId12"/>
      </mc:Fallback>
    </mc:AlternateContent>
    <mc:AlternateContent xmlns:mc="http://schemas.openxmlformats.org/markup-compatibility/2006">
      <mc:Choice Requires="x14">
        <oleObject progId="Equation.3" shapeId="6153" r:id="rId13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3" r:id="rId13"/>
      </mc:Fallback>
    </mc:AlternateContent>
    <mc:AlternateContent xmlns:mc="http://schemas.openxmlformats.org/markup-compatibility/2006">
      <mc:Choice Requires="x14">
        <oleObject progId="Equation.3" shapeId="6154" r:id="rId14">
          <objectPr defaultSize="0" autoPict="0" r:id="rId5">
            <anchor moveWithCells="1" sizeWithCells="1">
              <from>
                <xdr:col>8</xdr:col>
                <xdr:colOff>9525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4" r:id="rId14"/>
      </mc:Fallback>
    </mc:AlternateContent>
    <mc:AlternateContent xmlns:mc="http://schemas.openxmlformats.org/markup-compatibility/2006">
      <mc:Choice Requires="x14">
        <oleObject progId="Equation.3" shapeId="6155" r:id="rId15">
          <objectPr defaultSize="0" autoPict="0" r:id="rId5">
            <anchor moveWithCells="1" sizeWithCells="1">
              <from>
                <xdr:col>8</xdr:col>
                <xdr:colOff>38100</xdr:colOff>
                <xdr:row>20</xdr:row>
                <xdr:rowOff>0</xdr:rowOff>
              </from>
              <to>
                <xdr:col>9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Equation.3" shapeId="6155" r:id="rId15"/>
      </mc:Fallback>
    </mc:AlternateContent>
    <mc:AlternateContent xmlns:mc="http://schemas.openxmlformats.org/markup-compatibility/2006">
      <mc:Choice Requires="x14">
        <oleObject progId="Equation.3" shapeId="6156" r:id="rId1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56" r:id="rId16"/>
      </mc:Fallback>
    </mc:AlternateContent>
    <mc:AlternateContent xmlns:mc="http://schemas.openxmlformats.org/markup-compatibility/2006">
      <mc:Choice Requires="x14">
        <oleObject progId="Equation.3" shapeId="6157" r:id="rId1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57" r:id="rId17"/>
      </mc:Fallback>
    </mc:AlternateContent>
    <mc:AlternateContent xmlns:mc="http://schemas.openxmlformats.org/markup-compatibility/2006">
      <mc:Choice Requires="x14">
        <oleObject progId="Equation.3" shapeId="6158" r:id="rId1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58" r:id="rId18"/>
      </mc:Fallback>
    </mc:AlternateContent>
    <mc:AlternateContent xmlns:mc="http://schemas.openxmlformats.org/markup-compatibility/2006">
      <mc:Choice Requires="x14">
        <oleObject progId="Equation.3" shapeId="6159" r:id="rId1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59" r:id="rId19"/>
      </mc:Fallback>
    </mc:AlternateContent>
    <mc:AlternateContent xmlns:mc="http://schemas.openxmlformats.org/markup-compatibility/2006">
      <mc:Choice Requires="x14">
        <oleObject progId="Equation.3" shapeId="6160" r:id="rId2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0" r:id="rId20"/>
      </mc:Fallback>
    </mc:AlternateContent>
    <mc:AlternateContent xmlns:mc="http://schemas.openxmlformats.org/markup-compatibility/2006">
      <mc:Choice Requires="x14">
        <oleObject progId="Equation.3" shapeId="6161" r:id="rId2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1" r:id="rId21"/>
      </mc:Fallback>
    </mc:AlternateContent>
    <mc:AlternateContent xmlns:mc="http://schemas.openxmlformats.org/markup-compatibility/2006">
      <mc:Choice Requires="x14">
        <oleObject progId="Equation.3" shapeId="6162" r:id="rId2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2" r:id="rId22"/>
      </mc:Fallback>
    </mc:AlternateContent>
    <mc:AlternateContent xmlns:mc="http://schemas.openxmlformats.org/markup-compatibility/2006">
      <mc:Choice Requires="x14">
        <oleObject progId="Equation.3" shapeId="6163" r:id="rId2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3" r:id="rId23"/>
      </mc:Fallback>
    </mc:AlternateContent>
    <mc:AlternateContent xmlns:mc="http://schemas.openxmlformats.org/markup-compatibility/2006">
      <mc:Choice Requires="x14">
        <oleObject progId="Equation.3" shapeId="6164" r:id="rId2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4" r:id="rId24"/>
      </mc:Fallback>
    </mc:AlternateContent>
    <mc:AlternateContent xmlns:mc="http://schemas.openxmlformats.org/markup-compatibility/2006">
      <mc:Choice Requires="x14">
        <oleObject progId="Equation.3" shapeId="6165" r:id="rId2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5" r:id="rId25"/>
      </mc:Fallback>
    </mc:AlternateContent>
    <mc:AlternateContent xmlns:mc="http://schemas.openxmlformats.org/markup-compatibility/2006">
      <mc:Choice Requires="x14">
        <oleObject progId="Equation.3" shapeId="6166" r:id="rId26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6" r:id="rId26"/>
      </mc:Fallback>
    </mc:AlternateContent>
    <mc:AlternateContent xmlns:mc="http://schemas.openxmlformats.org/markup-compatibility/2006">
      <mc:Choice Requires="x14">
        <oleObject progId="Equation.3" shapeId="6167" r:id="rId2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7" r:id="rId27"/>
      </mc:Fallback>
    </mc:AlternateContent>
    <mc:AlternateContent xmlns:mc="http://schemas.openxmlformats.org/markup-compatibility/2006">
      <mc:Choice Requires="x14">
        <oleObject progId="Equation.3" shapeId="6168" r:id="rId2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8" r:id="rId28"/>
      </mc:Fallback>
    </mc:AlternateContent>
    <mc:AlternateContent xmlns:mc="http://schemas.openxmlformats.org/markup-compatibility/2006">
      <mc:Choice Requires="x14">
        <oleObject progId="Equation.3" shapeId="6169" r:id="rId2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69" r:id="rId29"/>
      </mc:Fallback>
    </mc:AlternateContent>
    <mc:AlternateContent xmlns:mc="http://schemas.openxmlformats.org/markup-compatibility/2006">
      <mc:Choice Requires="x14">
        <oleObject progId="Equation.3" shapeId="6170" r:id="rId3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0" r:id="rId30"/>
      </mc:Fallback>
    </mc:AlternateContent>
    <mc:AlternateContent xmlns:mc="http://schemas.openxmlformats.org/markup-compatibility/2006">
      <mc:Choice Requires="x14">
        <oleObject progId="Equation.3" shapeId="6171" r:id="rId3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1" r:id="rId31"/>
      </mc:Fallback>
    </mc:AlternateContent>
    <mc:AlternateContent xmlns:mc="http://schemas.openxmlformats.org/markup-compatibility/2006">
      <mc:Choice Requires="x14">
        <oleObject progId="Equation.3" shapeId="6172" r:id="rId3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2" r:id="rId32"/>
      </mc:Fallback>
    </mc:AlternateContent>
    <mc:AlternateContent xmlns:mc="http://schemas.openxmlformats.org/markup-compatibility/2006">
      <mc:Choice Requires="x14">
        <oleObject progId="Equation.3" shapeId="6173" r:id="rId3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3" r:id="rId33"/>
      </mc:Fallback>
    </mc:AlternateContent>
    <mc:AlternateContent xmlns:mc="http://schemas.openxmlformats.org/markup-compatibility/2006">
      <mc:Choice Requires="x14">
        <oleObject progId="Equation.3" shapeId="6174" r:id="rId3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4" r:id="rId34"/>
      </mc:Fallback>
    </mc:AlternateContent>
    <mc:AlternateContent xmlns:mc="http://schemas.openxmlformats.org/markup-compatibility/2006">
      <mc:Choice Requires="x14">
        <oleObject progId="Equation.3" shapeId="6175" r:id="rId3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5" r:id="rId35"/>
      </mc:Fallback>
    </mc:AlternateContent>
    <mc:AlternateContent xmlns:mc="http://schemas.openxmlformats.org/markup-compatibility/2006">
      <mc:Choice Requires="x14">
        <oleObject progId="Equation.3" shapeId="6176" r:id="rId3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6" r:id="rId36"/>
      </mc:Fallback>
    </mc:AlternateContent>
    <mc:AlternateContent xmlns:mc="http://schemas.openxmlformats.org/markup-compatibility/2006">
      <mc:Choice Requires="x14">
        <oleObject progId="Equation.3" shapeId="6177" r:id="rId37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7" r:id="rId37"/>
      </mc:Fallback>
    </mc:AlternateContent>
    <mc:AlternateContent xmlns:mc="http://schemas.openxmlformats.org/markup-compatibility/2006">
      <mc:Choice Requires="x14">
        <oleObject progId="Equation.3" shapeId="6178" r:id="rId3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8" r:id="rId38"/>
      </mc:Fallback>
    </mc:AlternateContent>
    <mc:AlternateContent xmlns:mc="http://schemas.openxmlformats.org/markup-compatibility/2006">
      <mc:Choice Requires="x14">
        <oleObject progId="Equation.3" shapeId="6179" r:id="rId3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79" r:id="rId39"/>
      </mc:Fallback>
    </mc:AlternateContent>
    <mc:AlternateContent xmlns:mc="http://schemas.openxmlformats.org/markup-compatibility/2006">
      <mc:Choice Requires="x14">
        <oleObject progId="Equation.3" shapeId="6180" r:id="rId4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0" r:id="rId40"/>
      </mc:Fallback>
    </mc:AlternateContent>
    <mc:AlternateContent xmlns:mc="http://schemas.openxmlformats.org/markup-compatibility/2006">
      <mc:Choice Requires="x14">
        <oleObject progId="Equation.3" shapeId="6181" r:id="rId4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1" r:id="rId41"/>
      </mc:Fallback>
    </mc:AlternateContent>
    <mc:AlternateContent xmlns:mc="http://schemas.openxmlformats.org/markup-compatibility/2006">
      <mc:Choice Requires="x14">
        <oleObject progId="Equation.3" shapeId="6182" r:id="rId4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2" r:id="rId42"/>
      </mc:Fallback>
    </mc:AlternateContent>
    <mc:AlternateContent xmlns:mc="http://schemas.openxmlformats.org/markup-compatibility/2006">
      <mc:Choice Requires="x14">
        <oleObject progId="Equation.3" shapeId="6183" r:id="rId4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3" r:id="rId43"/>
      </mc:Fallback>
    </mc:AlternateContent>
    <mc:AlternateContent xmlns:mc="http://schemas.openxmlformats.org/markup-compatibility/2006">
      <mc:Choice Requires="x14">
        <oleObject progId="Equation.3" shapeId="6184" r:id="rId4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4" r:id="rId44"/>
      </mc:Fallback>
    </mc:AlternateContent>
    <mc:AlternateContent xmlns:mc="http://schemas.openxmlformats.org/markup-compatibility/2006">
      <mc:Choice Requires="x14">
        <oleObject progId="Equation.3" shapeId="6185" r:id="rId4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5" r:id="rId45"/>
      </mc:Fallback>
    </mc:AlternateContent>
    <mc:AlternateContent xmlns:mc="http://schemas.openxmlformats.org/markup-compatibility/2006">
      <mc:Choice Requires="x14">
        <oleObject progId="Equation.3" shapeId="6186" r:id="rId4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6" r:id="rId46"/>
      </mc:Fallback>
    </mc:AlternateContent>
    <mc:AlternateContent xmlns:mc="http://schemas.openxmlformats.org/markup-compatibility/2006">
      <mc:Choice Requires="x14">
        <oleObject progId="Equation.3" shapeId="6187" r:id="rId4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7" r:id="rId47"/>
      </mc:Fallback>
    </mc:AlternateContent>
    <mc:AlternateContent xmlns:mc="http://schemas.openxmlformats.org/markup-compatibility/2006">
      <mc:Choice Requires="x14">
        <oleObject progId="Equation.3" shapeId="6188" r:id="rId48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8" r:id="rId48"/>
      </mc:Fallback>
    </mc:AlternateContent>
    <mc:AlternateContent xmlns:mc="http://schemas.openxmlformats.org/markup-compatibility/2006">
      <mc:Choice Requires="x14">
        <oleObject progId="Equation.3" shapeId="6189" r:id="rId4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89" r:id="rId49"/>
      </mc:Fallback>
    </mc:AlternateContent>
    <mc:AlternateContent xmlns:mc="http://schemas.openxmlformats.org/markup-compatibility/2006">
      <mc:Choice Requires="x14">
        <oleObject progId="Equation.3" shapeId="6190" r:id="rId5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0" r:id="rId50"/>
      </mc:Fallback>
    </mc:AlternateContent>
    <mc:AlternateContent xmlns:mc="http://schemas.openxmlformats.org/markup-compatibility/2006">
      <mc:Choice Requires="x14">
        <oleObject progId="Equation.3" shapeId="6191" r:id="rId5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1" r:id="rId51"/>
      </mc:Fallback>
    </mc:AlternateContent>
    <mc:AlternateContent xmlns:mc="http://schemas.openxmlformats.org/markup-compatibility/2006">
      <mc:Choice Requires="x14">
        <oleObject progId="Equation.3" shapeId="6192" r:id="rId5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2" r:id="rId52"/>
      </mc:Fallback>
    </mc:AlternateContent>
    <mc:AlternateContent xmlns:mc="http://schemas.openxmlformats.org/markup-compatibility/2006">
      <mc:Choice Requires="x14">
        <oleObject progId="Equation.3" shapeId="6193" r:id="rId5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3" r:id="rId53"/>
      </mc:Fallback>
    </mc:AlternateContent>
    <mc:AlternateContent xmlns:mc="http://schemas.openxmlformats.org/markup-compatibility/2006">
      <mc:Choice Requires="x14">
        <oleObject progId="Equation.3" shapeId="6194" r:id="rId5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4" r:id="rId54"/>
      </mc:Fallback>
    </mc:AlternateContent>
    <mc:AlternateContent xmlns:mc="http://schemas.openxmlformats.org/markup-compatibility/2006">
      <mc:Choice Requires="x14">
        <oleObject progId="Equation.3" shapeId="6195" r:id="rId5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5" r:id="rId55"/>
      </mc:Fallback>
    </mc:AlternateContent>
    <mc:AlternateContent xmlns:mc="http://schemas.openxmlformats.org/markup-compatibility/2006">
      <mc:Choice Requires="x14">
        <oleObject progId="Equation.3" shapeId="6196" r:id="rId5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6" r:id="rId56"/>
      </mc:Fallback>
    </mc:AlternateContent>
    <mc:AlternateContent xmlns:mc="http://schemas.openxmlformats.org/markup-compatibility/2006">
      <mc:Choice Requires="x14">
        <oleObject progId="Equation.3" shapeId="6197" r:id="rId5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7" r:id="rId57"/>
      </mc:Fallback>
    </mc:AlternateContent>
    <mc:AlternateContent xmlns:mc="http://schemas.openxmlformats.org/markup-compatibility/2006">
      <mc:Choice Requires="x14">
        <oleObject progId="Equation.3" shapeId="6198" r:id="rId5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8" r:id="rId58"/>
      </mc:Fallback>
    </mc:AlternateContent>
    <mc:AlternateContent xmlns:mc="http://schemas.openxmlformats.org/markup-compatibility/2006">
      <mc:Choice Requires="x14">
        <oleObject progId="Equation.3" shapeId="6199" r:id="rId59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199" r:id="rId59"/>
      </mc:Fallback>
    </mc:AlternateContent>
    <mc:AlternateContent xmlns:mc="http://schemas.openxmlformats.org/markup-compatibility/2006">
      <mc:Choice Requires="x14">
        <oleObject progId="Equation.3" shapeId="6200" r:id="rId6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0" r:id="rId60"/>
      </mc:Fallback>
    </mc:AlternateContent>
    <mc:AlternateContent xmlns:mc="http://schemas.openxmlformats.org/markup-compatibility/2006">
      <mc:Choice Requires="x14">
        <oleObject progId="Equation.3" shapeId="6201" r:id="rId6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1" r:id="rId61"/>
      </mc:Fallback>
    </mc:AlternateContent>
    <mc:AlternateContent xmlns:mc="http://schemas.openxmlformats.org/markup-compatibility/2006">
      <mc:Choice Requires="x14">
        <oleObject progId="Equation.3" shapeId="6202" r:id="rId6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2" r:id="rId62"/>
      </mc:Fallback>
    </mc:AlternateContent>
    <mc:AlternateContent xmlns:mc="http://schemas.openxmlformats.org/markup-compatibility/2006">
      <mc:Choice Requires="x14">
        <oleObject progId="Equation.3" shapeId="6203" r:id="rId6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3" r:id="rId63"/>
      </mc:Fallback>
    </mc:AlternateContent>
    <mc:AlternateContent xmlns:mc="http://schemas.openxmlformats.org/markup-compatibility/2006">
      <mc:Choice Requires="x14">
        <oleObject progId="Equation.3" shapeId="6204" r:id="rId6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4" r:id="rId64"/>
      </mc:Fallback>
    </mc:AlternateContent>
    <mc:AlternateContent xmlns:mc="http://schemas.openxmlformats.org/markup-compatibility/2006">
      <mc:Choice Requires="x14">
        <oleObject progId="Equation.3" shapeId="6205" r:id="rId6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5" r:id="rId65"/>
      </mc:Fallback>
    </mc:AlternateContent>
    <mc:AlternateContent xmlns:mc="http://schemas.openxmlformats.org/markup-compatibility/2006">
      <mc:Choice Requires="x14">
        <oleObject progId="Equation.3" shapeId="6206" r:id="rId6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6" r:id="rId66"/>
      </mc:Fallback>
    </mc:AlternateContent>
    <mc:AlternateContent xmlns:mc="http://schemas.openxmlformats.org/markup-compatibility/2006">
      <mc:Choice Requires="x14">
        <oleObject progId="Equation.3" shapeId="6207" r:id="rId6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7" r:id="rId67"/>
      </mc:Fallback>
    </mc:AlternateContent>
    <mc:AlternateContent xmlns:mc="http://schemas.openxmlformats.org/markup-compatibility/2006">
      <mc:Choice Requires="x14">
        <oleObject progId="Equation.3" shapeId="6208" r:id="rId6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8" r:id="rId68"/>
      </mc:Fallback>
    </mc:AlternateContent>
    <mc:AlternateContent xmlns:mc="http://schemas.openxmlformats.org/markup-compatibility/2006">
      <mc:Choice Requires="x14">
        <oleObject progId="Equation.3" shapeId="6209" r:id="rId6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09" r:id="rId69"/>
      </mc:Fallback>
    </mc:AlternateContent>
    <mc:AlternateContent xmlns:mc="http://schemas.openxmlformats.org/markup-compatibility/2006">
      <mc:Choice Requires="x14">
        <oleObject progId="Equation.3" shapeId="6210" r:id="rId70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0" r:id="rId70"/>
      </mc:Fallback>
    </mc:AlternateContent>
    <mc:AlternateContent xmlns:mc="http://schemas.openxmlformats.org/markup-compatibility/2006">
      <mc:Choice Requires="x14">
        <oleObject progId="Equation.3" shapeId="6211" r:id="rId7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1" r:id="rId71"/>
      </mc:Fallback>
    </mc:AlternateContent>
    <mc:AlternateContent xmlns:mc="http://schemas.openxmlformats.org/markup-compatibility/2006">
      <mc:Choice Requires="x14">
        <oleObject progId="Equation.3" shapeId="6212" r:id="rId7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2" r:id="rId72"/>
      </mc:Fallback>
    </mc:AlternateContent>
    <mc:AlternateContent xmlns:mc="http://schemas.openxmlformats.org/markup-compatibility/2006">
      <mc:Choice Requires="x14">
        <oleObject progId="Equation.3" shapeId="6213" r:id="rId7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3" r:id="rId73"/>
      </mc:Fallback>
    </mc:AlternateContent>
    <mc:AlternateContent xmlns:mc="http://schemas.openxmlformats.org/markup-compatibility/2006">
      <mc:Choice Requires="x14">
        <oleObject progId="Equation.3" shapeId="6214" r:id="rId7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4" r:id="rId74"/>
      </mc:Fallback>
    </mc:AlternateContent>
    <mc:AlternateContent xmlns:mc="http://schemas.openxmlformats.org/markup-compatibility/2006">
      <mc:Choice Requires="x14">
        <oleObject progId="Equation.3" shapeId="6215" r:id="rId7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5" r:id="rId75"/>
      </mc:Fallback>
    </mc:AlternateContent>
    <mc:AlternateContent xmlns:mc="http://schemas.openxmlformats.org/markup-compatibility/2006">
      <mc:Choice Requires="x14">
        <oleObject progId="Equation.3" shapeId="6216" r:id="rId7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6" r:id="rId76"/>
      </mc:Fallback>
    </mc:AlternateContent>
    <mc:AlternateContent xmlns:mc="http://schemas.openxmlformats.org/markup-compatibility/2006">
      <mc:Choice Requires="x14">
        <oleObject progId="Equation.3" shapeId="6217" r:id="rId7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7" r:id="rId77"/>
      </mc:Fallback>
    </mc:AlternateContent>
    <mc:AlternateContent xmlns:mc="http://schemas.openxmlformats.org/markup-compatibility/2006">
      <mc:Choice Requires="x14">
        <oleObject progId="Equation.3" shapeId="6218" r:id="rId7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8" r:id="rId78"/>
      </mc:Fallback>
    </mc:AlternateContent>
    <mc:AlternateContent xmlns:mc="http://schemas.openxmlformats.org/markup-compatibility/2006">
      <mc:Choice Requires="x14">
        <oleObject progId="Equation.3" shapeId="6219" r:id="rId7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19" r:id="rId79"/>
      </mc:Fallback>
    </mc:AlternateContent>
    <mc:AlternateContent xmlns:mc="http://schemas.openxmlformats.org/markup-compatibility/2006">
      <mc:Choice Requires="x14">
        <oleObject progId="Equation.3" shapeId="6220" r:id="rId8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0" r:id="rId80"/>
      </mc:Fallback>
    </mc:AlternateContent>
    <mc:AlternateContent xmlns:mc="http://schemas.openxmlformats.org/markup-compatibility/2006">
      <mc:Choice Requires="x14">
        <oleObject progId="Equation.3" shapeId="6221" r:id="rId81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1" r:id="rId81"/>
      </mc:Fallback>
    </mc:AlternateContent>
    <mc:AlternateContent xmlns:mc="http://schemas.openxmlformats.org/markup-compatibility/2006">
      <mc:Choice Requires="x14">
        <oleObject progId="Equation.3" shapeId="6222" r:id="rId82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2" r:id="rId82"/>
      </mc:Fallback>
    </mc:AlternateContent>
    <mc:AlternateContent xmlns:mc="http://schemas.openxmlformats.org/markup-compatibility/2006">
      <mc:Choice Requires="x14">
        <oleObject progId="Equation.3" shapeId="6223" r:id="rId83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3" r:id="rId83"/>
      </mc:Fallback>
    </mc:AlternateContent>
    <mc:AlternateContent xmlns:mc="http://schemas.openxmlformats.org/markup-compatibility/2006">
      <mc:Choice Requires="x14">
        <oleObject progId="Equation.3" shapeId="6224" r:id="rId84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4" r:id="rId84"/>
      </mc:Fallback>
    </mc:AlternateContent>
    <mc:AlternateContent xmlns:mc="http://schemas.openxmlformats.org/markup-compatibility/2006">
      <mc:Choice Requires="x14">
        <oleObject progId="Equation.3" shapeId="6225" r:id="rId85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5" r:id="rId85"/>
      </mc:Fallback>
    </mc:AlternateContent>
    <mc:AlternateContent xmlns:mc="http://schemas.openxmlformats.org/markup-compatibility/2006">
      <mc:Choice Requires="x14">
        <oleObject progId="Equation.3" shapeId="6226" r:id="rId86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6" r:id="rId86"/>
      </mc:Fallback>
    </mc:AlternateContent>
    <mc:AlternateContent xmlns:mc="http://schemas.openxmlformats.org/markup-compatibility/2006">
      <mc:Choice Requires="x14">
        <oleObject progId="Equation.3" shapeId="6227" r:id="rId87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7" r:id="rId87"/>
      </mc:Fallback>
    </mc:AlternateContent>
    <mc:AlternateContent xmlns:mc="http://schemas.openxmlformats.org/markup-compatibility/2006">
      <mc:Choice Requires="x14">
        <oleObject progId="Equation.3" shapeId="6228" r:id="rId88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8" r:id="rId88"/>
      </mc:Fallback>
    </mc:AlternateContent>
    <mc:AlternateContent xmlns:mc="http://schemas.openxmlformats.org/markup-compatibility/2006">
      <mc:Choice Requires="x14">
        <oleObject progId="Equation.3" shapeId="6229" r:id="rId89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29" r:id="rId89"/>
      </mc:Fallback>
    </mc:AlternateContent>
    <mc:AlternateContent xmlns:mc="http://schemas.openxmlformats.org/markup-compatibility/2006">
      <mc:Choice Requires="x14">
        <oleObject progId="Equation.3" shapeId="6230" r:id="rId90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30" r:id="rId90"/>
      </mc:Fallback>
    </mc:AlternateContent>
    <mc:AlternateContent xmlns:mc="http://schemas.openxmlformats.org/markup-compatibility/2006">
      <mc:Choice Requires="x14">
        <oleObject progId="Equation.3" shapeId="6231" r:id="rId91">
          <objectPr defaultSize="0" autoPict="0" r:id="rId5">
            <anchor moveWithCells="1" sizeWithCells="1">
              <from>
                <xdr:col>8</xdr:col>
                <xdr:colOff>9525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31" r:id="rId91"/>
      </mc:Fallback>
    </mc:AlternateContent>
    <mc:AlternateContent xmlns:mc="http://schemas.openxmlformats.org/markup-compatibility/2006">
      <mc:Choice Requires="x14">
        <oleObject progId="Equation.3" shapeId="6232" r:id="rId92">
          <objectPr defaultSize="0" autoPict="0" r:id="rId5">
            <anchor moveWithCells="1" sizeWithCells="1">
              <from>
                <xdr:col>8</xdr:col>
                <xdr:colOff>38100</xdr:colOff>
                <xdr:row>68</xdr:row>
                <xdr:rowOff>0</xdr:rowOff>
              </from>
              <to>
                <xdr:col>9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Equation.3" shapeId="6232" r:id="rId92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9000000}">
          <x14:formula1>
            <xm:f>'Data Sertifikat'!$B$63:$B$68</xm:f>
          </x14:formula1>
          <xm:sqref>B40:I40</xm:sqref>
        </x14:dataValidation>
        <x14:dataValidation type="list" allowBlank="1" showInputMessage="1" showErrorMessage="1" xr:uid="{00000000-0002-0000-0200-000002000000}">
          <x14:formula1>
            <xm:f>'List cetik - cetik'!$A$29:$A$30</xm:f>
          </x14:formula1>
          <xm:sqref>E19</xm:sqref>
        </x14:dataValidation>
        <x14:dataValidation type="list" allowBlank="1" showInputMessage="1" showErrorMessage="1" xr:uid="{00000000-0002-0000-0200-000003000000}">
          <x14:formula1>
            <xm:f>'List cetik - cetik'!$B$29:$B$30</xm:f>
          </x14:formula1>
          <xm:sqref>E20</xm:sqref>
        </x14:dataValidation>
        <x14:dataValidation type="list" allowBlank="1" showInputMessage="1" xr:uid="{00000000-0002-0000-0200-000004000000}">
          <x14:formula1>
            <xm:f>'List cetik - cetik'!#REF!</xm:f>
          </x14:formula1>
          <xm:sqref>S1:S2 T2</xm:sqref>
        </x14:dataValidation>
        <x14:dataValidation type="list" allowBlank="1" showInputMessage="1" showErrorMessage="1" xr:uid="{00000000-0002-0000-0200-000005000000}">
          <x14:formula1>
            <xm:f>'List cetik - cetik'!$C$1:$C$2</xm:f>
          </x14:formula1>
          <xm:sqref>C26</xm:sqref>
        </x14:dataValidation>
        <x14:dataValidation type="list" allowBlank="1" showInputMessage="1" showErrorMessage="1" xr:uid="{00000000-0002-0000-0200-000006000000}">
          <x14:formula1>
            <xm:f>#REF!</xm:f>
          </x14:formula1>
          <xm:sqref>B41</xm:sqref>
        </x14:dataValidation>
        <x14:dataValidation type="list" allowBlank="1" showInputMessage="1" xr:uid="{00000000-0002-0000-0200-000007000000}">
          <x14:formula1>
            <xm:f>Kesimpulan!$G$11:$G$12</xm:f>
          </x14:formula1>
          <xm:sqref>L2</xm:sqref>
        </x14:dataValidation>
        <x14:dataValidation type="list" allowBlank="1" showInputMessage="1" showErrorMessage="1" xr:uid="{00000000-0002-0000-0200-000008000000}">
          <x14:formula1>
            <xm:f>'List cetik - cetik'!$A$77:$A$100</xm:f>
          </x14:formula1>
          <xm:sqref>B49:D49</xm:sqref>
        </x14:dataValidation>
        <x14:dataValidation type="list" allowBlank="1" showInputMessage="1" showErrorMessage="1" xr:uid="{00000000-0002-0000-0200-00000A000000}">
          <x14:formula1>
            <xm:f>'DB Thermohygro'!$A$354:$A$371</xm:f>
          </x14:formula1>
          <xm:sqref>B42:H42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4"/>
  <sheetViews>
    <sheetView showGridLines="0" tabSelected="1" view="pageBreakPreview" topLeftCell="A8" zoomScale="80" zoomScaleNormal="100" zoomScaleSheetLayoutView="80" workbookViewId="0">
      <selection activeCell="I18" sqref="I18"/>
    </sheetView>
  </sheetViews>
  <sheetFormatPr defaultColWidth="9.140625" defaultRowHeight="12.75" x14ac:dyDescent="0.2"/>
  <cols>
    <col min="1" max="1" width="4.42578125" style="40" customWidth="1"/>
    <col min="2" max="2" width="4.140625" style="40" customWidth="1"/>
    <col min="3" max="3" width="22" style="40" customWidth="1"/>
    <col min="4" max="4" width="11.7109375" style="40" customWidth="1"/>
    <col min="5" max="5" width="12.85546875" style="40" customWidth="1"/>
    <col min="6" max="6" width="15.42578125" style="40" customWidth="1"/>
    <col min="7" max="7" width="7.28515625" style="40" customWidth="1"/>
    <col min="8" max="8" width="14.5703125" style="40" customWidth="1"/>
    <col min="9" max="9" width="4.140625" style="40" bestFit="1" customWidth="1"/>
    <col min="10" max="10" width="15.28515625" style="40" customWidth="1"/>
    <col min="11" max="11" width="7.42578125" style="40" customWidth="1"/>
    <col min="12" max="12" width="5.7109375" style="60" customWidth="1"/>
    <col min="13" max="13" width="10" style="40" customWidth="1"/>
    <col min="14" max="14" width="17.42578125" style="40" customWidth="1"/>
    <col min="15" max="15" width="6.85546875" style="40" customWidth="1"/>
    <col min="16" max="23" width="4.7109375" style="40" customWidth="1"/>
    <col min="24" max="16384" width="9.140625" style="40"/>
  </cols>
  <sheetData>
    <row r="1" spans="1:14" ht="18.75" x14ac:dyDescent="0.2">
      <c r="A1" s="588" t="s">
        <v>231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39"/>
      <c r="N1" s="39"/>
    </row>
    <row r="2" spans="1:14" ht="17.25" customHeight="1" x14ac:dyDescent="0.2">
      <c r="A2" s="214" t="str">
        <f>ID!H2&amp;" "&amp;ID!I2</f>
        <v>Nomor Sertifikat : 42 / 1 / X - 22 / E - 00.000 DL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74"/>
      <c r="N2" s="74"/>
    </row>
    <row r="3" spans="1:14" ht="15.75" customHeight="1" x14ac:dyDescent="0.2">
      <c r="B3" s="225"/>
      <c r="C3" s="225"/>
      <c r="D3" s="225"/>
      <c r="E3" s="225"/>
      <c r="F3" s="225"/>
      <c r="G3" s="225"/>
      <c r="H3" s="225"/>
      <c r="I3" s="225"/>
      <c r="J3" s="225"/>
      <c r="K3" s="209"/>
      <c r="L3" s="59"/>
      <c r="M3" s="58"/>
      <c r="N3" s="58"/>
    </row>
    <row r="4" spans="1:14" ht="15" x14ac:dyDescent="0.2">
      <c r="A4" s="178" t="str">
        <f>ID!A4</f>
        <v>Merek</v>
      </c>
      <c r="C4" s="178"/>
      <c r="D4" s="226" t="s">
        <v>20</v>
      </c>
      <c r="E4" s="178" t="str">
        <f>ID!E4</f>
        <v>GEA - MEDICAL</v>
      </c>
      <c r="F4" s="178"/>
      <c r="G4" s="178"/>
      <c r="H4" s="178"/>
      <c r="I4" s="178"/>
      <c r="J4" s="178"/>
      <c r="K4" s="211"/>
      <c r="L4" s="76"/>
      <c r="M4" s="75"/>
      <c r="N4" s="75"/>
    </row>
    <row r="5" spans="1:14" ht="15" x14ac:dyDescent="0.2">
      <c r="A5" s="178" t="str">
        <f>ID!A5</f>
        <v>Model/Tipe</v>
      </c>
      <c r="C5" s="178"/>
      <c r="D5" s="226" t="s">
        <v>20</v>
      </c>
      <c r="E5" s="178" t="str">
        <f>ID!E5</f>
        <v>XHZ - 90</v>
      </c>
      <c r="F5" s="178"/>
      <c r="G5" s="178"/>
      <c r="H5" s="178"/>
      <c r="I5" s="178"/>
      <c r="J5" s="178"/>
      <c r="K5" s="211"/>
      <c r="L5" s="76"/>
      <c r="M5" s="75"/>
      <c r="N5" s="75"/>
    </row>
    <row r="6" spans="1:14" ht="15" x14ac:dyDescent="0.2">
      <c r="A6" s="178" t="str">
        <f>ID!A6</f>
        <v>No. Seri</v>
      </c>
      <c r="C6" s="178"/>
      <c r="D6" s="226" t="s">
        <v>20</v>
      </c>
      <c r="E6" s="178" t="str">
        <f>ID!E6</f>
        <v>42140204033</v>
      </c>
      <c r="F6" s="178"/>
      <c r="G6" s="178"/>
      <c r="H6" s="178"/>
      <c r="I6" s="178"/>
      <c r="J6" s="178"/>
      <c r="K6" s="211"/>
      <c r="L6" s="76"/>
      <c r="M6" s="75"/>
      <c r="N6" s="75"/>
    </row>
    <row r="7" spans="1:14" ht="15" x14ac:dyDescent="0.2">
      <c r="A7" s="178" t="str">
        <f>ID!A7</f>
        <v>Tanggal Penerimaan Alat</v>
      </c>
      <c r="C7" s="178"/>
      <c r="D7" s="226" t="s">
        <v>20</v>
      </c>
      <c r="E7" s="178" t="str">
        <f>ID!E7</f>
        <v>12 Mei 2022</v>
      </c>
      <c r="F7" s="178"/>
      <c r="G7" s="178"/>
      <c r="H7" s="178"/>
      <c r="I7" s="178"/>
      <c r="J7" s="178"/>
      <c r="K7" s="211"/>
      <c r="L7" s="76"/>
      <c r="M7" s="75"/>
      <c r="N7" s="75"/>
    </row>
    <row r="8" spans="1:14" ht="15" x14ac:dyDescent="0.2">
      <c r="A8" s="178" t="str">
        <f>ID!A8</f>
        <v>Tanggal Pengujian</v>
      </c>
      <c r="C8" s="178"/>
      <c r="D8" s="226" t="s">
        <v>20</v>
      </c>
      <c r="E8" s="178" t="str">
        <f>ID!E8</f>
        <v>12 Mei 2022</v>
      </c>
      <c r="F8" s="178"/>
      <c r="G8" s="178"/>
      <c r="H8" s="178"/>
      <c r="I8" s="178"/>
      <c r="J8" s="178"/>
      <c r="K8" s="211"/>
      <c r="L8" s="76"/>
      <c r="M8" s="75"/>
      <c r="N8" s="75"/>
    </row>
    <row r="9" spans="1:14" ht="15" x14ac:dyDescent="0.2">
      <c r="A9" s="178" t="str">
        <f>ID!A9</f>
        <v>Tempat Pengujian</v>
      </c>
      <c r="C9" s="178"/>
      <c r="D9" s="226" t="s">
        <v>20</v>
      </c>
      <c r="E9" s="178" t="str">
        <f>ID!E9</f>
        <v>Ruang Perinatologi</v>
      </c>
      <c r="F9" s="178"/>
      <c r="G9" s="178"/>
      <c r="H9" s="178"/>
      <c r="I9" s="178"/>
      <c r="J9" s="178"/>
      <c r="K9" s="211"/>
      <c r="L9" s="76"/>
      <c r="M9" s="75"/>
      <c r="N9" s="75"/>
    </row>
    <row r="10" spans="1:14" ht="15" x14ac:dyDescent="0.2">
      <c r="A10" s="178" t="str">
        <f>ID!A10</f>
        <v>Nama Ruang</v>
      </c>
      <c r="C10" s="178"/>
      <c r="D10" s="226" t="s">
        <v>20</v>
      </c>
      <c r="E10" s="178" t="str">
        <f>ID!E10</f>
        <v>Ruang Perinatologi</v>
      </c>
      <c r="F10" s="178"/>
      <c r="G10" s="178"/>
      <c r="H10" s="178"/>
      <c r="I10" s="178"/>
      <c r="J10" s="178"/>
      <c r="K10" s="211"/>
      <c r="L10" s="76"/>
      <c r="M10" s="75"/>
      <c r="N10" s="75"/>
    </row>
    <row r="11" spans="1:14" ht="15" x14ac:dyDescent="0.2">
      <c r="A11" s="178" t="str">
        <f>ID!A11</f>
        <v>Metode Kerja</v>
      </c>
      <c r="C11" s="178"/>
      <c r="D11" s="226" t="s">
        <v>20</v>
      </c>
      <c r="E11" s="178" t="str">
        <f>ID!E11</f>
        <v>MK 038 - 18</v>
      </c>
      <c r="F11" s="178"/>
      <c r="G11" s="178"/>
      <c r="H11" s="178"/>
      <c r="I11" s="178"/>
      <c r="J11" s="178"/>
      <c r="K11" s="211"/>
      <c r="L11" s="76"/>
      <c r="M11" s="75"/>
      <c r="N11" s="75"/>
    </row>
    <row r="12" spans="1:14" ht="15" x14ac:dyDescent="0.2">
      <c r="B12" s="178"/>
      <c r="C12" s="178"/>
      <c r="D12" s="178"/>
      <c r="E12" s="178"/>
      <c r="F12" s="178"/>
      <c r="G12" s="178"/>
      <c r="H12" s="178"/>
      <c r="I12" s="178"/>
      <c r="J12" s="178"/>
      <c r="K12" s="211"/>
      <c r="L12" s="76"/>
      <c r="M12" s="75"/>
      <c r="N12" s="75"/>
    </row>
    <row r="13" spans="1:14" ht="15.75" x14ac:dyDescent="0.2">
      <c r="A13" s="182" t="s">
        <v>10</v>
      </c>
      <c r="B13" s="182" t="s">
        <v>11</v>
      </c>
      <c r="D13" s="182"/>
      <c r="E13" s="182"/>
      <c r="F13" s="182"/>
      <c r="G13" s="182"/>
      <c r="H13" s="182"/>
      <c r="I13" s="182"/>
      <c r="J13" s="182"/>
      <c r="K13" s="213"/>
      <c r="L13" s="77"/>
      <c r="M13" s="78"/>
      <c r="N13" s="75"/>
    </row>
    <row r="14" spans="1:14" ht="15" x14ac:dyDescent="0.2">
      <c r="B14" s="178" t="s">
        <v>15</v>
      </c>
      <c r="D14" s="226" t="s">
        <v>20</v>
      </c>
      <c r="E14" s="542">
        <f>'DB Thermohygro'!M338</f>
        <v>28.920002</v>
      </c>
      <c r="F14" s="543" t="s">
        <v>613</v>
      </c>
      <c r="G14" s="544">
        <f>'DB Thermohygro'!O338</f>
        <v>0.3</v>
      </c>
      <c r="H14" s="197" t="str">
        <f>'DB Thermohygro'!N342</f>
        <v xml:space="preserve"> °C</v>
      </c>
      <c r="I14" s="178"/>
      <c r="J14" s="178"/>
      <c r="K14" s="211"/>
      <c r="L14" s="76"/>
      <c r="M14" s="75"/>
      <c r="N14" s="75"/>
    </row>
    <row r="15" spans="1:14" ht="15" x14ac:dyDescent="0.2">
      <c r="B15" s="178" t="s">
        <v>17</v>
      </c>
      <c r="D15" s="226" t="s">
        <v>20</v>
      </c>
      <c r="E15" s="542">
        <f>'DB Thermohygro'!M339</f>
        <v>67.920001999999997</v>
      </c>
      <c r="F15" s="543" t="s">
        <v>613</v>
      </c>
      <c r="G15" s="544">
        <f>'DB Thermohygro'!O339</f>
        <v>2</v>
      </c>
      <c r="H15" s="197" t="str">
        <f>'DB Thermohygro'!N343</f>
        <v xml:space="preserve"> %RH</v>
      </c>
      <c r="I15" s="178"/>
      <c r="J15" s="178"/>
      <c r="K15" s="211"/>
      <c r="L15" s="76"/>
      <c r="M15" s="75"/>
      <c r="N15" s="75"/>
    </row>
    <row r="16" spans="1:14" ht="15" x14ac:dyDescent="0.2">
      <c r="B16" s="178" t="s">
        <v>19</v>
      </c>
      <c r="D16" s="226" t="s">
        <v>20</v>
      </c>
      <c r="E16" s="544">
        <f>'DB ESA'!N268</f>
        <v>221.41948295165395</v>
      </c>
      <c r="F16" s="543"/>
      <c r="G16" s="206"/>
      <c r="H16" s="197" t="s">
        <v>21</v>
      </c>
      <c r="I16" s="178"/>
      <c r="J16" s="178"/>
      <c r="K16" s="211"/>
      <c r="L16" s="76"/>
      <c r="M16" s="75"/>
      <c r="N16" s="75"/>
    </row>
    <row r="17" spans="1:28" ht="15.75" customHeight="1" x14ac:dyDescent="0.2">
      <c r="B17" s="178"/>
      <c r="C17" s="178"/>
      <c r="D17" s="178"/>
      <c r="E17" s="178"/>
      <c r="F17" s="178"/>
      <c r="G17" s="178"/>
      <c r="H17" s="178"/>
      <c r="I17" s="178"/>
      <c r="J17" s="178"/>
      <c r="K17" s="211"/>
      <c r="L17" s="76"/>
      <c r="M17" s="75"/>
      <c r="N17" s="75"/>
    </row>
    <row r="18" spans="1:28" ht="15" x14ac:dyDescent="0.2">
      <c r="A18" s="182" t="s">
        <v>22</v>
      </c>
      <c r="B18" s="182" t="s">
        <v>23</v>
      </c>
      <c r="D18" s="182"/>
      <c r="E18" s="182"/>
      <c r="F18" s="182"/>
      <c r="G18" s="182"/>
      <c r="H18" s="182"/>
      <c r="I18" s="182"/>
      <c r="J18" s="182"/>
      <c r="K18" s="213"/>
      <c r="L18" s="76"/>
      <c r="M18" s="75"/>
      <c r="N18" s="75"/>
      <c r="O18" s="248" t="s">
        <v>14</v>
      </c>
    </row>
    <row r="19" spans="1:28" ht="15" x14ac:dyDescent="0.2">
      <c r="B19" s="178" t="s">
        <v>24</v>
      </c>
      <c r="D19" s="226" t="s">
        <v>20</v>
      </c>
      <c r="E19" s="178" t="str">
        <f>ID!E19</f>
        <v>Baik</v>
      </c>
      <c r="F19" s="178"/>
      <c r="G19" s="178"/>
      <c r="H19" s="178"/>
      <c r="I19" s="178"/>
      <c r="J19" s="178"/>
      <c r="K19" s="211"/>
      <c r="L19" s="254">
        <f>O19</f>
        <v>5</v>
      </c>
      <c r="M19" s="75"/>
      <c r="N19" s="75"/>
      <c r="O19" s="249">
        <f>IF(E19="baik",5,IF(E19="Tidak Baik",0))</f>
        <v>5</v>
      </c>
    </row>
    <row r="20" spans="1:28" ht="15" x14ac:dyDescent="0.2">
      <c r="B20" s="178" t="s">
        <v>26</v>
      </c>
      <c r="D20" s="226" t="s">
        <v>20</v>
      </c>
      <c r="E20" s="178" t="str">
        <f>ID!E20</f>
        <v>Baik</v>
      </c>
      <c r="F20" s="178"/>
      <c r="G20" s="178"/>
      <c r="H20" s="178"/>
      <c r="I20" s="178"/>
      <c r="J20" s="178"/>
      <c r="K20" s="211"/>
      <c r="L20" s="254">
        <f>O20</f>
        <v>5</v>
      </c>
      <c r="M20" s="75"/>
      <c r="N20" s="75"/>
      <c r="O20" s="249">
        <f>IF(E20="baik",5,IF(E20="Tidak Baik",0))</f>
        <v>5</v>
      </c>
    </row>
    <row r="21" spans="1:28" ht="15.75" customHeight="1" x14ac:dyDescent="0.2">
      <c r="B21" s="178"/>
      <c r="C21" s="178"/>
      <c r="D21" s="178"/>
      <c r="E21" s="178"/>
      <c r="F21" s="178"/>
      <c r="G21" s="178"/>
      <c r="H21" s="178"/>
      <c r="I21" s="178"/>
      <c r="J21" s="178"/>
      <c r="K21" s="211"/>
      <c r="L21" s="76"/>
      <c r="M21" s="75"/>
      <c r="N21" s="75"/>
    </row>
    <row r="22" spans="1:28" ht="15" x14ac:dyDescent="0.2">
      <c r="A22" s="182" t="s">
        <v>27</v>
      </c>
      <c r="B22" s="182" t="s">
        <v>28</v>
      </c>
      <c r="D22" s="178"/>
      <c r="E22" s="178"/>
      <c r="F22" s="178"/>
      <c r="G22" s="187"/>
      <c r="H22" s="188"/>
      <c r="I22" s="188"/>
      <c r="J22" s="227"/>
      <c r="K22" s="211"/>
      <c r="L22" s="75"/>
      <c r="M22" s="75"/>
      <c r="N22" s="75"/>
    </row>
    <row r="23" spans="1:28" ht="12" customHeight="1" x14ac:dyDescent="0.2">
      <c r="B23" s="597" t="s">
        <v>29</v>
      </c>
      <c r="C23" s="605" t="s">
        <v>30</v>
      </c>
      <c r="D23" s="606"/>
      <c r="E23" s="606"/>
      <c r="F23" s="606"/>
      <c r="G23" s="622"/>
      <c r="H23" s="605" t="s">
        <v>31</v>
      </c>
      <c r="I23" s="622"/>
      <c r="J23" s="228" t="s">
        <v>32</v>
      </c>
      <c r="K23" s="229"/>
      <c r="M23" s="79"/>
    </row>
    <row r="24" spans="1:28" ht="18" customHeight="1" x14ac:dyDescent="0.2">
      <c r="B24" s="598"/>
      <c r="C24" s="607"/>
      <c r="D24" s="608"/>
      <c r="E24" s="608"/>
      <c r="F24" s="608"/>
      <c r="G24" s="623"/>
      <c r="H24" s="624"/>
      <c r="I24" s="625"/>
      <c r="J24" s="230" t="s">
        <v>33</v>
      </c>
      <c r="K24" s="229"/>
      <c r="M24" s="43"/>
      <c r="O24" s="250" t="s">
        <v>14</v>
      </c>
    </row>
    <row r="25" spans="1:28" ht="18" customHeight="1" x14ac:dyDescent="0.2">
      <c r="B25" s="191">
        <v>1</v>
      </c>
      <c r="C25" s="231" t="str">
        <f>ID!C24</f>
        <v xml:space="preserve">Resistansi isolasi </v>
      </c>
      <c r="D25" s="192"/>
      <c r="E25" s="192"/>
      <c r="F25" s="192"/>
      <c r="G25" s="192"/>
      <c r="H25" s="214" t="str">
        <f>IFERROR('DB ESA'!O269,"-")</f>
        <v>OL</v>
      </c>
      <c r="I25" s="543" t="str">
        <f>ID!J24</f>
        <v>MΩ</v>
      </c>
      <c r="J25" s="551" t="str">
        <f>ID!K24</f>
        <v>&gt; 2 MΩ</v>
      </c>
      <c r="K25" s="232"/>
      <c r="L25" s="255">
        <f>O25</f>
        <v>10</v>
      </c>
      <c r="M25" s="45"/>
      <c r="O25" s="251">
        <f>IF(H25="-",10,IF(H25="OL",10,IF(H25="NC",10,IF(H25&gt;=2,10,IF(H25&lt;2,0)))))</f>
        <v>10</v>
      </c>
    </row>
    <row r="26" spans="1:28" ht="18" customHeight="1" x14ac:dyDescent="0.2">
      <c r="B26" s="191">
        <v>2</v>
      </c>
      <c r="C26" s="231" t="str">
        <f>ID!C25</f>
        <v>Resistansi pembumian protektif</v>
      </c>
      <c r="D26" s="192"/>
      <c r="E26" s="192"/>
      <c r="F26" s="192"/>
      <c r="G26" s="192"/>
      <c r="H26" s="992">
        <f>IFERROR('DB ESA'!O270,"-")</f>
        <v>9.987293384467881E-2</v>
      </c>
      <c r="I26" s="543" t="str">
        <f>ID!J25</f>
        <v>Ω</v>
      </c>
      <c r="J26" s="551" t="str">
        <f>ID!K25</f>
        <v>≤ 0.2 Ω</v>
      </c>
      <c r="K26" s="232"/>
      <c r="L26" s="255">
        <f t="shared" ref="L26:L27" si="0">O26</f>
        <v>10</v>
      </c>
      <c r="M26" s="45"/>
      <c r="N26" s="94"/>
      <c r="O26" s="251">
        <f>IF(H26="-",10,IF(H26="OL",10,IF(H26="NC",10,IF(H26&gt;=0.2,0,IF(H26&lt;0.2,10)))))</f>
        <v>10</v>
      </c>
      <c r="P26" s="95"/>
    </row>
    <row r="27" spans="1:28" ht="18" customHeight="1" x14ac:dyDescent="0.2">
      <c r="B27" s="191">
        <v>3</v>
      </c>
      <c r="C27" s="231" t="str">
        <f>ID!C26</f>
        <v>Arus bocor peralatan untuk peralatan elektromedik kelas I</v>
      </c>
      <c r="D27" s="192"/>
      <c r="E27" s="192"/>
      <c r="F27" s="192"/>
      <c r="G27" s="192"/>
      <c r="H27" s="214">
        <f>'DB ESA'!O271</f>
        <v>120.59114423016506</v>
      </c>
      <c r="I27" s="543" t="str">
        <f>ID!J26</f>
        <v>µA</v>
      </c>
      <c r="J27" s="194" t="str">
        <f>ID!K26</f>
        <v>≤ 500 µA</v>
      </c>
      <c r="K27" s="216"/>
      <c r="L27" s="255">
        <f t="shared" si="0"/>
        <v>20</v>
      </c>
      <c r="M27" s="45"/>
      <c r="N27" s="94"/>
      <c r="O27" s="251">
        <f>IF(H27="-",20,IF(H27="OL",20,IF(H27="NC",20,IF(H27&gt;ID!L26,0,IF(H27&lt;ID!L26,20)))))</f>
        <v>20</v>
      </c>
      <c r="P27" s="95"/>
    </row>
    <row r="28" spans="1:28" ht="15.75" customHeight="1" x14ac:dyDescent="0.2">
      <c r="B28" s="196"/>
      <c r="C28" s="178"/>
      <c r="D28" s="178"/>
      <c r="E28" s="178"/>
      <c r="F28" s="178"/>
      <c r="G28" s="178"/>
      <c r="H28" s="178"/>
      <c r="I28" s="178"/>
      <c r="J28" s="233"/>
      <c r="K28" s="211"/>
      <c r="L28" s="75"/>
      <c r="N28" s="80"/>
      <c r="O28" s="46"/>
      <c r="P28" s="46"/>
      <c r="Q28" s="47"/>
      <c r="R28" s="47"/>
      <c r="S28" s="48"/>
      <c r="T28" s="49"/>
      <c r="U28" s="50"/>
      <c r="V28" s="47"/>
      <c r="W28" s="47"/>
      <c r="X28" s="47"/>
      <c r="Y28" s="47"/>
      <c r="Z28" s="47"/>
      <c r="AA28" s="47"/>
      <c r="AB28" s="47"/>
    </row>
    <row r="29" spans="1:28" ht="15" x14ac:dyDescent="0.2">
      <c r="A29" s="182" t="s">
        <v>43</v>
      </c>
      <c r="B29" s="182" t="s">
        <v>44</v>
      </c>
      <c r="D29" s="182"/>
      <c r="E29" s="182"/>
      <c r="F29" s="182"/>
      <c r="G29" s="182"/>
      <c r="H29" s="196"/>
      <c r="I29" s="196"/>
      <c r="J29" s="178"/>
      <c r="K29" s="211"/>
      <c r="L29" s="76"/>
      <c r="M29" s="75"/>
      <c r="N29" s="75"/>
      <c r="O29" s="51"/>
      <c r="P29" s="626"/>
      <c r="Q29" s="626"/>
      <c r="R29" s="626"/>
      <c r="S29" s="626"/>
      <c r="T29" s="626"/>
      <c r="U29" s="626"/>
      <c r="V29" s="626"/>
      <c r="W29" s="626"/>
      <c r="X29" s="626"/>
      <c r="Y29" s="627"/>
      <c r="Z29" s="627"/>
      <c r="AA29" s="627"/>
      <c r="AB29" s="627"/>
    </row>
    <row r="30" spans="1:28" ht="12.75" customHeight="1" x14ac:dyDescent="0.2">
      <c r="B30" s="590" t="s">
        <v>29</v>
      </c>
      <c r="C30" s="590" t="s">
        <v>30</v>
      </c>
      <c r="D30" s="628" t="s">
        <v>45</v>
      </c>
      <c r="E30" s="593" t="s">
        <v>46</v>
      </c>
      <c r="F30" s="628" t="s">
        <v>47</v>
      </c>
      <c r="G30" s="632"/>
      <c r="H30" s="631" t="s">
        <v>232</v>
      </c>
      <c r="I30" s="545"/>
      <c r="J30" s="550"/>
      <c r="K30" s="211"/>
      <c r="L30" s="224"/>
      <c r="M30" s="76"/>
      <c r="N30" s="75"/>
      <c r="O30" s="51"/>
      <c r="P30" s="81"/>
      <c r="Q30" s="51"/>
      <c r="R30" s="51"/>
      <c r="S30" s="51"/>
      <c r="T30" s="51"/>
      <c r="U30" s="51"/>
      <c r="V30" s="51"/>
      <c r="W30" s="51"/>
      <c r="X30" s="51"/>
      <c r="Y30" s="52"/>
      <c r="Z30" s="53"/>
      <c r="AA30" s="53"/>
      <c r="AB30" s="53"/>
    </row>
    <row r="31" spans="1:28" ht="28.5" customHeight="1" x14ac:dyDescent="0.25">
      <c r="B31" s="591"/>
      <c r="C31" s="591"/>
      <c r="D31" s="629"/>
      <c r="E31" s="593"/>
      <c r="F31" s="629"/>
      <c r="G31" s="633"/>
      <c r="H31" s="631"/>
      <c r="I31" s="545"/>
      <c r="J31" s="550"/>
      <c r="K31" s="216"/>
      <c r="L31" s="224"/>
      <c r="M31" s="75"/>
      <c r="N31" s="75"/>
      <c r="O31" s="52" t="s">
        <v>233</v>
      </c>
      <c r="P31" s="7" t="s">
        <v>141</v>
      </c>
      <c r="Q31" s="7" t="s">
        <v>146</v>
      </c>
      <c r="R31" s="7" t="s">
        <v>147</v>
      </c>
      <c r="S31" s="7" t="s">
        <v>151</v>
      </c>
      <c r="T31" s="7" t="s">
        <v>133</v>
      </c>
      <c r="U31" s="7" t="s">
        <v>152</v>
      </c>
      <c r="V31" s="47"/>
      <c r="W31" s="47"/>
      <c r="X31" s="47"/>
      <c r="Y31" s="47"/>
      <c r="Z31" s="54"/>
      <c r="AA31" s="630"/>
      <c r="AB31" s="630"/>
    </row>
    <row r="32" spans="1:28" ht="81" customHeight="1" x14ac:dyDescent="0.2">
      <c r="B32" s="184">
        <v>1</v>
      </c>
      <c r="C32" s="198" t="str">
        <f>ID!C31</f>
        <v>Spectral Radiance (µW/cm2 )</v>
      </c>
      <c r="D32" s="193" t="s">
        <v>130</v>
      </c>
      <c r="E32" s="214">
        <f>'Data Sertifikat'!K52</f>
        <v>186.27300000000002</v>
      </c>
      <c r="F32" s="214" t="str">
        <f>ID!K66</f>
        <v xml:space="preserve">≥ 176 µW/cm² </v>
      </c>
      <c r="G32" s="214"/>
      <c r="H32" s="214">
        <f>UB!J10</f>
        <v>1.2595850994617943</v>
      </c>
      <c r="I32" s="546"/>
      <c r="J32" s="206"/>
      <c r="K32" s="234"/>
      <c r="L32" s="255">
        <f>O32</f>
        <v>50</v>
      </c>
      <c r="M32" s="75"/>
      <c r="N32" s="75"/>
      <c r="O32" s="252">
        <f>HLOOKUP(B42,P31:U32,2,0)</f>
        <v>50</v>
      </c>
      <c r="P32" s="251">
        <f>IF(E32&gt;=176,50,IF(E32&lt;176,0))</f>
        <v>50</v>
      </c>
      <c r="Q32" s="251">
        <f>IF(E32&gt;=176,50,IF(E32&lt;176,0))</f>
        <v>50</v>
      </c>
      <c r="R32" s="251">
        <f>IF(F32&gt;=4,50,IF(F32&lt;4,0))</f>
        <v>50</v>
      </c>
      <c r="S32" s="251">
        <f>IF(E32&gt;=176,50,IF(E32&lt;176,0))</f>
        <v>50</v>
      </c>
      <c r="T32" s="251">
        <f>IF(E32&gt;=176,50,IF(E32&lt;176,0))</f>
        <v>50</v>
      </c>
      <c r="U32" s="251">
        <f>IF(E32&gt;=176,50,IF(E32&lt;176,0))</f>
        <v>50</v>
      </c>
      <c r="V32" s="47"/>
      <c r="W32" s="47"/>
      <c r="X32" s="47"/>
      <c r="Y32" s="47"/>
      <c r="Z32" s="55"/>
      <c r="AA32" s="630"/>
      <c r="AB32" s="630"/>
    </row>
    <row r="33" spans="1:28" ht="15.75" customHeight="1" x14ac:dyDescent="0.2">
      <c r="B33" s="216"/>
      <c r="C33" s="216"/>
      <c r="D33" s="217"/>
      <c r="E33" s="216"/>
      <c r="F33" s="216"/>
      <c r="G33" s="216"/>
      <c r="H33" s="216"/>
      <c r="I33" s="216"/>
      <c r="J33" s="216"/>
      <c r="K33" s="216"/>
      <c r="L33" s="82"/>
      <c r="M33" s="82"/>
      <c r="N33" s="76"/>
      <c r="O33" s="52"/>
      <c r="P33" s="634"/>
      <c r="Q33" s="634"/>
      <c r="R33" s="634"/>
      <c r="S33" s="634"/>
      <c r="T33" s="634"/>
      <c r="U33" s="634"/>
      <c r="V33" s="634"/>
      <c r="W33" s="634"/>
      <c r="X33" s="634"/>
      <c r="Y33" s="47"/>
      <c r="Z33" s="55"/>
      <c r="AA33" s="630"/>
      <c r="AB33" s="630"/>
    </row>
    <row r="34" spans="1:28" ht="15.75" x14ac:dyDescent="0.2">
      <c r="A34" s="213" t="s">
        <v>56</v>
      </c>
      <c r="B34" s="213" t="s">
        <v>57</v>
      </c>
      <c r="D34" s="211"/>
      <c r="E34" s="211"/>
      <c r="F34" s="211"/>
      <c r="G34" s="211"/>
      <c r="H34" s="211"/>
      <c r="I34" s="211"/>
      <c r="J34" s="211"/>
      <c r="K34" s="211"/>
      <c r="L34" s="44"/>
      <c r="M34" s="43"/>
      <c r="N34" s="43"/>
      <c r="O34" s="52"/>
      <c r="P34" s="634"/>
      <c r="Q34" s="634"/>
      <c r="R34" s="634"/>
      <c r="S34" s="634"/>
      <c r="T34" s="634"/>
      <c r="U34" s="634"/>
      <c r="V34" s="634"/>
      <c r="W34" s="634"/>
      <c r="X34" s="634"/>
      <c r="Y34" s="47"/>
      <c r="Z34" s="55"/>
      <c r="AA34" s="630"/>
      <c r="AB34" s="630"/>
    </row>
    <row r="35" spans="1:28" ht="15.75" x14ac:dyDescent="0.2">
      <c r="B35" s="217" t="str">
        <f>ID!B34</f>
        <v>Ketidakpastian pengukuran diperoleh dari sumber kesalalahan tipe A dan tipe B</v>
      </c>
      <c r="D35" s="211"/>
      <c r="E35" s="211"/>
      <c r="F35" s="211"/>
      <c r="G35" s="211"/>
      <c r="H35" s="211"/>
      <c r="I35" s="211"/>
      <c r="J35" s="211"/>
      <c r="K35" s="211"/>
      <c r="L35" s="44"/>
      <c r="M35" s="43"/>
      <c r="N35" s="43"/>
      <c r="O35" s="52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55"/>
      <c r="AA35" s="630"/>
      <c r="AB35" s="630"/>
    </row>
    <row r="36" spans="1:28" ht="15.75" x14ac:dyDescent="0.2">
      <c r="B36" s="217" t="str">
        <f>ID!B35</f>
        <v>Hasil pengukuran keselamatan listrik tertelusur ke Satuan Internasional ( SI ) melalui PT. Kaliman (LK-032-IDN)</v>
      </c>
      <c r="D36" s="211"/>
      <c r="E36" s="211"/>
      <c r="F36" s="211"/>
      <c r="G36" s="211"/>
      <c r="H36" s="211"/>
      <c r="I36" s="211"/>
      <c r="J36" s="211"/>
      <c r="K36" s="211"/>
      <c r="L36" s="44"/>
      <c r="M36" s="43"/>
      <c r="N36" s="43"/>
      <c r="O36" s="52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55"/>
      <c r="AA36" s="56"/>
      <c r="AB36" s="56"/>
    </row>
    <row r="37" spans="1:28" ht="15.75" x14ac:dyDescent="0.2">
      <c r="B37" s="217" t="str">
        <f>ID!B36</f>
        <v>Hasil pengujian kinerja spectral radiance tertelusur ke Laboratorium Standar Nasional Satuan Ukuran, Badan Standarisasi Nasional (SNSU-BSN)</v>
      </c>
      <c r="D37" s="211"/>
      <c r="E37" s="211"/>
      <c r="F37" s="211"/>
      <c r="G37" s="211"/>
      <c r="H37" s="211"/>
      <c r="I37" s="211"/>
      <c r="J37" s="211"/>
      <c r="K37" s="211"/>
      <c r="L37" s="44"/>
      <c r="M37" s="43"/>
      <c r="N37" s="43"/>
      <c r="O37" s="52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55"/>
      <c r="AA37" s="56"/>
      <c r="AB37" s="56"/>
    </row>
    <row r="38" spans="1:28" ht="18" customHeight="1" x14ac:dyDescent="0.2">
      <c r="B38" s="487" t="str">
        <f>ID!B37</f>
        <v>-</v>
      </c>
      <c r="C38" s="217"/>
      <c r="D38" s="211"/>
      <c r="E38" s="211"/>
      <c r="F38" s="211"/>
      <c r="G38" s="211"/>
      <c r="H38" s="211"/>
      <c r="I38" s="211"/>
      <c r="J38" s="211"/>
      <c r="K38" s="211"/>
      <c r="L38" s="44"/>
      <c r="M38" s="43"/>
      <c r="N38" s="43"/>
      <c r="O38" s="52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55"/>
      <c r="AA38" s="630"/>
      <c r="AB38" s="630"/>
    </row>
    <row r="39" spans="1:28" ht="15.75" customHeight="1" x14ac:dyDescent="0.2">
      <c r="B39" s="211" t="str">
        <f>ID!B38</f>
        <v>-</v>
      </c>
      <c r="C39" s="217"/>
      <c r="D39" s="211"/>
      <c r="E39" s="211"/>
      <c r="F39" s="211"/>
      <c r="G39" s="211"/>
      <c r="H39" s="211"/>
      <c r="I39" s="211"/>
      <c r="J39" s="211"/>
      <c r="K39" s="211"/>
      <c r="L39" s="44"/>
      <c r="M39" s="43"/>
      <c r="N39" s="43"/>
      <c r="O39" s="52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55"/>
      <c r="AA39" s="56"/>
      <c r="AB39" s="56"/>
    </row>
    <row r="40" spans="1:28" ht="15.75" customHeight="1" x14ac:dyDescent="0.2">
      <c r="B40" s="211"/>
      <c r="C40" s="217"/>
      <c r="D40" s="211"/>
      <c r="E40" s="211"/>
      <c r="F40" s="211"/>
      <c r="G40" s="211"/>
      <c r="H40" s="211"/>
      <c r="I40" s="211"/>
      <c r="J40" s="211"/>
      <c r="K40" s="211"/>
      <c r="L40" s="44"/>
      <c r="M40" s="43"/>
      <c r="N40" s="43"/>
      <c r="O40" s="52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55"/>
      <c r="AA40" s="56"/>
      <c r="AB40" s="56"/>
    </row>
    <row r="41" spans="1:28" ht="15.75" x14ac:dyDescent="0.2">
      <c r="A41" s="213" t="s">
        <v>59</v>
      </c>
      <c r="B41" s="213" t="s">
        <v>132</v>
      </c>
      <c r="D41" s="213"/>
      <c r="E41" s="211"/>
      <c r="F41" s="211"/>
      <c r="G41" s="211"/>
      <c r="H41" s="211"/>
      <c r="I41" s="211"/>
      <c r="J41" s="211"/>
      <c r="K41" s="211"/>
      <c r="L41" s="44"/>
      <c r="M41" s="43"/>
      <c r="N41" s="43"/>
      <c r="O41" s="52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55"/>
      <c r="AA41" s="630"/>
      <c r="AB41" s="630"/>
    </row>
    <row r="42" spans="1:28" ht="15.75" x14ac:dyDescent="0.2">
      <c r="B42" s="211" t="str">
        <f>ID!B40</f>
        <v>Phototherapy Radiometer, Merek : DALE Technology, Model : DALE 40, SN : 4769005</v>
      </c>
      <c r="D42" s="211"/>
      <c r="E42" s="211"/>
      <c r="F42" s="211"/>
      <c r="G42" s="211"/>
      <c r="H42" s="211"/>
      <c r="I42" s="211"/>
      <c r="J42" s="211"/>
      <c r="K42" s="211"/>
      <c r="L42" s="44"/>
      <c r="M42" s="43"/>
      <c r="N42" s="43"/>
      <c r="O42" s="52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55"/>
      <c r="AA42" s="630"/>
      <c r="AB42" s="630"/>
    </row>
    <row r="43" spans="1:28" ht="15.75" x14ac:dyDescent="0.2">
      <c r="B43" s="211" t="str">
        <f>ID!B41</f>
        <v>Electrical Safety Analyzer, Merek : Fluke, Model : ESA 620, SN : 1837056</v>
      </c>
      <c r="D43" s="211"/>
      <c r="E43" s="211"/>
      <c r="F43" s="211"/>
      <c r="G43" s="211"/>
      <c r="H43" s="211"/>
      <c r="I43" s="211"/>
      <c r="J43" s="211"/>
      <c r="K43" s="211"/>
      <c r="L43" s="44"/>
      <c r="M43" s="43"/>
      <c r="N43" s="43"/>
    </row>
    <row r="44" spans="1:28" ht="15.75" customHeight="1" x14ac:dyDescent="0.2">
      <c r="B44" s="213"/>
      <c r="C44" s="211"/>
      <c r="D44" s="211"/>
      <c r="E44" s="211"/>
      <c r="F44" s="211"/>
      <c r="G44" s="211"/>
      <c r="H44" s="211"/>
      <c r="I44" s="211"/>
      <c r="J44" s="211"/>
      <c r="K44" s="211"/>
      <c r="L44" s="44"/>
      <c r="M44" s="43"/>
      <c r="N44" s="43"/>
    </row>
    <row r="45" spans="1:28" ht="15.75" x14ac:dyDescent="0.2">
      <c r="A45" s="213" t="s">
        <v>72</v>
      </c>
      <c r="B45" s="213" t="s">
        <v>73</v>
      </c>
      <c r="D45" s="211"/>
      <c r="E45" s="211"/>
      <c r="F45" s="211"/>
      <c r="G45" s="211"/>
      <c r="H45" s="211"/>
      <c r="I45" s="211"/>
      <c r="J45" s="211"/>
      <c r="K45" s="211"/>
      <c r="L45" s="44"/>
      <c r="M45" s="43"/>
      <c r="N45" s="43"/>
    </row>
    <row r="46" spans="1:28" ht="15.75" customHeight="1" x14ac:dyDescent="0.2">
      <c r="B46" s="636" t="str">
        <f>ID!B45</f>
        <v>Alat yang dikalibrasi dalam batas toleransi dan dinyatakan LAIK PAKAI, dimana hasil atau skor akhir sama dengan atau melampaui 70 % berdasarkan Keputusan Direktur Jenderal Pelayanan Kesehatan No : HK.02.02/V/0412/2020</v>
      </c>
      <c r="C46" s="636"/>
      <c r="D46" s="636"/>
      <c r="E46" s="636"/>
      <c r="F46" s="636"/>
      <c r="G46" s="636"/>
      <c r="H46" s="636"/>
      <c r="I46" s="636"/>
      <c r="J46" s="636"/>
      <c r="K46" s="257"/>
      <c r="L46" s="44"/>
      <c r="M46" s="43"/>
      <c r="N46" s="43"/>
    </row>
    <row r="47" spans="1:28" ht="15.75" x14ac:dyDescent="0.2">
      <c r="B47" s="636"/>
      <c r="C47" s="636"/>
      <c r="D47" s="636"/>
      <c r="E47" s="636"/>
      <c r="F47" s="636"/>
      <c r="G47" s="636"/>
      <c r="H47" s="636"/>
      <c r="I47" s="636"/>
      <c r="J47" s="636"/>
      <c r="K47" s="257"/>
      <c r="L47" s="44"/>
      <c r="M47" s="43"/>
      <c r="N47" s="43"/>
    </row>
    <row r="48" spans="1:28" ht="15.75" customHeight="1" x14ac:dyDescent="0.2">
      <c r="B48" s="213"/>
      <c r="C48" s="211"/>
      <c r="D48" s="211"/>
      <c r="E48" s="211"/>
      <c r="F48" s="211"/>
      <c r="G48" s="211"/>
      <c r="H48" s="211"/>
      <c r="I48" s="211"/>
      <c r="J48" s="211"/>
      <c r="K48" s="211"/>
      <c r="L48" s="44"/>
      <c r="M48" s="43"/>
      <c r="N48" s="43"/>
    </row>
    <row r="49" spans="1:14" ht="15.75" x14ac:dyDescent="0.2">
      <c r="A49" s="213" t="s">
        <v>75</v>
      </c>
      <c r="B49" s="213" t="s">
        <v>76</v>
      </c>
      <c r="D49" s="211"/>
      <c r="E49" s="211"/>
      <c r="F49" s="211"/>
      <c r="G49" s="211"/>
      <c r="H49" s="211"/>
      <c r="I49" s="211"/>
      <c r="J49" s="211"/>
      <c r="K49" s="211"/>
      <c r="L49" s="44"/>
      <c r="M49" s="43"/>
      <c r="N49" s="43"/>
    </row>
    <row r="50" spans="1:14" ht="15.75" x14ac:dyDescent="0.2">
      <c r="B50" s="211" t="str">
        <f>ID!B49</f>
        <v>Isra Mahensa</v>
      </c>
      <c r="D50" s="211"/>
      <c r="E50" s="211"/>
      <c r="F50" s="211"/>
      <c r="G50" s="211"/>
      <c r="H50" s="211"/>
      <c r="I50" s="211"/>
      <c r="J50" s="211"/>
      <c r="K50" s="211"/>
      <c r="L50" s="44"/>
      <c r="M50" s="43"/>
      <c r="N50" s="43"/>
    </row>
    <row r="51" spans="1:14" ht="15.75" x14ac:dyDescent="0.2">
      <c r="B51" s="211"/>
      <c r="C51" s="211"/>
      <c r="D51" s="211"/>
      <c r="E51" s="235"/>
      <c r="F51" s="235"/>
      <c r="G51" s="211"/>
      <c r="H51" s="211"/>
      <c r="I51" s="211"/>
      <c r="J51" s="211"/>
      <c r="K51" s="211"/>
      <c r="L51" s="76"/>
      <c r="M51" s="44"/>
      <c r="N51" s="43"/>
    </row>
    <row r="52" spans="1:14" ht="15.75" x14ac:dyDescent="0.2">
      <c r="B52" s="213"/>
      <c r="C52" s="219"/>
      <c r="D52" s="220"/>
      <c r="E52" s="220"/>
      <c r="F52" s="220"/>
      <c r="G52" s="220"/>
      <c r="H52" s="220"/>
      <c r="I52" s="220"/>
      <c r="J52" s="221"/>
      <c r="K52" s="211"/>
      <c r="L52" s="76"/>
      <c r="M52" s="43"/>
      <c r="N52" s="43"/>
    </row>
    <row r="53" spans="1:14" ht="15.75" x14ac:dyDescent="0.2">
      <c r="B53" s="211"/>
      <c r="C53" s="635"/>
      <c r="D53" s="635"/>
      <c r="E53" s="635"/>
      <c r="F53" s="635"/>
      <c r="G53" s="635"/>
      <c r="H53" s="635"/>
      <c r="I53" s="220"/>
      <c r="J53" s="212"/>
      <c r="K53" s="211"/>
      <c r="L53" s="76"/>
      <c r="M53" s="43"/>
      <c r="N53" s="43"/>
    </row>
    <row r="54" spans="1:14" ht="15.75" x14ac:dyDescent="0.2">
      <c r="B54" s="211"/>
      <c r="C54" s="220"/>
      <c r="D54" s="220"/>
      <c r="E54" s="220"/>
      <c r="F54" s="220"/>
      <c r="G54" s="220"/>
      <c r="H54" s="220"/>
      <c r="I54" s="220"/>
      <c r="J54" s="212"/>
      <c r="K54" s="211"/>
      <c r="L54" s="76"/>
      <c r="M54" s="43"/>
      <c r="N54" s="43"/>
    </row>
    <row r="55" spans="1:14" ht="15.75" x14ac:dyDescent="0.2">
      <c r="B55" s="211"/>
      <c r="C55" s="220"/>
      <c r="D55" s="220"/>
      <c r="E55" s="220"/>
      <c r="F55" s="220"/>
      <c r="G55" s="220"/>
      <c r="H55" s="220"/>
      <c r="I55" s="220"/>
      <c r="J55" s="212"/>
      <c r="K55" s="211"/>
      <c r="L55" s="76"/>
      <c r="M55" s="43"/>
      <c r="N55" s="43"/>
    </row>
    <row r="56" spans="1:14" ht="15.75" x14ac:dyDescent="0.2">
      <c r="B56" s="211"/>
      <c r="C56" s="635"/>
      <c r="D56" s="635"/>
      <c r="E56" s="635"/>
      <c r="F56" s="635"/>
      <c r="G56" s="635"/>
      <c r="H56" s="635"/>
      <c r="I56" s="220"/>
      <c r="J56" s="222"/>
      <c r="K56" s="211"/>
      <c r="L56" s="76"/>
      <c r="M56" s="43"/>
      <c r="N56" s="43"/>
    </row>
    <row r="57" spans="1:14" ht="15" x14ac:dyDescent="0.2">
      <c r="B57" s="211"/>
      <c r="C57" s="638"/>
      <c r="D57" s="638"/>
      <c r="E57" s="635"/>
      <c r="F57" s="635"/>
      <c r="G57" s="635"/>
      <c r="H57" s="635"/>
      <c r="I57" s="220"/>
      <c r="J57" s="211"/>
      <c r="K57" s="211"/>
      <c r="L57" s="76"/>
      <c r="M57" s="267" t="s">
        <v>234</v>
      </c>
      <c r="N57" s="269">
        <f>SUM(L19:L20)</f>
        <v>10</v>
      </c>
    </row>
    <row r="58" spans="1:14" ht="15.75" x14ac:dyDescent="0.2">
      <c r="B58" s="211"/>
      <c r="C58" s="639" t="s">
        <v>235</v>
      </c>
      <c r="D58" s="639"/>
      <c r="E58" s="639"/>
      <c r="F58" s="237" t="s">
        <v>78</v>
      </c>
      <c r="G58" s="237" t="s">
        <v>236</v>
      </c>
      <c r="H58" s="238" t="s">
        <v>237</v>
      </c>
      <c r="I58" s="547"/>
      <c r="J58" s="236"/>
      <c r="K58" s="211"/>
      <c r="L58" s="43"/>
      <c r="M58" s="268" t="s">
        <v>238</v>
      </c>
      <c r="N58" s="269">
        <f>ID!P41</f>
        <v>40</v>
      </c>
    </row>
    <row r="59" spans="1:14" ht="15.75" x14ac:dyDescent="0.2">
      <c r="B59" s="211"/>
      <c r="C59" s="262" t="s">
        <v>239</v>
      </c>
      <c r="D59" s="640" t="str">
        <f>B50</f>
        <v>Isra Mahensa</v>
      </c>
      <c r="E59" s="641"/>
      <c r="F59" s="261" t="str">
        <f>ID!B52</f>
        <v>11 Maret 2020</v>
      </c>
      <c r="G59" s="239"/>
      <c r="H59" s="574">
        <f>SUM(N57:N59)</f>
        <v>100</v>
      </c>
      <c r="I59" s="548"/>
      <c r="J59" s="236"/>
      <c r="K59" s="211"/>
      <c r="L59" s="43"/>
      <c r="M59" s="268" t="s">
        <v>240</v>
      </c>
      <c r="N59" s="269">
        <f>L32</f>
        <v>50</v>
      </c>
    </row>
    <row r="60" spans="1:14" ht="15.75" x14ac:dyDescent="0.2">
      <c r="B60" s="211"/>
      <c r="C60" s="263" t="s">
        <v>241</v>
      </c>
      <c r="D60" s="264"/>
      <c r="E60" s="260"/>
      <c r="F60" s="240"/>
      <c r="G60" s="239"/>
      <c r="H60" s="259"/>
      <c r="I60" s="549"/>
      <c r="J60" s="236"/>
      <c r="K60" s="211"/>
      <c r="L60" s="43"/>
      <c r="M60" s="43"/>
      <c r="N60" s="43"/>
    </row>
    <row r="61" spans="1:14" ht="15" x14ac:dyDescent="0.2">
      <c r="B61" s="57"/>
      <c r="C61" s="83"/>
      <c r="D61" s="83"/>
      <c r="E61" s="83"/>
      <c r="F61" s="83"/>
      <c r="G61" s="253"/>
      <c r="H61" s="83"/>
      <c r="I61" s="83"/>
      <c r="J61" s="85"/>
      <c r="K61" s="57"/>
      <c r="L61" s="57"/>
      <c r="M61" s="57"/>
      <c r="N61" s="57"/>
    </row>
    <row r="62" spans="1:14" ht="15" x14ac:dyDescent="0.2">
      <c r="B62" s="57"/>
      <c r="C62" s="83"/>
      <c r="D62" s="83"/>
      <c r="E62" s="83"/>
      <c r="F62" s="83"/>
      <c r="G62" s="84"/>
      <c r="H62" s="83"/>
      <c r="I62" s="83"/>
      <c r="J62" s="85"/>
      <c r="K62" s="57"/>
      <c r="L62" s="57"/>
      <c r="M62" s="57"/>
      <c r="N62" s="57"/>
    </row>
    <row r="63" spans="1:14" ht="15" x14ac:dyDescent="0.2">
      <c r="B63" s="57"/>
      <c r="C63" s="83"/>
      <c r="D63" s="83"/>
      <c r="E63" s="83"/>
      <c r="F63" s="83"/>
      <c r="G63" s="84"/>
      <c r="H63" s="83"/>
      <c r="I63" s="83"/>
      <c r="J63" s="85"/>
      <c r="K63" s="57"/>
      <c r="L63" s="57"/>
      <c r="M63" s="57"/>
      <c r="N63" s="57"/>
    </row>
    <row r="64" spans="1:14" ht="15" x14ac:dyDescent="0.2">
      <c r="B64" s="57"/>
      <c r="C64" s="83"/>
      <c r="D64" s="83"/>
      <c r="E64" s="83"/>
      <c r="F64" s="83"/>
      <c r="G64" s="84"/>
      <c r="H64" s="83"/>
      <c r="I64" s="83"/>
      <c r="J64" s="85"/>
      <c r="K64" s="57"/>
      <c r="L64" s="57"/>
      <c r="M64" s="57"/>
      <c r="N64" s="57"/>
    </row>
    <row r="65" spans="2:14" ht="15" x14ac:dyDescent="0.2">
      <c r="B65" s="57"/>
      <c r="C65" s="83"/>
      <c r="D65" s="83"/>
      <c r="E65" s="83"/>
      <c r="F65" s="83"/>
      <c r="G65" s="84"/>
      <c r="H65" s="83"/>
      <c r="I65" s="83"/>
      <c r="J65" s="85"/>
      <c r="K65" s="57"/>
      <c r="L65" s="57"/>
      <c r="M65" s="57"/>
      <c r="N65" s="86"/>
    </row>
    <row r="66" spans="2:14" x14ac:dyDescent="0.2">
      <c r="B66" s="637"/>
      <c r="C66" s="637"/>
      <c r="D66" s="637"/>
      <c r="E66" s="637"/>
      <c r="F66" s="637"/>
      <c r="G66" s="637"/>
      <c r="H66" s="637"/>
      <c r="I66" s="637"/>
      <c r="J66" s="637"/>
      <c r="K66" s="637"/>
      <c r="L66" s="637"/>
      <c r="M66" s="637"/>
      <c r="N66" s="637"/>
    </row>
    <row r="67" spans="2:14" x14ac:dyDescent="0.2"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</row>
    <row r="68" spans="2:1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9"/>
      <c r="M68" s="87"/>
      <c r="N68" s="58"/>
    </row>
    <row r="71" spans="2:1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9"/>
      <c r="M71" s="58"/>
      <c r="N71" s="58"/>
    </row>
    <row r="72" spans="2:14" x14ac:dyDescent="0.2">
      <c r="B72" s="58"/>
      <c r="C72" s="58"/>
      <c r="D72" s="58"/>
      <c r="E72" s="58"/>
      <c r="F72" s="58"/>
      <c r="G72" s="58"/>
      <c r="H72" s="58"/>
      <c r="I72" s="58"/>
      <c r="J72" s="88"/>
      <c r="K72" s="58"/>
      <c r="L72" s="59"/>
      <c r="M72" s="88"/>
      <c r="N72" s="58"/>
    </row>
    <row r="73" spans="2:14" x14ac:dyDescent="0.2">
      <c r="J73" s="47"/>
      <c r="M73" s="47"/>
    </row>
    <row r="74" spans="2:14" x14ac:dyDescent="0.2">
      <c r="J74" s="47"/>
      <c r="M74" s="47"/>
    </row>
  </sheetData>
  <sheetProtection formatCells="0" formatColumns="0" formatRows="0" insertColumns="0" insertRows="0" deleteColumns="0" deleteRows="0"/>
  <mergeCells count="37">
    <mergeCell ref="C56:D56"/>
    <mergeCell ref="E56:F56"/>
    <mergeCell ref="G56:H56"/>
    <mergeCell ref="B67:N67"/>
    <mergeCell ref="B66:N66"/>
    <mergeCell ref="C57:D57"/>
    <mergeCell ref="E57:F57"/>
    <mergeCell ref="G57:H57"/>
    <mergeCell ref="C58:E58"/>
    <mergeCell ref="D59:E59"/>
    <mergeCell ref="AA35:AB35"/>
    <mergeCell ref="AA38:AB38"/>
    <mergeCell ref="AA41:AB41"/>
    <mergeCell ref="AA42:AB42"/>
    <mergeCell ref="C53:D53"/>
    <mergeCell ref="E53:F53"/>
    <mergeCell ref="G53:H53"/>
    <mergeCell ref="B46:J47"/>
    <mergeCell ref="AA32:AB32"/>
    <mergeCell ref="P33:X33"/>
    <mergeCell ref="AA33:AB33"/>
    <mergeCell ref="P34:X34"/>
    <mergeCell ref="AA34:AB34"/>
    <mergeCell ref="Y29:Z29"/>
    <mergeCell ref="AA29:AB29"/>
    <mergeCell ref="B30:B31"/>
    <mergeCell ref="C30:C31"/>
    <mergeCell ref="D30:D31"/>
    <mergeCell ref="E30:E31"/>
    <mergeCell ref="AA31:AB31"/>
    <mergeCell ref="H30:H31"/>
    <mergeCell ref="F30:G31"/>
    <mergeCell ref="A1:L1"/>
    <mergeCell ref="B23:B24"/>
    <mergeCell ref="C23:G24"/>
    <mergeCell ref="H23:I24"/>
    <mergeCell ref="P29:X29"/>
  </mergeCells>
  <printOptions horizontalCentered="1"/>
  <pageMargins left="0.5" right="0.25" top="0.5" bottom="0.25" header="0.25" footer="0.25"/>
  <pageSetup paperSize="9" scale="76" orientation="portrait" horizontalDpi="4294967292" r:id="rId1"/>
  <headerFooter>
    <oddHeader>&amp;R&amp;"-,Regular"&amp;8OA.LP -  038 - 18 / REV : 0</oddHeader>
    <oddFooter>&amp;R&amp;K00-033Phototherapy 7.10.2022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2" r:id="rId6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2" r:id="rId6"/>
      </mc:Fallback>
    </mc:AlternateContent>
    <mc:AlternateContent xmlns:mc="http://schemas.openxmlformats.org/markup-compatibility/2006">
      <mc:Choice Requires="x14">
        <oleObject progId="Equation.3" shapeId="20483" r:id="rId7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3" r:id="rId7"/>
      </mc:Fallback>
    </mc:AlternateContent>
    <mc:AlternateContent xmlns:mc="http://schemas.openxmlformats.org/markup-compatibility/2006">
      <mc:Choice Requires="x14">
        <oleObject progId="Equation.3" shapeId="20484" r:id="rId8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4" r:id="rId8"/>
      </mc:Fallback>
    </mc:AlternateContent>
    <mc:AlternateContent xmlns:mc="http://schemas.openxmlformats.org/markup-compatibility/2006">
      <mc:Choice Requires="x14">
        <oleObject progId="Equation.3" shapeId="20485" r:id="rId9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5" r:id="rId9"/>
      </mc:Fallback>
    </mc:AlternateContent>
    <mc:AlternateContent xmlns:mc="http://schemas.openxmlformats.org/markup-compatibility/2006">
      <mc:Choice Requires="x14">
        <oleObject progId="Equation.3" shapeId="20486" r:id="rId10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6" r:id="rId10"/>
      </mc:Fallback>
    </mc:AlternateContent>
    <mc:AlternateContent xmlns:mc="http://schemas.openxmlformats.org/markup-compatibility/2006">
      <mc:Choice Requires="x14">
        <oleObject progId="Equation.3" shapeId="20487" r:id="rId11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7" r:id="rId11"/>
      </mc:Fallback>
    </mc:AlternateContent>
    <mc:AlternateContent xmlns:mc="http://schemas.openxmlformats.org/markup-compatibility/2006">
      <mc:Choice Requires="x14">
        <oleObject progId="Equation.3" shapeId="20488" r:id="rId12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8" r:id="rId12"/>
      </mc:Fallback>
    </mc:AlternateContent>
    <mc:AlternateContent xmlns:mc="http://schemas.openxmlformats.org/markup-compatibility/2006">
      <mc:Choice Requires="x14">
        <oleObject progId="Equation.3" shapeId="20489" r:id="rId13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89" r:id="rId13"/>
      </mc:Fallback>
    </mc:AlternateContent>
    <mc:AlternateContent xmlns:mc="http://schemas.openxmlformats.org/markup-compatibility/2006">
      <mc:Choice Requires="x14">
        <oleObject progId="Equation.3" shapeId="20490" r:id="rId14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20490" r:id="rId14"/>
      </mc:Fallback>
    </mc:AlternateContent>
    <mc:AlternateContent xmlns:mc="http://schemas.openxmlformats.org/markup-compatibility/2006">
      <mc:Choice Requires="x14">
        <oleObject progId="Equation.3" shapeId="20491" r:id="rId15">
          <objectPr defaultSize="0" autoPict="0" r:id="rId5">
            <anchor moveWithCells="1" sizeWithCells="1">
              <from>
                <xdr:col>11</xdr:col>
                <xdr:colOff>38100</xdr:colOff>
                <xdr:row>20</xdr:row>
                <xdr:rowOff>0</xdr:rowOff>
              </from>
              <to>
                <xdr:col>11</xdr:col>
                <xdr:colOff>419100</xdr:colOff>
                <xdr:row>20</xdr:row>
                <xdr:rowOff>0</xdr:rowOff>
              </to>
            </anchor>
          </objectPr>
        </oleObject>
      </mc:Choice>
      <mc:Fallback>
        <oleObject progId="Equation.3" shapeId="20491" r:id="rId15"/>
      </mc:Fallback>
    </mc:AlternateContent>
    <mc:AlternateContent xmlns:mc="http://schemas.openxmlformats.org/markup-compatibility/2006">
      <mc:Choice Requires="x14">
        <oleObject progId="Equation.3" shapeId="20492" r:id="rId1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2" r:id="rId16"/>
      </mc:Fallback>
    </mc:AlternateContent>
    <mc:AlternateContent xmlns:mc="http://schemas.openxmlformats.org/markup-compatibility/2006">
      <mc:Choice Requires="x14">
        <oleObject progId="Equation.3" shapeId="20493" r:id="rId1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3" r:id="rId17"/>
      </mc:Fallback>
    </mc:AlternateContent>
    <mc:AlternateContent xmlns:mc="http://schemas.openxmlformats.org/markup-compatibility/2006">
      <mc:Choice Requires="x14">
        <oleObject progId="Equation.3" shapeId="20494" r:id="rId1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4" r:id="rId18"/>
      </mc:Fallback>
    </mc:AlternateContent>
    <mc:AlternateContent xmlns:mc="http://schemas.openxmlformats.org/markup-compatibility/2006">
      <mc:Choice Requires="x14">
        <oleObject progId="Equation.3" shapeId="20495" r:id="rId1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5" r:id="rId19"/>
      </mc:Fallback>
    </mc:AlternateContent>
    <mc:AlternateContent xmlns:mc="http://schemas.openxmlformats.org/markup-compatibility/2006">
      <mc:Choice Requires="x14">
        <oleObject progId="Equation.3" shapeId="20496" r:id="rId2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6" r:id="rId20"/>
      </mc:Fallback>
    </mc:AlternateContent>
    <mc:AlternateContent xmlns:mc="http://schemas.openxmlformats.org/markup-compatibility/2006">
      <mc:Choice Requires="x14">
        <oleObject progId="Equation.3" shapeId="20497" r:id="rId2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7" r:id="rId21"/>
      </mc:Fallback>
    </mc:AlternateContent>
    <mc:AlternateContent xmlns:mc="http://schemas.openxmlformats.org/markup-compatibility/2006">
      <mc:Choice Requires="x14">
        <oleObject progId="Equation.3" shapeId="20498" r:id="rId2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8" r:id="rId22"/>
      </mc:Fallback>
    </mc:AlternateContent>
    <mc:AlternateContent xmlns:mc="http://schemas.openxmlformats.org/markup-compatibility/2006">
      <mc:Choice Requires="x14">
        <oleObject progId="Equation.3" shapeId="20499" r:id="rId2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499" r:id="rId23"/>
      </mc:Fallback>
    </mc:AlternateContent>
    <mc:AlternateContent xmlns:mc="http://schemas.openxmlformats.org/markup-compatibility/2006">
      <mc:Choice Requires="x14">
        <oleObject progId="Equation.3" shapeId="20500" r:id="rId2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0" r:id="rId24"/>
      </mc:Fallback>
    </mc:AlternateContent>
    <mc:AlternateContent xmlns:mc="http://schemas.openxmlformats.org/markup-compatibility/2006">
      <mc:Choice Requires="x14">
        <oleObject progId="Equation.3" shapeId="20501" r:id="rId2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1" r:id="rId25"/>
      </mc:Fallback>
    </mc:AlternateContent>
    <mc:AlternateContent xmlns:mc="http://schemas.openxmlformats.org/markup-compatibility/2006">
      <mc:Choice Requires="x14">
        <oleObject progId="Equation.3" shapeId="20502" r:id="rId26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02" r:id="rId26"/>
      </mc:Fallback>
    </mc:AlternateContent>
    <mc:AlternateContent xmlns:mc="http://schemas.openxmlformats.org/markup-compatibility/2006">
      <mc:Choice Requires="x14">
        <oleObject progId="Equation.3" shapeId="20503" r:id="rId2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3" r:id="rId27"/>
      </mc:Fallback>
    </mc:AlternateContent>
    <mc:AlternateContent xmlns:mc="http://schemas.openxmlformats.org/markup-compatibility/2006">
      <mc:Choice Requires="x14">
        <oleObject progId="Equation.3" shapeId="20504" r:id="rId2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4" r:id="rId28"/>
      </mc:Fallback>
    </mc:AlternateContent>
    <mc:AlternateContent xmlns:mc="http://schemas.openxmlformats.org/markup-compatibility/2006">
      <mc:Choice Requires="x14">
        <oleObject progId="Equation.3" shapeId="20505" r:id="rId2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5" r:id="rId29"/>
      </mc:Fallback>
    </mc:AlternateContent>
    <mc:AlternateContent xmlns:mc="http://schemas.openxmlformats.org/markup-compatibility/2006">
      <mc:Choice Requires="x14">
        <oleObject progId="Equation.3" shapeId="20506" r:id="rId3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6" r:id="rId30"/>
      </mc:Fallback>
    </mc:AlternateContent>
    <mc:AlternateContent xmlns:mc="http://schemas.openxmlformats.org/markup-compatibility/2006">
      <mc:Choice Requires="x14">
        <oleObject progId="Equation.3" shapeId="20507" r:id="rId3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7" r:id="rId31"/>
      </mc:Fallback>
    </mc:AlternateContent>
    <mc:AlternateContent xmlns:mc="http://schemas.openxmlformats.org/markup-compatibility/2006">
      <mc:Choice Requires="x14">
        <oleObject progId="Equation.3" shapeId="20508" r:id="rId3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8" r:id="rId32"/>
      </mc:Fallback>
    </mc:AlternateContent>
    <mc:AlternateContent xmlns:mc="http://schemas.openxmlformats.org/markup-compatibility/2006">
      <mc:Choice Requires="x14">
        <oleObject progId="Equation.3" shapeId="20509" r:id="rId3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09" r:id="rId33"/>
      </mc:Fallback>
    </mc:AlternateContent>
    <mc:AlternateContent xmlns:mc="http://schemas.openxmlformats.org/markup-compatibility/2006">
      <mc:Choice Requires="x14">
        <oleObject progId="Equation.3" shapeId="20510" r:id="rId3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0" r:id="rId34"/>
      </mc:Fallback>
    </mc:AlternateContent>
    <mc:AlternateContent xmlns:mc="http://schemas.openxmlformats.org/markup-compatibility/2006">
      <mc:Choice Requires="x14">
        <oleObject progId="Equation.3" shapeId="20511" r:id="rId3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1" r:id="rId35"/>
      </mc:Fallback>
    </mc:AlternateContent>
    <mc:AlternateContent xmlns:mc="http://schemas.openxmlformats.org/markup-compatibility/2006">
      <mc:Choice Requires="x14">
        <oleObject progId="Equation.3" shapeId="20512" r:id="rId3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2" r:id="rId36"/>
      </mc:Fallback>
    </mc:AlternateContent>
    <mc:AlternateContent xmlns:mc="http://schemas.openxmlformats.org/markup-compatibility/2006">
      <mc:Choice Requires="x14">
        <oleObject progId="Equation.3" shapeId="20513" r:id="rId37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13" r:id="rId37"/>
      </mc:Fallback>
    </mc:AlternateContent>
    <mc:AlternateContent xmlns:mc="http://schemas.openxmlformats.org/markup-compatibility/2006">
      <mc:Choice Requires="x14">
        <oleObject progId="Equation.3" shapeId="20514" r:id="rId3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4" r:id="rId38"/>
      </mc:Fallback>
    </mc:AlternateContent>
    <mc:AlternateContent xmlns:mc="http://schemas.openxmlformats.org/markup-compatibility/2006">
      <mc:Choice Requires="x14">
        <oleObject progId="Equation.3" shapeId="20515" r:id="rId3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5" r:id="rId39"/>
      </mc:Fallback>
    </mc:AlternateContent>
    <mc:AlternateContent xmlns:mc="http://schemas.openxmlformats.org/markup-compatibility/2006">
      <mc:Choice Requires="x14">
        <oleObject progId="Equation.3" shapeId="20516" r:id="rId4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6" r:id="rId40"/>
      </mc:Fallback>
    </mc:AlternateContent>
    <mc:AlternateContent xmlns:mc="http://schemas.openxmlformats.org/markup-compatibility/2006">
      <mc:Choice Requires="x14">
        <oleObject progId="Equation.3" shapeId="20517" r:id="rId4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7" r:id="rId41"/>
      </mc:Fallback>
    </mc:AlternateContent>
    <mc:AlternateContent xmlns:mc="http://schemas.openxmlformats.org/markup-compatibility/2006">
      <mc:Choice Requires="x14">
        <oleObject progId="Equation.3" shapeId="20518" r:id="rId4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8" r:id="rId42"/>
      </mc:Fallback>
    </mc:AlternateContent>
    <mc:AlternateContent xmlns:mc="http://schemas.openxmlformats.org/markup-compatibility/2006">
      <mc:Choice Requires="x14">
        <oleObject progId="Equation.3" shapeId="20519" r:id="rId4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19" r:id="rId43"/>
      </mc:Fallback>
    </mc:AlternateContent>
    <mc:AlternateContent xmlns:mc="http://schemas.openxmlformats.org/markup-compatibility/2006">
      <mc:Choice Requires="x14">
        <oleObject progId="Equation.3" shapeId="20520" r:id="rId4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0" r:id="rId44"/>
      </mc:Fallback>
    </mc:AlternateContent>
    <mc:AlternateContent xmlns:mc="http://schemas.openxmlformats.org/markup-compatibility/2006">
      <mc:Choice Requires="x14">
        <oleObject progId="Equation.3" shapeId="20521" r:id="rId4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1" r:id="rId45"/>
      </mc:Fallback>
    </mc:AlternateContent>
    <mc:AlternateContent xmlns:mc="http://schemas.openxmlformats.org/markup-compatibility/2006">
      <mc:Choice Requires="x14">
        <oleObject progId="Equation.3" shapeId="20522" r:id="rId4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2" r:id="rId46"/>
      </mc:Fallback>
    </mc:AlternateContent>
    <mc:AlternateContent xmlns:mc="http://schemas.openxmlformats.org/markup-compatibility/2006">
      <mc:Choice Requires="x14">
        <oleObject progId="Equation.3" shapeId="20523" r:id="rId4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3" r:id="rId47"/>
      </mc:Fallback>
    </mc:AlternateContent>
    <mc:AlternateContent xmlns:mc="http://schemas.openxmlformats.org/markup-compatibility/2006">
      <mc:Choice Requires="x14">
        <oleObject progId="Equation.3" shapeId="20524" r:id="rId48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24" r:id="rId48"/>
      </mc:Fallback>
    </mc:AlternateContent>
    <mc:AlternateContent xmlns:mc="http://schemas.openxmlformats.org/markup-compatibility/2006">
      <mc:Choice Requires="x14">
        <oleObject progId="Equation.3" shapeId="20525" r:id="rId4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5" r:id="rId49"/>
      </mc:Fallback>
    </mc:AlternateContent>
    <mc:AlternateContent xmlns:mc="http://schemas.openxmlformats.org/markup-compatibility/2006">
      <mc:Choice Requires="x14">
        <oleObject progId="Equation.3" shapeId="20526" r:id="rId5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6" r:id="rId50"/>
      </mc:Fallback>
    </mc:AlternateContent>
    <mc:AlternateContent xmlns:mc="http://schemas.openxmlformats.org/markup-compatibility/2006">
      <mc:Choice Requires="x14">
        <oleObject progId="Equation.3" shapeId="20527" r:id="rId5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7" r:id="rId51"/>
      </mc:Fallback>
    </mc:AlternateContent>
    <mc:AlternateContent xmlns:mc="http://schemas.openxmlformats.org/markup-compatibility/2006">
      <mc:Choice Requires="x14">
        <oleObject progId="Equation.3" shapeId="20528" r:id="rId5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8" r:id="rId52"/>
      </mc:Fallback>
    </mc:AlternateContent>
    <mc:AlternateContent xmlns:mc="http://schemas.openxmlformats.org/markup-compatibility/2006">
      <mc:Choice Requires="x14">
        <oleObject progId="Equation.3" shapeId="20529" r:id="rId5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29" r:id="rId53"/>
      </mc:Fallback>
    </mc:AlternateContent>
    <mc:AlternateContent xmlns:mc="http://schemas.openxmlformats.org/markup-compatibility/2006">
      <mc:Choice Requires="x14">
        <oleObject progId="Equation.3" shapeId="20530" r:id="rId5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0" r:id="rId54"/>
      </mc:Fallback>
    </mc:AlternateContent>
    <mc:AlternateContent xmlns:mc="http://schemas.openxmlformats.org/markup-compatibility/2006">
      <mc:Choice Requires="x14">
        <oleObject progId="Equation.3" shapeId="20531" r:id="rId5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1" r:id="rId55"/>
      </mc:Fallback>
    </mc:AlternateContent>
    <mc:AlternateContent xmlns:mc="http://schemas.openxmlformats.org/markup-compatibility/2006">
      <mc:Choice Requires="x14">
        <oleObject progId="Equation.3" shapeId="20532" r:id="rId5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2" r:id="rId56"/>
      </mc:Fallback>
    </mc:AlternateContent>
    <mc:AlternateContent xmlns:mc="http://schemas.openxmlformats.org/markup-compatibility/2006">
      <mc:Choice Requires="x14">
        <oleObject progId="Equation.3" shapeId="20533" r:id="rId5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3" r:id="rId57"/>
      </mc:Fallback>
    </mc:AlternateContent>
    <mc:AlternateContent xmlns:mc="http://schemas.openxmlformats.org/markup-compatibility/2006">
      <mc:Choice Requires="x14">
        <oleObject progId="Equation.3" shapeId="20534" r:id="rId5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4" r:id="rId58"/>
      </mc:Fallback>
    </mc:AlternateContent>
    <mc:AlternateContent xmlns:mc="http://schemas.openxmlformats.org/markup-compatibility/2006">
      <mc:Choice Requires="x14">
        <oleObject progId="Equation.3" shapeId="20535" r:id="rId59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35" r:id="rId59"/>
      </mc:Fallback>
    </mc:AlternateContent>
    <mc:AlternateContent xmlns:mc="http://schemas.openxmlformats.org/markup-compatibility/2006">
      <mc:Choice Requires="x14">
        <oleObject progId="Equation.3" shapeId="20536" r:id="rId6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6" r:id="rId60"/>
      </mc:Fallback>
    </mc:AlternateContent>
    <mc:AlternateContent xmlns:mc="http://schemas.openxmlformats.org/markup-compatibility/2006">
      <mc:Choice Requires="x14">
        <oleObject progId="Equation.3" shapeId="20537" r:id="rId6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7" r:id="rId61"/>
      </mc:Fallback>
    </mc:AlternateContent>
    <mc:AlternateContent xmlns:mc="http://schemas.openxmlformats.org/markup-compatibility/2006">
      <mc:Choice Requires="x14">
        <oleObject progId="Equation.3" shapeId="20538" r:id="rId6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8" r:id="rId62"/>
      </mc:Fallback>
    </mc:AlternateContent>
    <mc:AlternateContent xmlns:mc="http://schemas.openxmlformats.org/markup-compatibility/2006">
      <mc:Choice Requires="x14">
        <oleObject progId="Equation.3" shapeId="20539" r:id="rId6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39" r:id="rId63"/>
      </mc:Fallback>
    </mc:AlternateContent>
    <mc:AlternateContent xmlns:mc="http://schemas.openxmlformats.org/markup-compatibility/2006">
      <mc:Choice Requires="x14">
        <oleObject progId="Equation.3" shapeId="20540" r:id="rId6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0" r:id="rId64"/>
      </mc:Fallback>
    </mc:AlternateContent>
    <mc:AlternateContent xmlns:mc="http://schemas.openxmlformats.org/markup-compatibility/2006">
      <mc:Choice Requires="x14">
        <oleObject progId="Equation.3" shapeId="20541" r:id="rId6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1" r:id="rId65"/>
      </mc:Fallback>
    </mc:AlternateContent>
    <mc:AlternateContent xmlns:mc="http://schemas.openxmlformats.org/markup-compatibility/2006">
      <mc:Choice Requires="x14">
        <oleObject progId="Equation.3" shapeId="20542" r:id="rId6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2" r:id="rId66"/>
      </mc:Fallback>
    </mc:AlternateContent>
    <mc:AlternateContent xmlns:mc="http://schemas.openxmlformats.org/markup-compatibility/2006">
      <mc:Choice Requires="x14">
        <oleObject progId="Equation.3" shapeId="20543" r:id="rId6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3" r:id="rId67"/>
      </mc:Fallback>
    </mc:AlternateContent>
    <mc:AlternateContent xmlns:mc="http://schemas.openxmlformats.org/markup-compatibility/2006">
      <mc:Choice Requires="x14">
        <oleObject progId="Equation.3" shapeId="20544" r:id="rId6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4" r:id="rId68"/>
      </mc:Fallback>
    </mc:AlternateContent>
    <mc:AlternateContent xmlns:mc="http://schemas.openxmlformats.org/markup-compatibility/2006">
      <mc:Choice Requires="x14">
        <oleObject progId="Equation.3" shapeId="20545" r:id="rId6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5" r:id="rId69"/>
      </mc:Fallback>
    </mc:AlternateContent>
    <mc:AlternateContent xmlns:mc="http://schemas.openxmlformats.org/markup-compatibility/2006">
      <mc:Choice Requires="x14">
        <oleObject progId="Equation.3" shapeId="20546" r:id="rId70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46" r:id="rId70"/>
      </mc:Fallback>
    </mc:AlternateContent>
    <mc:AlternateContent xmlns:mc="http://schemas.openxmlformats.org/markup-compatibility/2006">
      <mc:Choice Requires="x14">
        <oleObject progId="Equation.3" shapeId="20547" r:id="rId7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7" r:id="rId71"/>
      </mc:Fallback>
    </mc:AlternateContent>
    <mc:AlternateContent xmlns:mc="http://schemas.openxmlformats.org/markup-compatibility/2006">
      <mc:Choice Requires="x14">
        <oleObject progId="Equation.3" shapeId="20548" r:id="rId7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8" r:id="rId72"/>
      </mc:Fallback>
    </mc:AlternateContent>
    <mc:AlternateContent xmlns:mc="http://schemas.openxmlformats.org/markup-compatibility/2006">
      <mc:Choice Requires="x14">
        <oleObject progId="Equation.3" shapeId="20549" r:id="rId7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49" r:id="rId73"/>
      </mc:Fallback>
    </mc:AlternateContent>
    <mc:AlternateContent xmlns:mc="http://schemas.openxmlformats.org/markup-compatibility/2006">
      <mc:Choice Requires="x14">
        <oleObject progId="Equation.3" shapeId="20550" r:id="rId7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0" r:id="rId74"/>
      </mc:Fallback>
    </mc:AlternateContent>
    <mc:AlternateContent xmlns:mc="http://schemas.openxmlformats.org/markup-compatibility/2006">
      <mc:Choice Requires="x14">
        <oleObject progId="Equation.3" shapeId="20551" r:id="rId7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1" r:id="rId75"/>
      </mc:Fallback>
    </mc:AlternateContent>
    <mc:AlternateContent xmlns:mc="http://schemas.openxmlformats.org/markup-compatibility/2006">
      <mc:Choice Requires="x14">
        <oleObject progId="Equation.3" shapeId="20552" r:id="rId7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2" r:id="rId76"/>
      </mc:Fallback>
    </mc:AlternateContent>
    <mc:AlternateContent xmlns:mc="http://schemas.openxmlformats.org/markup-compatibility/2006">
      <mc:Choice Requires="x14">
        <oleObject progId="Equation.3" shapeId="20553" r:id="rId7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3" r:id="rId77"/>
      </mc:Fallback>
    </mc:AlternateContent>
    <mc:AlternateContent xmlns:mc="http://schemas.openxmlformats.org/markup-compatibility/2006">
      <mc:Choice Requires="x14">
        <oleObject progId="Equation.3" shapeId="20554" r:id="rId7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4" r:id="rId78"/>
      </mc:Fallback>
    </mc:AlternateContent>
    <mc:AlternateContent xmlns:mc="http://schemas.openxmlformats.org/markup-compatibility/2006">
      <mc:Choice Requires="x14">
        <oleObject progId="Equation.3" shapeId="20555" r:id="rId7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5" r:id="rId79"/>
      </mc:Fallback>
    </mc:AlternateContent>
    <mc:AlternateContent xmlns:mc="http://schemas.openxmlformats.org/markup-compatibility/2006">
      <mc:Choice Requires="x14">
        <oleObject progId="Equation.3" shapeId="20556" r:id="rId8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6" r:id="rId80"/>
      </mc:Fallback>
    </mc:AlternateContent>
    <mc:AlternateContent xmlns:mc="http://schemas.openxmlformats.org/markup-compatibility/2006">
      <mc:Choice Requires="x14">
        <oleObject progId="Equation.3" shapeId="20557" r:id="rId81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57" r:id="rId81"/>
      </mc:Fallback>
    </mc:AlternateContent>
    <mc:AlternateContent xmlns:mc="http://schemas.openxmlformats.org/markup-compatibility/2006">
      <mc:Choice Requires="x14">
        <oleObject progId="Equation.3" shapeId="20558" r:id="rId82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8" r:id="rId82"/>
      </mc:Fallback>
    </mc:AlternateContent>
    <mc:AlternateContent xmlns:mc="http://schemas.openxmlformats.org/markup-compatibility/2006">
      <mc:Choice Requires="x14">
        <oleObject progId="Equation.3" shapeId="20559" r:id="rId83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59" r:id="rId83"/>
      </mc:Fallback>
    </mc:AlternateContent>
    <mc:AlternateContent xmlns:mc="http://schemas.openxmlformats.org/markup-compatibility/2006">
      <mc:Choice Requires="x14">
        <oleObject progId="Equation.3" shapeId="20560" r:id="rId84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0" r:id="rId84"/>
      </mc:Fallback>
    </mc:AlternateContent>
    <mc:AlternateContent xmlns:mc="http://schemas.openxmlformats.org/markup-compatibility/2006">
      <mc:Choice Requires="x14">
        <oleObject progId="Equation.3" shapeId="20561" r:id="rId85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1" r:id="rId85"/>
      </mc:Fallback>
    </mc:AlternateContent>
    <mc:AlternateContent xmlns:mc="http://schemas.openxmlformats.org/markup-compatibility/2006">
      <mc:Choice Requires="x14">
        <oleObject progId="Equation.3" shapeId="20562" r:id="rId86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2" r:id="rId86"/>
      </mc:Fallback>
    </mc:AlternateContent>
    <mc:AlternateContent xmlns:mc="http://schemas.openxmlformats.org/markup-compatibility/2006">
      <mc:Choice Requires="x14">
        <oleObject progId="Equation.3" shapeId="20563" r:id="rId87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3" r:id="rId87"/>
      </mc:Fallback>
    </mc:AlternateContent>
    <mc:AlternateContent xmlns:mc="http://schemas.openxmlformats.org/markup-compatibility/2006">
      <mc:Choice Requires="x14">
        <oleObject progId="Equation.3" shapeId="20564" r:id="rId88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4" r:id="rId88"/>
      </mc:Fallback>
    </mc:AlternateContent>
    <mc:AlternateContent xmlns:mc="http://schemas.openxmlformats.org/markup-compatibility/2006">
      <mc:Choice Requires="x14">
        <oleObject progId="Equation.3" shapeId="20565" r:id="rId89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5" r:id="rId89"/>
      </mc:Fallback>
    </mc:AlternateContent>
    <mc:AlternateContent xmlns:mc="http://schemas.openxmlformats.org/markup-compatibility/2006">
      <mc:Choice Requires="x14">
        <oleObject progId="Equation.3" shapeId="20566" r:id="rId90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6" r:id="rId90"/>
      </mc:Fallback>
    </mc:AlternateContent>
    <mc:AlternateContent xmlns:mc="http://schemas.openxmlformats.org/markup-compatibility/2006">
      <mc:Choice Requires="x14">
        <oleObject progId="Equation.3" shapeId="20567" r:id="rId91">
          <objectPr defaultSize="0" autoPict="0" r:id="rId5">
            <anchor moveWithCells="1" sizeWithCells="1">
              <from>
                <xdr:col>11</xdr:col>
                <xdr:colOff>9525</xdr:colOff>
                <xdr:row>74</xdr:row>
                <xdr:rowOff>0</xdr:rowOff>
              </from>
              <to>
                <xdr:col>11</xdr:col>
                <xdr:colOff>409575</xdr:colOff>
                <xdr:row>74</xdr:row>
                <xdr:rowOff>0</xdr:rowOff>
              </to>
            </anchor>
          </objectPr>
        </oleObject>
      </mc:Choice>
      <mc:Fallback>
        <oleObject progId="Equation.3" shapeId="20567" r:id="rId91"/>
      </mc:Fallback>
    </mc:AlternateContent>
    <mc:AlternateContent xmlns:mc="http://schemas.openxmlformats.org/markup-compatibility/2006">
      <mc:Choice Requires="x14">
        <oleObject progId="Equation.3" shapeId="20568" r:id="rId92">
          <objectPr defaultSize="0" autoPict="0" r:id="rId5">
            <anchor moveWithCells="1" sizeWithCells="1">
              <from>
                <xdr:col>11</xdr:col>
                <xdr:colOff>38100</xdr:colOff>
                <xdr:row>74</xdr:row>
                <xdr:rowOff>0</xdr:rowOff>
              </from>
              <to>
                <xdr:col>11</xdr:col>
                <xdr:colOff>419100</xdr:colOff>
                <xdr:row>74</xdr:row>
                <xdr:rowOff>0</xdr:rowOff>
              </to>
            </anchor>
          </objectPr>
        </oleObject>
      </mc:Choice>
      <mc:Fallback>
        <oleObject progId="Equation.3" shapeId="20568" r:id="rId9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5"/>
  <sheetViews>
    <sheetView showGridLines="0" view="pageBreakPreview" topLeftCell="A37" zoomScale="85" zoomScaleNormal="90" zoomScaleSheetLayoutView="85" zoomScalePageLayoutView="60" workbookViewId="0">
      <selection activeCell="G20" sqref="G20"/>
    </sheetView>
  </sheetViews>
  <sheetFormatPr defaultColWidth="9.140625" defaultRowHeight="12.75" x14ac:dyDescent="0.2"/>
  <cols>
    <col min="1" max="1" width="5" style="210" customWidth="1"/>
    <col min="2" max="2" width="4.140625" style="210" customWidth="1"/>
    <col min="3" max="3" width="23.7109375" style="210" customWidth="1"/>
    <col min="4" max="4" width="13.85546875" style="210" customWidth="1"/>
    <col min="5" max="5" width="18.28515625" style="210" customWidth="1"/>
    <col min="6" max="6" width="9.140625" style="210" customWidth="1"/>
    <col min="7" max="7" width="11.7109375" style="210" customWidth="1"/>
    <col min="8" max="8" width="8.85546875" style="210" customWidth="1"/>
    <col min="9" max="9" width="8.7109375" style="210" customWidth="1"/>
    <col min="10" max="10" width="15.140625" style="210" customWidth="1"/>
    <col min="11" max="11" width="15.5703125" style="210" customWidth="1"/>
    <col min="12" max="12" width="8" style="577" customWidth="1"/>
    <col min="13" max="13" width="10" style="210" customWidth="1"/>
    <col min="14" max="22" width="4.7109375" style="210" customWidth="1"/>
    <col min="23" max="16384" width="9.140625" style="210"/>
  </cols>
  <sheetData>
    <row r="1" spans="1:13" ht="18.75" x14ac:dyDescent="0.2">
      <c r="A1" s="588" t="str">
        <f>PENYELIA!A1</f>
        <v>HASIL PENGUJIAN PHOTOTHERAPY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39"/>
      <c r="M1" s="39"/>
    </row>
    <row r="2" spans="1:13" ht="17.25" customHeight="1" x14ac:dyDescent="0.2">
      <c r="A2" s="660" t="str">
        <f>PENYELIA!A2</f>
        <v>Nomor Sertifikat : 42 / 1 / X - 22 / E - 00.000 DL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74"/>
      <c r="M2" s="74"/>
    </row>
    <row r="3" spans="1:13" ht="15.75" customHeight="1" x14ac:dyDescent="0.2">
      <c r="A3" s="402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576"/>
      <c r="M3" s="209"/>
    </row>
    <row r="4" spans="1:13" ht="15" x14ac:dyDescent="0.2">
      <c r="A4" s="178" t="str">
        <f>PENYELIA!A4</f>
        <v>Merek</v>
      </c>
      <c r="B4" s="402"/>
      <c r="C4" s="178"/>
      <c r="D4" s="226" t="s">
        <v>20</v>
      </c>
      <c r="E4" s="178" t="str">
        <f>PENYELIA!E4</f>
        <v>GEA - MEDICAL</v>
      </c>
      <c r="F4" s="178"/>
      <c r="G4" s="178"/>
      <c r="H4" s="178"/>
      <c r="I4" s="178"/>
      <c r="J4" s="178"/>
      <c r="K4" s="178"/>
      <c r="L4" s="76"/>
      <c r="M4" s="75"/>
    </row>
    <row r="5" spans="1:13" ht="15" x14ac:dyDescent="0.2">
      <c r="A5" s="178" t="str">
        <f>PENYELIA!A5</f>
        <v>Model/Tipe</v>
      </c>
      <c r="B5" s="402"/>
      <c r="C5" s="178"/>
      <c r="D5" s="226" t="s">
        <v>20</v>
      </c>
      <c r="E5" s="178" t="str">
        <f>PENYELIA!E5</f>
        <v>XHZ - 90</v>
      </c>
      <c r="F5" s="178"/>
      <c r="G5" s="178"/>
      <c r="H5" s="178"/>
      <c r="I5" s="178"/>
      <c r="J5" s="178"/>
      <c r="K5" s="178"/>
      <c r="L5" s="76"/>
      <c r="M5" s="75"/>
    </row>
    <row r="6" spans="1:13" ht="15" x14ac:dyDescent="0.2">
      <c r="A6" s="178" t="str">
        <f>PENYELIA!A6</f>
        <v>No. Seri</v>
      </c>
      <c r="B6" s="402"/>
      <c r="C6" s="178"/>
      <c r="D6" s="226" t="s">
        <v>20</v>
      </c>
      <c r="E6" s="178" t="str">
        <f>PENYELIA!E6</f>
        <v>42140204033</v>
      </c>
      <c r="F6" s="178"/>
      <c r="G6" s="178"/>
      <c r="I6" s="178"/>
      <c r="J6" s="178"/>
      <c r="K6" s="178"/>
      <c r="L6" s="76"/>
      <c r="M6" s="75"/>
    </row>
    <row r="7" spans="1:13" ht="15" x14ac:dyDescent="0.2">
      <c r="A7" s="178" t="s">
        <v>6</v>
      </c>
      <c r="B7" s="402"/>
      <c r="C7" s="178"/>
      <c r="D7" s="226" t="s">
        <v>20</v>
      </c>
      <c r="E7" s="178" t="str">
        <f>E8</f>
        <v>12 Mei 2022</v>
      </c>
      <c r="F7" s="178"/>
      <c r="G7" s="178"/>
      <c r="H7" s="178"/>
      <c r="I7" s="178"/>
      <c r="J7" s="178"/>
      <c r="K7" s="178"/>
      <c r="L7" s="76"/>
      <c r="M7" s="75"/>
    </row>
    <row r="8" spans="1:13" ht="15" x14ac:dyDescent="0.2">
      <c r="A8" s="178" t="str">
        <f>PENYELIA!A8</f>
        <v>Tanggal Pengujian</v>
      </c>
      <c r="B8" s="402"/>
      <c r="C8" s="178"/>
      <c r="D8" s="226" t="s">
        <v>20</v>
      </c>
      <c r="E8" s="178" t="str">
        <f>PENYELIA!E8</f>
        <v>12 Mei 2022</v>
      </c>
      <c r="F8" s="178"/>
      <c r="G8" s="178"/>
      <c r="H8" s="178"/>
      <c r="I8" s="178"/>
      <c r="J8" s="178"/>
      <c r="K8" s="178"/>
      <c r="L8" s="76"/>
      <c r="M8" s="75"/>
    </row>
    <row r="9" spans="1:13" ht="15" x14ac:dyDescent="0.2">
      <c r="A9" s="178" t="str">
        <f>PENYELIA!A9</f>
        <v>Tempat Pengujian</v>
      </c>
      <c r="B9" s="402"/>
      <c r="C9" s="178"/>
      <c r="D9" s="226" t="s">
        <v>20</v>
      </c>
      <c r="E9" s="178" t="str">
        <f>PENYELIA!E9</f>
        <v>Ruang Perinatologi</v>
      </c>
      <c r="F9" s="178"/>
      <c r="G9" s="178"/>
      <c r="H9" s="178"/>
      <c r="I9" s="178"/>
      <c r="J9" s="178"/>
      <c r="K9" s="178"/>
      <c r="L9" s="76"/>
      <c r="M9" s="75"/>
    </row>
    <row r="10" spans="1:13" ht="15" x14ac:dyDescent="0.2">
      <c r="A10" s="178" t="str">
        <f>PENYELIA!A10</f>
        <v>Nama Ruang</v>
      </c>
      <c r="B10" s="402"/>
      <c r="C10" s="178"/>
      <c r="D10" s="226" t="s">
        <v>20</v>
      </c>
      <c r="E10" s="178" t="str">
        <f>PENYELIA!E10</f>
        <v>Ruang Perinatologi</v>
      </c>
      <c r="F10" s="178"/>
      <c r="G10" s="178"/>
      <c r="H10" s="178"/>
      <c r="I10" s="178"/>
      <c r="J10" s="178"/>
      <c r="K10" s="178"/>
      <c r="L10" s="76"/>
      <c r="M10" s="75"/>
    </row>
    <row r="11" spans="1:13" ht="15" x14ac:dyDescent="0.2">
      <c r="A11" s="178" t="str">
        <f>PENYELIA!A11</f>
        <v>Metode Kerja</v>
      </c>
      <c r="B11" s="402"/>
      <c r="C11" s="178"/>
      <c r="D11" s="226" t="s">
        <v>20</v>
      </c>
      <c r="E11" s="178" t="str">
        <f>PENYELIA!E11</f>
        <v>MK 038 - 18</v>
      </c>
      <c r="F11" s="178"/>
      <c r="G11" s="178"/>
      <c r="H11" s="178"/>
      <c r="I11" s="178"/>
      <c r="J11" s="178"/>
      <c r="K11" s="178"/>
      <c r="L11" s="76"/>
      <c r="M11" s="75"/>
    </row>
    <row r="12" spans="1:13" ht="15" x14ac:dyDescent="0.2">
      <c r="A12" s="402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76"/>
      <c r="M12" s="75"/>
    </row>
    <row r="13" spans="1:13" ht="15.75" x14ac:dyDescent="0.2">
      <c r="A13" s="182" t="s">
        <v>10</v>
      </c>
      <c r="B13" s="182" t="s">
        <v>11</v>
      </c>
      <c r="C13" s="402"/>
      <c r="D13" s="182"/>
      <c r="E13" s="182"/>
      <c r="F13" s="182"/>
      <c r="G13" s="182"/>
      <c r="H13" s="182"/>
      <c r="I13" s="182"/>
      <c r="J13" s="182"/>
      <c r="K13" s="182"/>
      <c r="L13" s="77"/>
      <c r="M13" s="78"/>
    </row>
    <row r="14" spans="1:13" ht="15" x14ac:dyDescent="0.2">
      <c r="A14" s="402"/>
      <c r="B14" s="178" t="s">
        <v>15</v>
      </c>
      <c r="C14" s="402"/>
      <c r="D14" s="226" t="s">
        <v>20</v>
      </c>
      <c r="E14" s="567">
        <f>PENYELIA!E14</f>
        <v>28.920002</v>
      </c>
      <c r="F14" s="578" t="s">
        <v>613</v>
      </c>
      <c r="G14" s="567">
        <f>PENYELIA!G14</f>
        <v>0.3</v>
      </c>
      <c r="H14" s="544" t="s">
        <v>627</v>
      </c>
      <c r="I14" s="544"/>
      <c r="J14" s="178"/>
      <c r="K14" s="178"/>
      <c r="L14" s="76"/>
      <c r="M14" s="75"/>
    </row>
    <row r="15" spans="1:13" ht="15" x14ac:dyDescent="0.2">
      <c r="A15" s="402"/>
      <c r="B15" s="178" t="s">
        <v>17</v>
      </c>
      <c r="C15" s="402"/>
      <c r="D15" s="226" t="s">
        <v>20</v>
      </c>
      <c r="E15" s="567">
        <f>PENYELIA!E15</f>
        <v>67.920001999999997</v>
      </c>
      <c r="F15" s="578" t="s">
        <v>613</v>
      </c>
      <c r="G15" s="567">
        <f>PENYELIA!G15</f>
        <v>2</v>
      </c>
      <c r="H15" s="544" t="s">
        <v>18</v>
      </c>
      <c r="I15" s="544"/>
      <c r="J15" s="178"/>
      <c r="K15" s="178"/>
      <c r="L15" s="76"/>
      <c r="M15" s="75"/>
    </row>
    <row r="16" spans="1:13" ht="15" x14ac:dyDescent="0.2">
      <c r="A16" s="402"/>
      <c r="B16" s="178" t="s">
        <v>19</v>
      </c>
      <c r="C16" s="402"/>
      <c r="D16" s="226" t="s">
        <v>20</v>
      </c>
      <c r="E16" s="567">
        <f>'DB ESA'!N268</f>
        <v>221.41948295165395</v>
      </c>
      <c r="G16" s="206"/>
      <c r="H16" s="544" t="s">
        <v>21</v>
      </c>
      <c r="I16" s="178"/>
      <c r="J16" s="178"/>
      <c r="K16" s="178"/>
      <c r="L16" s="76"/>
      <c r="M16" s="75"/>
    </row>
    <row r="17" spans="1:27" ht="15.75" customHeight="1" x14ac:dyDescent="0.2">
      <c r="A17" s="402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76"/>
      <c r="M17" s="75"/>
    </row>
    <row r="18" spans="1:27" ht="15" x14ac:dyDescent="0.2">
      <c r="A18" s="182" t="s">
        <v>22</v>
      </c>
      <c r="B18" s="182" t="s">
        <v>23</v>
      </c>
      <c r="C18" s="402"/>
      <c r="D18" s="182"/>
      <c r="E18" s="182"/>
      <c r="F18" s="182"/>
      <c r="G18" s="182"/>
      <c r="H18" s="182"/>
      <c r="I18" s="182"/>
      <c r="J18" s="182"/>
      <c r="K18" s="182"/>
      <c r="L18" s="76"/>
      <c r="M18" s="75"/>
    </row>
    <row r="19" spans="1:27" ht="15" x14ac:dyDescent="0.2">
      <c r="A19" s="402"/>
      <c r="B19" s="178" t="s">
        <v>24</v>
      </c>
      <c r="C19" s="402"/>
      <c r="D19" s="226" t="s">
        <v>20</v>
      </c>
      <c r="E19" s="568" t="str">
        <f>PENYELIA!E19</f>
        <v>Baik</v>
      </c>
      <c r="F19" s="178"/>
      <c r="G19" s="178"/>
      <c r="H19" s="178"/>
      <c r="I19" s="178"/>
      <c r="J19" s="178"/>
      <c r="K19" s="178"/>
      <c r="L19" s="76"/>
      <c r="M19" s="75"/>
    </row>
    <row r="20" spans="1:27" ht="15" x14ac:dyDescent="0.2">
      <c r="A20" s="402"/>
      <c r="B20" s="178" t="s">
        <v>26</v>
      </c>
      <c r="C20" s="402"/>
      <c r="D20" s="226" t="s">
        <v>20</v>
      </c>
      <c r="E20" s="568" t="str">
        <f>PENYELIA!E20</f>
        <v>Baik</v>
      </c>
      <c r="F20" s="178"/>
      <c r="G20" s="178"/>
      <c r="H20" s="178"/>
      <c r="I20" s="178"/>
      <c r="J20" s="178"/>
      <c r="K20" s="178"/>
      <c r="L20" s="76"/>
      <c r="M20" s="75"/>
    </row>
    <row r="21" spans="1:27" ht="15.75" customHeight="1" x14ac:dyDescent="0.2">
      <c r="A21" s="402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76"/>
      <c r="M21" s="75"/>
    </row>
    <row r="22" spans="1:27" ht="15" x14ac:dyDescent="0.2">
      <c r="A22" s="182" t="s">
        <v>27</v>
      </c>
      <c r="B22" s="182" t="s">
        <v>28</v>
      </c>
      <c r="C22" s="402"/>
      <c r="D22" s="178"/>
      <c r="E22" s="178"/>
      <c r="F22" s="178"/>
      <c r="G22" s="187"/>
      <c r="H22" s="188"/>
      <c r="I22" s="188"/>
      <c r="J22" s="227"/>
      <c r="K22" s="178"/>
      <c r="L22" s="75"/>
      <c r="M22" s="75"/>
    </row>
    <row r="23" spans="1:27" ht="12" customHeight="1" x14ac:dyDescent="0.2">
      <c r="A23" s="402"/>
      <c r="B23" s="597" t="s">
        <v>29</v>
      </c>
      <c r="C23" s="605" t="s">
        <v>30</v>
      </c>
      <c r="D23" s="606"/>
      <c r="E23" s="606"/>
      <c r="F23" s="606"/>
      <c r="G23" s="622"/>
      <c r="H23" s="628" t="s">
        <v>31</v>
      </c>
      <c r="I23" s="632"/>
      <c r="J23" s="189" t="s">
        <v>32</v>
      </c>
      <c r="K23" s="206"/>
    </row>
    <row r="24" spans="1:27" ht="19.5" customHeight="1" x14ac:dyDescent="0.2">
      <c r="A24" s="402"/>
      <c r="B24" s="598"/>
      <c r="C24" s="607"/>
      <c r="D24" s="608"/>
      <c r="E24" s="608"/>
      <c r="F24" s="608"/>
      <c r="G24" s="623"/>
      <c r="H24" s="658"/>
      <c r="I24" s="659"/>
      <c r="J24" s="190" t="s">
        <v>33</v>
      </c>
      <c r="K24" s="206"/>
    </row>
    <row r="25" spans="1:27" ht="18" customHeight="1" x14ac:dyDescent="0.2">
      <c r="A25" s="402"/>
      <c r="B25" s="191">
        <v>1</v>
      </c>
      <c r="C25" s="231" t="str">
        <f>ID!C24</f>
        <v xml:space="preserve">Resistansi isolasi </v>
      </c>
      <c r="D25" s="192"/>
      <c r="E25" s="192"/>
      <c r="F25" s="192"/>
      <c r="G25" s="192"/>
      <c r="H25" s="661" t="str">
        <f>PENYELIA!H25</f>
        <v>OL</v>
      </c>
      <c r="I25" s="662"/>
      <c r="J25" s="214" t="str">
        <f>ID!K24</f>
        <v>&gt; 2 MΩ</v>
      </c>
      <c r="K25" s="206"/>
    </row>
    <row r="26" spans="1:27" ht="18" customHeight="1" x14ac:dyDescent="0.2">
      <c r="A26" s="402"/>
      <c r="B26" s="193">
        <v>2</v>
      </c>
      <c r="C26" s="562" t="str">
        <f>PENYELIA!C26</f>
        <v>Resistansi pembumian protektif</v>
      </c>
      <c r="D26" s="195"/>
      <c r="E26" s="195"/>
      <c r="F26" s="195"/>
      <c r="G26" s="195"/>
      <c r="H26" s="993">
        <f>PENYELIA!H26</f>
        <v>9.987293384467881E-2</v>
      </c>
      <c r="I26" s="584" t="str">
        <f>PENYELIA!I26</f>
        <v>Ω</v>
      </c>
      <c r="J26" s="214" t="str">
        <f>ID!K25</f>
        <v>≤ 0.2 Ω</v>
      </c>
      <c r="K26" s="206"/>
    </row>
    <row r="27" spans="1:27" ht="18" customHeight="1" x14ac:dyDescent="0.2">
      <c r="A27" s="402"/>
      <c r="B27" s="193">
        <v>3</v>
      </c>
      <c r="C27" s="562" t="str">
        <f>PENYELIA!C27</f>
        <v>Arus bocor peralatan untuk peralatan elektromedik kelas I</v>
      </c>
      <c r="D27" s="195"/>
      <c r="E27" s="195"/>
      <c r="F27" s="195"/>
      <c r="G27" s="195"/>
      <c r="H27" s="585">
        <f>PENYELIA!H27</f>
        <v>120.59114423016506</v>
      </c>
      <c r="I27" s="584" t="str">
        <f>PENYELIA!I27</f>
        <v>µA</v>
      </c>
      <c r="J27" s="214" t="str">
        <f>ID!K26</f>
        <v>≤ 500 µA</v>
      </c>
      <c r="K27" s="206"/>
    </row>
    <row r="28" spans="1:27" ht="15.75" customHeight="1" x14ac:dyDescent="0.2">
      <c r="A28" s="402"/>
      <c r="B28" s="196"/>
      <c r="C28" s="178"/>
      <c r="D28" s="178"/>
      <c r="E28" s="178"/>
      <c r="F28" s="178"/>
      <c r="G28" s="178"/>
      <c r="H28" s="178"/>
      <c r="I28" s="178"/>
      <c r="J28" s="178"/>
      <c r="K28" s="178"/>
      <c r="L28" s="75"/>
      <c r="M28" s="79"/>
      <c r="N28" s="46"/>
      <c r="O28" s="46"/>
      <c r="P28" s="47"/>
      <c r="Q28" s="47"/>
      <c r="R28" s="48"/>
      <c r="S28" s="49"/>
      <c r="T28" s="50"/>
      <c r="U28" s="47"/>
      <c r="V28" s="47"/>
      <c r="W28" s="47"/>
      <c r="X28" s="47"/>
      <c r="Y28" s="47"/>
      <c r="Z28" s="47"/>
      <c r="AA28" s="47"/>
    </row>
    <row r="29" spans="1:27" ht="15" x14ac:dyDescent="0.2">
      <c r="A29" s="182" t="s">
        <v>43</v>
      </c>
      <c r="B29" s="182" t="s">
        <v>44</v>
      </c>
      <c r="C29" s="402"/>
      <c r="D29" s="182"/>
      <c r="E29" s="182"/>
      <c r="F29" s="182"/>
      <c r="G29" s="182"/>
      <c r="H29" s="196"/>
      <c r="I29" s="196"/>
      <c r="J29" s="178"/>
      <c r="K29" s="178"/>
      <c r="L29" s="76"/>
      <c r="M29" s="75"/>
      <c r="N29" s="51"/>
      <c r="O29" s="626"/>
      <c r="P29" s="626"/>
      <c r="Q29" s="626"/>
      <c r="R29" s="626"/>
      <c r="S29" s="626"/>
      <c r="T29" s="626"/>
      <c r="U29" s="626"/>
      <c r="V29" s="626"/>
      <c r="W29" s="626"/>
      <c r="X29" s="627"/>
      <c r="Y29" s="627"/>
      <c r="Z29" s="627"/>
      <c r="AA29" s="627"/>
    </row>
    <row r="30" spans="1:27" ht="15.75" customHeight="1" x14ac:dyDescent="0.2">
      <c r="A30" s="402"/>
      <c r="B30" s="590" t="s">
        <v>29</v>
      </c>
      <c r="C30" s="590" t="s">
        <v>30</v>
      </c>
      <c r="D30" s="628" t="s">
        <v>45</v>
      </c>
      <c r="E30" s="593" t="s">
        <v>46</v>
      </c>
      <c r="F30" s="628" t="s">
        <v>47</v>
      </c>
      <c r="G30" s="632"/>
      <c r="H30" s="628" t="s">
        <v>232</v>
      </c>
      <c r="I30" s="632"/>
      <c r="J30" s="550"/>
      <c r="K30" s="178"/>
      <c r="L30" s="76"/>
      <c r="M30" s="75"/>
      <c r="N30" s="51"/>
      <c r="O30" s="81"/>
      <c r="P30" s="51"/>
      <c r="Q30" s="51"/>
      <c r="R30" s="51"/>
      <c r="S30" s="51"/>
      <c r="T30" s="51"/>
      <c r="U30" s="51"/>
      <c r="V30" s="51"/>
      <c r="W30" s="51"/>
      <c r="X30" s="52"/>
      <c r="Y30" s="53"/>
      <c r="Z30" s="53"/>
      <c r="AA30" s="53"/>
    </row>
    <row r="31" spans="1:27" ht="22.5" customHeight="1" x14ac:dyDescent="0.2">
      <c r="A31" s="402"/>
      <c r="B31" s="591"/>
      <c r="C31" s="591"/>
      <c r="D31" s="629"/>
      <c r="E31" s="593"/>
      <c r="F31" s="629"/>
      <c r="G31" s="633"/>
      <c r="H31" s="629"/>
      <c r="I31" s="633"/>
      <c r="J31" s="550"/>
      <c r="K31" s="196"/>
      <c r="L31" s="76"/>
      <c r="M31" s="75"/>
      <c r="N31" s="52"/>
      <c r="O31" s="634"/>
      <c r="P31" s="634"/>
      <c r="Q31" s="634"/>
      <c r="R31" s="634"/>
      <c r="S31" s="634"/>
      <c r="T31" s="634"/>
      <c r="U31" s="634"/>
      <c r="V31" s="634"/>
      <c r="W31" s="634"/>
      <c r="X31" s="47"/>
      <c r="Y31" s="54"/>
      <c r="Z31" s="630"/>
      <c r="AA31" s="630"/>
    </row>
    <row r="32" spans="1:27" ht="67.5" customHeight="1" x14ac:dyDescent="0.2">
      <c r="A32" s="402"/>
      <c r="B32" s="184">
        <v>1</v>
      </c>
      <c r="C32" s="198" t="str">
        <f>PENYELIA!C32</f>
        <v>Spectral Radiance (µW/cm2 )</v>
      </c>
      <c r="D32" s="193" t="s">
        <v>130</v>
      </c>
      <c r="E32" s="587">
        <f>PENYELIA!E32</f>
        <v>186.27300000000002</v>
      </c>
      <c r="F32" s="663" t="str">
        <f>PENYELIA!F32</f>
        <v xml:space="preserve">≥ 176 µW/cm² </v>
      </c>
      <c r="G32" s="664"/>
      <c r="H32" s="570" t="s">
        <v>613</v>
      </c>
      <c r="I32" s="586">
        <f>PENYELIA!H32</f>
        <v>1.2595850994617943</v>
      </c>
      <c r="J32" s="206"/>
      <c r="K32" s="393"/>
      <c r="L32" s="76"/>
      <c r="M32" s="75"/>
      <c r="N32" s="52"/>
      <c r="O32" s="634"/>
      <c r="P32" s="634"/>
      <c r="Q32" s="634"/>
      <c r="R32" s="634"/>
      <c r="S32" s="634"/>
      <c r="T32" s="634"/>
      <c r="U32" s="634"/>
      <c r="V32" s="634"/>
      <c r="W32" s="634"/>
      <c r="X32" s="47"/>
      <c r="Y32" s="55"/>
      <c r="Z32" s="630"/>
      <c r="AA32" s="630"/>
    </row>
    <row r="33" spans="1:27" ht="15.75" customHeight="1" x14ac:dyDescent="0.2">
      <c r="A33" s="402"/>
      <c r="B33" s="196"/>
      <c r="C33" s="196"/>
      <c r="D33" s="197"/>
      <c r="E33" s="196"/>
      <c r="F33" s="196"/>
      <c r="G33" s="196"/>
      <c r="H33" s="196"/>
      <c r="I33" s="196"/>
      <c r="J33" s="196"/>
      <c r="K33" s="196"/>
      <c r="L33" s="82"/>
      <c r="M33" s="82"/>
      <c r="N33" s="52"/>
      <c r="O33" s="634"/>
      <c r="P33" s="634"/>
      <c r="Q33" s="634"/>
      <c r="R33" s="634"/>
      <c r="S33" s="634"/>
      <c r="T33" s="634"/>
      <c r="U33" s="634"/>
      <c r="V33" s="634"/>
      <c r="W33" s="634"/>
      <c r="X33" s="47"/>
      <c r="Y33" s="55"/>
      <c r="Z33" s="630"/>
      <c r="AA33" s="630"/>
    </row>
    <row r="34" spans="1:27" ht="15.75" x14ac:dyDescent="0.2">
      <c r="A34" s="182" t="s">
        <v>56</v>
      </c>
      <c r="B34" s="182" t="s">
        <v>57</v>
      </c>
      <c r="C34" s="402"/>
      <c r="D34" s="178"/>
      <c r="E34" s="178"/>
      <c r="F34" s="178"/>
      <c r="G34" s="178"/>
      <c r="H34" s="178"/>
      <c r="I34" s="178"/>
      <c r="J34" s="178"/>
      <c r="K34" s="178"/>
      <c r="L34" s="44"/>
      <c r="M34" s="43"/>
      <c r="N34" s="52"/>
      <c r="O34" s="634"/>
      <c r="P34" s="634"/>
      <c r="Q34" s="634"/>
      <c r="R34" s="634"/>
      <c r="S34" s="634"/>
      <c r="T34" s="634"/>
      <c r="U34" s="634"/>
      <c r="V34" s="634"/>
      <c r="W34" s="634"/>
      <c r="X34" s="47"/>
      <c r="Y34" s="55"/>
      <c r="Z34" s="630"/>
      <c r="AA34" s="630"/>
    </row>
    <row r="35" spans="1:27" ht="15.75" x14ac:dyDescent="0.2">
      <c r="A35" s="402"/>
      <c r="B35" s="197" t="str">
        <f>PENYELIA!B35</f>
        <v>Ketidakpastian pengukuran diperoleh dari sumber kesalalahan tipe A dan tipe B</v>
      </c>
      <c r="C35" s="402"/>
      <c r="D35" s="178"/>
      <c r="E35" s="178"/>
      <c r="F35" s="178"/>
      <c r="G35" s="178"/>
      <c r="H35" s="178"/>
      <c r="I35" s="178"/>
      <c r="J35" s="178"/>
      <c r="K35" s="178"/>
      <c r="L35" s="44"/>
      <c r="M35" s="43"/>
      <c r="N35" s="52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55"/>
      <c r="Z35" s="630"/>
      <c r="AA35" s="630"/>
    </row>
    <row r="36" spans="1:27" ht="15.75" x14ac:dyDescent="0.2">
      <c r="A36" s="402"/>
      <c r="B36" s="197" t="str">
        <f>PENYELIA!B36</f>
        <v>Hasil pengukuran keselamatan listrik tertelusur ke Satuan Internasional ( SI ) melalui PT. Kaliman (LK-032-IDN)</v>
      </c>
      <c r="C36" s="402"/>
      <c r="D36" s="178"/>
      <c r="E36" s="178"/>
      <c r="F36" s="178"/>
      <c r="G36" s="178"/>
      <c r="H36" s="178"/>
      <c r="I36" s="178"/>
      <c r="J36" s="178"/>
      <c r="K36" s="178"/>
      <c r="L36" s="44"/>
      <c r="M36" s="43"/>
      <c r="N36" s="52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55"/>
      <c r="Z36" s="56"/>
      <c r="AA36" s="56"/>
    </row>
    <row r="37" spans="1:27" ht="15.75" x14ac:dyDescent="0.2">
      <c r="A37" s="402"/>
      <c r="B37" s="197" t="str">
        <f>PENYELIA!B37</f>
        <v>Hasil pengujian kinerja spectral radiance tertelusur ke Laboratorium Standar Nasional Satuan Ukuran, Badan Standarisasi Nasional (SNSU-BSN)</v>
      </c>
      <c r="C37" s="402"/>
      <c r="D37" s="178"/>
      <c r="E37" s="178"/>
      <c r="F37" s="178"/>
      <c r="G37" s="178"/>
      <c r="H37" s="178"/>
      <c r="I37" s="178"/>
      <c r="J37" s="178"/>
      <c r="K37" s="178"/>
      <c r="L37" s="44"/>
      <c r="M37" s="43"/>
      <c r="N37" s="52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55"/>
      <c r="Z37" s="56"/>
      <c r="AA37" s="56"/>
    </row>
    <row r="38" spans="1:27" ht="15.75" customHeight="1" x14ac:dyDescent="0.2">
      <c r="A38" s="402"/>
      <c r="B38" s="178" t="str">
        <f>PENYELIA!B38</f>
        <v>-</v>
      </c>
      <c r="C38" s="197"/>
      <c r="D38" s="178"/>
      <c r="E38" s="178"/>
      <c r="F38" s="178"/>
      <c r="G38" s="178"/>
      <c r="H38" s="178"/>
      <c r="I38" s="178"/>
      <c r="J38" s="178"/>
      <c r="K38" s="178"/>
      <c r="L38" s="44"/>
      <c r="M38" s="43"/>
      <c r="N38" s="52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55"/>
      <c r="Z38" s="630"/>
      <c r="AA38" s="630"/>
    </row>
    <row r="39" spans="1:27" ht="15.75" customHeight="1" x14ac:dyDescent="0.2">
      <c r="A39" s="402"/>
      <c r="B39" s="178" t="str">
        <f>PENYELIA!B39</f>
        <v>-</v>
      </c>
      <c r="C39" s="197"/>
      <c r="D39" s="178"/>
      <c r="E39" s="178"/>
      <c r="F39" s="178"/>
      <c r="G39" s="178"/>
      <c r="H39" s="178"/>
      <c r="I39" s="178"/>
      <c r="J39" s="178"/>
      <c r="K39" s="178"/>
      <c r="L39" s="44"/>
      <c r="M39" s="43"/>
      <c r="N39" s="52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55"/>
      <c r="Z39" s="56"/>
      <c r="AA39" s="56"/>
    </row>
    <row r="40" spans="1:27" ht="15.75" customHeight="1" x14ac:dyDescent="0.2">
      <c r="A40" s="402"/>
      <c r="B40" s="178"/>
      <c r="C40" s="197"/>
      <c r="D40" s="178"/>
      <c r="E40" s="178"/>
      <c r="F40" s="178"/>
      <c r="G40" s="178"/>
      <c r="H40" s="178"/>
      <c r="I40" s="178"/>
      <c r="J40" s="178"/>
      <c r="K40" s="178"/>
      <c r="L40" s="44"/>
      <c r="M40" s="43"/>
      <c r="N40" s="52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55"/>
      <c r="Z40" s="56"/>
      <c r="AA40" s="56"/>
    </row>
    <row r="41" spans="1:27" ht="15.75" x14ac:dyDescent="0.2">
      <c r="A41" s="182" t="s">
        <v>59</v>
      </c>
      <c r="B41" s="182" t="s">
        <v>132</v>
      </c>
      <c r="C41" s="402"/>
      <c r="D41" s="182"/>
      <c r="E41" s="178"/>
      <c r="F41" s="178"/>
      <c r="G41" s="178"/>
      <c r="H41" s="178"/>
      <c r="I41" s="178"/>
      <c r="J41" s="178"/>
      <c r="K41" s="178"/>
      <c r="L41" s="44"/>
      <c r="M41" s="43"/>
      <c r="N41" s="52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55"/>
      <c r="Z41" s="630"/>
      <c r="AA41" s="630"/>
    </row>
    <row r="42" spans="1:27" ht="15.75" x14ac:dyDescent="0.2">
      <c r="A42" s="402"/>
      <c r="B42" s="568" t="str">
        <f>PENYELIA!B42</f>
        <v>Phototherapy Radiometer, Merek : DALE Technology, Model : DALE 40, SN : 4769005</v>
      </c>
      <c r="C42" s="402"/>
      <c r="D42" s="178"/>
      <c r="E42" s="178"/>
      <c r="F42" s="178"/>
      <c r="G42" s="178"/>
      <c r="H42" s="178"/>
      <c r="I42" s="178"/>
      <c r="J42" s="178"/>
      <c r="K42" s="178"/>
      <c r="L42" s="44"/>
      <c r="M42" s="43"/>
      <c r="N42" s="52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55"/>
      <c r="Z42" s="630"/>
      <c r="AA42" s="630"/>
    </row>
    <row r="43" spans="1:27" ht="15.75" x14ac:dyDescent="0.2">
      <c r="A43" s="402"/>
      <c r="B43" s="568" t="str">
        <f>PENYELIA!B43</f>
        <v>Electrical Safety Analyzer, Merek : Fluke, Model : ESA 620, SN : 1837056</v>
      </c>
      <c r="C43" s="402"/>
      <c r="D43" s="178"/>
      <c r="E43" s="178"/>
      <c r="F43" s="178"/>
      <c r="G43" s="178"/>
      <c r="H43" s="178"/>
      <c r="I43" s="178"/>
      <c r="J43" s="178"/>
      <c r="K43" s="178"/>
      <c r="L43" s="44"/>
      <c r="M43" s="43"/>
    </row>
    <row r="44" spans="1:27" ht="15.75" customHeight="1" x14ac:dyDescent="0.2">
      <c r="A44" s="402"/>
      <c r="B44" s="182"/>
      <c r="C44" s="178"/>
      <c r="D44" s="178"/>
      <c r="E44" s="178"/>
      <c r="F44" s="178"/>
      <c r="G44" s="178"/>
      <c r="H44" s="178"/>
      <c r="I44" s="178"/>
      <c r="J44" s="178"/>
      <c r="K44" s="178"/>
      <c r="L44" s="44"/>
      <c r="M44" s="43"/>
    </row>
    <row r="45" spans="1:27" ht="15.75" x14ac:dyDescent="0.2">
      <c r="A45" s="182" t="s">
        <v>72</v>
      </c>
      <c r="B45" s="182" t="s">
        <v>73</v>
      </c>
      <c r="C45" s="402"/>
      <c r="D45" s="178"/>
      <c r="E45" s="178"/>
      <c r="F45" s="178"/>
      <c r="G45" s="178"/>
      <c r="H45" s="178"/>
      <c r="I45" s="178"/>
      <c r="J45" s="178"/>
      <c r="K45" s="178"/>
      <c r="L45" s="44"/>
      <c r="M45" s="43"/>
    </row>
    <row r="46" spans="1:27" ht="20.25" customHeight="1" x14ac:dyDescent="0.2">
      <c r="A46" s="402"/>
      <c r="B46" s="657" t="str">
        <f>PENYELIA!B46</f>
        <v>Alat yang dikalibrasi dalam batas toleransi dan dinyatakan LAIK PAKAI, dimana hasil atau skor akhir sama dengan atau melampaui 70 % berdasarkan Keputusan Direktur Jenderal Pelayanan Kesehatan No : HK.02.02/V/0412/2020</v>
      </c>
      <c r="C46" s="657"/>
      <c r="D46" s="657"/>
      <c r="E46" s="657"/>
      <c r="F46" s="657"/>
      <c r="G46" s="657"/>
      <c r="H46" s="657"/>
      <c r="I46" s="657"/>
      <c r="J46" s="657"/>
      <c r="K46" s="178"/>
      <c r="L46" s="44"/>
      <c r="M46" s="43"/>
    </row>
    <row r="47" spans="1:27" ht="13.5" customHeight="1" x14ac:dyDescent="0.2">
      <c r="A47" s="402"/>
      <c r="B47" s="657"/>
      <c r="C47" s="657"/>
      <c r="D47" s="657"/>
      <c r="E47" s="657"/>
      <c r="F47" s="657"/>
      <c r="G47" s="657"/>
      <c r="H47" s="657"/>
      <c r="I47" s="657"/>
      <c r="J47" s="657"/>
      <c r="K47" s="178"/>
      <c r="L47" s="44"/>
      <c r="M47" s="43"/>
    </row>
    <row r="48" spans="1:27" ht="9.75" customHeight="1" x14ac:dyDescent="0.2">
      <c r="A48" s="402"/>
      <c r="B48" s="182"/>
      <c r="C48" s="178"/>
      <c r="D48" s="178"/>
      <c r="E48" s="178"/>
      <c r="F48" s="178"/>
      <c r="G48" s="178"/>
      <c r="H48" s="178"/>
      <c r="I48" s="178"/>
      <c r="J48" s="178"/>
      <c r="K48" s="178"/>
      <c r="L48" s="44"/>
      <c r="M48" s="43"/>
    </row>
    <row r="49" spans="1:13" ht="15.75" x14ac:dyDescent="0.2">
      <c r="A49" s="182" t="s">
        <v>75</v>
      </c>
      <c r="B49" s="182" t="s">
        <v>76</v>
      </c>
      <c r="C49" s="402"/>
      <c r="D49" s="178"/>
      <c r="E49" s="178"/>
      <c r="F49" s="178"/>
      <c r="G49" s="178"/>
      <c r="H49" s="178"/>
      <c r="I49" s="178"/>
      <c r="J49" s="178"/>
      <c r="K49" s="178"/>
      <c r="L49" s="44"/>
      <c r="M49" s="43"/>
    </row>
    <row r="50" spans="1:13" ht="15.75" x14ac:dyDescent="0.2">
      <c r="A50" s="402"/>
      <c r="B50" s="178" t="str">
        <f>PENYELIA!B50</f>
        <v>Isra Mahensa</v>
      </c>
      <c r="C50" s="402"/>
      <c r="D50" s="178"/>
      <c r="E50" s="178"/>
      <c r="F50" s="178"/>
      <c r="G50" s="178"/>
      <c r="H50" s="178"/>
      <c r="I50" s="178"/>
      <c r="J50" s="178"/>
      <c r="K50" s="178"/>
      <c r="L50" s="44"/>
      <c r="M50" s="43"/>
    </row>
    <row r="51" spans="1:13" ht="15.75" x14ac:dyDescent="0.2">
      <c r="A51" s="402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44"/>
      <c r="M51" s="43"/>
    </row>
    <row r="52" spans="1:13" ht="15.75" x14ac:dyDescent="0.2">
      <c r="A52" s="402"/>
      <c r="B52" s="178"/>
      <c r="C52" s="178"/>
      <c r="D52" s="178"/>
      <c r="E52" s="205"/>
      <c r="F52" s="205"/>
      <c r="G52" s="206"/>
      <c r="H52" s="178" t="s">
        <v>242</v>
      </c>
      <c r="I52" s="178"/>
      <c r="J52" s="178"/>
      <c r="K52" s="178"/>
      <c r="L52" s="76"/>
      <c r="M52" s="44"/>
    </row>
    <row r="53" spans="1:13" ht="15.75" x14ac:dyDescent="0.2">
      <c r="A53" s="402"/>
      <c r="B53" s="182"/>
      <c r="C53" s="394"/>
      <c r="D53" s="187"/>
      <c r="E53" s="187"/>
      <c r="F53" s="187"/>
      <c r="G53" s="206"/>
      <c r="H53" s="178" t="s">
        <v>243</v>
      </c>
      <c r="I53" s="178"/>
      <c r="J53" s="187"/>
      <c r="K53" s="178"/>
      <c r="L53" s="76"/>
      <c r="M53" s="43"/>
    </row>
    <row r="54" spans="1:13" ht="15.75" x14ac:dyDescent="0.2">
      <c r="A54" s="402"/>
      <c r="B54" s="178"/>
      <c r="C54" s="666"/>
      <c r="D54" s="666"/>
      <c r="E54" s="666"/>
      <c r="F54" s="666"/>
      <c r="G54" s="206"/>
      <c r="H54" s="178" t="s">
        <v>244</v>
      </c>
      <c r="I54" s="178"/>
      <c r="J54" s="181"/>
      <c r="K54" s="178"/>
      <c r="L54" s="76"/>
      <c r="M54" s="43"/>
    </row>
    <row r="55" spans="1:13" ht="15.75" x14ac:dyDescent="0.2">
      <c r="A55" s="402"/>
      <c r="B55" s="178"/>
      <c r="C55" s="187"/>
      <c r="D55" s="187"/>
      <c r="E55" s="187"/>
      <c r="F55" s="187"/>
      <c r="G55" s="206"/>
      <c r="H55" s="178"/>
      <c r="I55" s="178"/>
      <c r="J55" s="181"/>
      <c r="K55" s="178"/>
      <c r="L55" s="76"/>
      <c r="M55" s="43"/>
    </row>
    <row r="56" spans="1:13" ht="15.75" x14ac:dyDescent="0.2">
      <c r="A56" s="402"/>
      <c r="B56" s="178"/>
      <c r="C56" s="666"/>
      <c r="D56" s="666"/>
      <c r="E56" s="666"/>
      <c r="F56" s="666"/>
      <c r="G56" s="206"/>
      <c r="H56" s="178"/>
      <c r="I56" s="178"/>
      <c r="J56" s="206"/>
      <c r="K56" s="178"/>
      <c r="L56" s="76"/>
      <c r="M56" s="43"/>
    </row>
    <row r="57" spans="1:13" ht="15.75" x14ac:dyDescent="0.2">
      <c r="A57" s="402"/>
      <c r="B57" s="178"/>
      <c r="C57" s="665"/>
      <c r="D57" s="665"/>
      <c r="E57" s="666"/>
      <c r="F57" s="666"/>
      <c r="G57" s="206"/>
      <c r="H57" s="178"/>
      <c r="I57" s="178"/>
      <c r="J57" s="206"/>
      <c r="K57" s="178"/>
      <c r="L57" s="76"/>
      <c r="M57" s="43"/>
    </row>
    <row r="58" spans="1:13" ht="15.75" x14ac:dyDescent="0.2">
      <c r="A58" s="402"/>
      <c r="B58" s="178"/>
      <c r="C58" s="395"/>
      <c r="D58" s="395"/>
      <c r="E58" s="395"/>
      <c r="F58" s="395"/>
      <c r="G58" s="206"/>
      <c r="H58" s="196"/>
      <c r="I58" s="196"/>
      <c r="J58" s="206"/>
      <c r="K58" s="178"/>
      <c r="L58" s="76"/>
      <c r="M58" s="43"/>
    </row>
    <row r="59" spans="1:13" ht="15.75" x14ac:dyDescent="0.2">
      <c r="A59" s="402"/>
      <c r="B59" s="178"/>
      <c r="C59" s="396"/>
      <c r="D59" s="196"/>
      <c r="E59" s="179"/>
      <c r="F59" s="179"/>
      <c r="G59" s="206"/>
      <c r="H59" s="397" t="s">
        <v>245</v>
      </c>
      <c r="I59" s="397"/>
      <c r="J59" s="206"/>
      <c r="K59" s="178"/>
      <c r="L59" s="76"/>
      <c r="M59" s="45"/>
    </row>
    <row r="60" spans="1:13" ht="15.75" x14ac:dyDescent="0.2">
      <c r="A60" s="402"/>
      <c r="B60" s="178"/>
      <c r="C60" s="396"/>
      <c r="D60" s="179"/>
      <c r="E60" s="179"/>
      <c r="F60" s="179"/>
      <c r="G60" s="206"/>
      <c r="H60" s="398" t="str">
        <f>VLOOKUP(H59,B64:C65,2,0)</f>
        <v>NIP 198008062010121001</v>
      </c>
      <c r="I60" s="398"/>
      <c r="J60" s="206"/>
      <c r="K60" s="178"/>
      <c r="L60" s="76"/>
      <c r="M60" s="43"/>
    </row>
    <row r="61" spans="1:13" ht="26.25" customHeight="1" x14ac:dyDescent="0.2">
      <c r="A61" s="402"/>
      <c r="B61" s="399"/>
      <c r="C61" s="400"/>
      <c r="D61" s="400"/>
      <c r="E61" s="400"/>
      <c r="F61" s="400"/>
      <c r="G61" s="401"/>
      <c r="H61" s="401"/>
      <c r="I61" s="401"/>
      <c r="J61" s="402"/>
      <c r="K61" s="403" t="s">
        <v>246</v>
      </c>
      <c r="L61" s="43"/>
      <c r="M61" s="43"/>
    </row>
    <row r="62" spans="1:13" ht="15" x14ac:dyDescent="0.2">
      <c r="B62" s="57"/>
      <c r="C62" s="83"/>
      <c r="D62" s="83"/>
      <c r="E62" s="83"/>
      <c r="F62" s="83"/>
      <c r="G62" s="84"/>
      <c r="H62" s="83"/>
      <c r="I62" s="83"/>
      <c r="J62" s="85"/>
      <c r="K62" s="57"/>
      <c r="L62" s="57"/>
      <c r="M62" s="57"/>
    </row>
    <row r="63" spans="1:13" ht="15" x14ac:dyDescent="0.2">
      <c r="B63" s="57"/>
      <c r="C63" s="83"/>
      <c r="D63" s="83"/>
      <c r="E63" s="83"/>
      <c r="F63" s="83"/>
      <c r="G63" s="84"/>
      <c r="H63" s="83"/>
      <c r="I63" s="83"/>
      <c r="J63" s="85"/>
      <c r="K63" s="57"/>
      <c r="L63" s="57"/>
      <c r="M63" s="57"/>
    </row>
    <row r="64" spans="1:13" ht="15" x14ac:dyDescent="0.2">
      <c r="B64" s="246" t="s">
        <v>245</v>
      </c>
      <c r="C64" s="245" t="s">
        <v>247</v>
      </c>
      <c r="D64" s="83"/>
      <c r="E64" s="83"/>
      <c r="H64" s="83"/>
      <c r="I64" s="83"/>
      <c r="J64" s="85"/>
      <c r="K64" s="57"/>
      <c r="L64" s="57"/>
      <c r="M64" s="57"/>
    </row>
    <row r="65" spans="2:13" ht="15" x14ac:dyDescent="0.2">
      <c r="B65" s="246" t="s">
        <v>248</v>
      </c>
      <c r="C65" s="245" t="s">
        <v>249</v>
      </c>
      <c r="D65" s="83"/>
      <c r="E65" s="83"/>
      <c r="H65" s="83"/>
      <c r="I65" s="83"/>
      <c r="J65" s="85"/>
      <c r="L65" s="57"/>
    </row>
    <row r="66" spans="2:13" ht="15" x14ac:dyDescent="0.2">
      <c r="B66" s="57"/>
      <c r="C66" s="83"/>
      <c r="D66" s="83"/>
      <c r="E66" s="83"/>
      <c r="F66" s="83"/>
      <c r="G66" s="84"/>
      <c r="H66" s="83"/>
      <c r="I66" s="83"/>
      <c r="J66" s="85"/>
      <c r="K66" s="57"/>
      <c r="L66" s="57"/>
      <c r="M66" s="57"/>
    </row>
    <row r="69" spans="2:13" x14ac:dyDescent="0.2"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576"/>
      <c r="M69" s="87"/>
    </row>
    <row r="72" spans="2:13" x14ac:dyDescent="0.2"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576"/>
      <c r="M72" s="209"/>
    </row>
    <row r="73" spans="2:13" x14ac:dyDescent="0.2">
      <c r="B73" s="209"/>
      <c r="C73" s="209"/>
      <c r="D73" s="209"/>
      <c r="E73" s="209"/>
      <c r="F73" s="209"/>
      <c r="G73" s="209"/>
      <c r="H73" s="209"/>
      <c r="I73" s="209"/>
      <c r="J73" s="88"/>
      <c r="K73" s="209"/>
      <c r="L73" s="576"/>
      <c r="M73" s="88"/>
    </row>
    <row r="74" spans="2:13" x14ac:dyDescent="0.2">
      <c r="J74" s="47"/>
      <c r="M74" s="47"/>
    </row>
    <row r="75" spans="2:13" x14ac:dyDescent="0.2">
      <c r="J75" s="47"/>
      <c r="M75" s="47"/>
    </row>
  </sheetData>
  <sheetProtection formatCells="0" formatColumns="0" formatRows="0" insertColumns="0" insertRows="0" deleteColumns="0" deleteRows="0"/>
  <mergeCells count="35">
    <mergeCell ref="C57:D57"/>
    <mergeCell ref="E57:F57"/>
    <mergeCell ref="C54:D54"/>
    <mergeCell ref="E54:F54"/>
    <mergeCell ref="C56:D56"/>
    <mergeCell ref="E56:F56"/>
    <mergeCell ref="Z42:AA42"/>
    <mergeCell ref="O33:W33"/>
    <mergeCell ref="Z33:AA33"/>
    <mergeCell ref="O34:W34"/>
    <mergeCell ref="Z34:AA34"/>
    <mergeCell ref="Z35:AA35"/>
    <mergeCell ref="Z38:AA38"/>
    <mergeCell ref="Z41:AA41"/>
    <mergeCell ref="O32:W32"/>
    <mergeCell ref="Z32:AA32"/>
    <mergeCell ref="O31:W31"/>
    <mergeCell ref="Z31:AA31"/>
    <mergeCell ref="O29:W29"/>
    <mergeCell ref="X29:Y29"/>
    <mergeCell ref="Z29:AA29"/>
    <mergeCell ref="A1:K1"/>
    <mergeCell ref="B46:J47"/>
    <mergeCell ref="C23:G24"/>
    <mergeCell ref="F30:G31"/>
    <mergeCell ref="B23:B24"/>
    <mergeCell ref="B30:B31"/>
    <mergeCell ref="C30:C31"/>
    <mergeCell ref="D30:D31"/>
    <mergeCell ref="E30:E31"/>
    <mergeCell ref="H23:I24"/>
    <mergeCell ref="H30:I31"/>
    <mergeCell ref="A2:K2"/>
    <mergeCell ref="H25:I25"/>
    <mergeCell ref="F32:G32"/>
  </mergeCells>
  <dataValidations disablePrompts="1" count="1">
    <dataValidation type="list" allowBlank="1" showInputMessage="1" showErrorMessage="1" sqref="H59:I59" xr:uid="{00000000-0002-0000-0500-000000000000}">
      <formula1>$B$64:$B$65</formula1>
    </dataValidation>
  </dataValidations>
  <printOptions horizontalCentered="1"/>
  <pageMargins left="0.5" right="0.25" top="0.5" bottom="0.4" header="0.25" footer="0.25"/>
  <pageSetup paperSize="9" scale="70" orientation="portrait" horizontalDpi="4294967292" r:id="rId1"/>
  <headerFooter>
    <oddHeader>&amp;R&amp;"-,Regular"&amp;8OA.038 - 18</oddHeader>
    <oddFooter>&amp;C&amp;"-,Regular"&amp;8Dilarang keras mengutip/memperbanyak dan atau mempublikasikan sebagian isi sertifikat ini tanpa seijin LPFK banjarbaru
Sertifikat ini sah apabila telah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7409" r:id="rId4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09" r:id="rId4"/>
      </mc:Fallback>
    </mc:AlternateContent>
    <mc:AlternateContent xmlns:mc="http://schemas.openxmlformats.org/markup-compatibility/2006">
      <mc:Choice Requires="x14">
        <oleObject progId="Equation.3" shapeId="17410" r:id="rId6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0" r:id="rId6"/>
      </mc:Fallback>
    </mc:AlternateContent>
    <mc:AlternateContent xmlns:mc="http://schemas.openxmlformats.org/markup-compatibility/2006">
      <mc:Choice Requires="x14">
        <oleObject progId="Equation.3" shapeId="17411" r:id="rId7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1" r:id="rId7"/>
      </mc:Fallback>
    </mc:AlternateContent>
    <mc:AlternateContent xmlns:mc="http://schemas.openxmlformats.org/markup-compatibility/2006">
      <mc:Choice Requires="x14">
        <oleObject progId="Equation.3" shapeId="17412" r:id="rId8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2" r:id="rId8"/>
      </mc:Fallback>
    </mc:AlternateContent>
    <mc:AlternateContent xmlns:mc="http://schemas.openxmlformats.org/markup-compatibility/2006">
      <mc:Choice Requires="x14">
        <oleObject progId="Equation.3" shapeId="17413" r:id="rId9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3" r:id="rId9"/>
      </mc:Fallback>
    </mc:AlternateContent>
    <mc:AlternateContent xmlns:mc="http://schemas.openxmlformats.org/markup-compatibility/2006">
      <mc:Choice Requires="x14">
        <oleObject progId="Equation.3" shapeId="17414" r:id="rId10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4" r:id="rId10"/>
      </mc:Fallback>
    </mc:AlternateContent>
    <mc:AlternateContent xmlns:mc="http://schemas.openxmlformats.org/markup-compatibility/2006">
      <mc:Choice Requires="x14">
        <oleObject progId="Equation.3" shapeId="17415" r:id="rId11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5" r:id="rId11"/>
      </mc:Fallback>
    </mc:AlternateContent>
    <mc:AlternateContent xmlns:mc="http://schemas.openxmlformats.org/markup-compatibility/2006">
      <mc:Choice Requires="x14">
        <oleObject progId="Equation.3" shapeId="17416" r:id="rId12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6" r:id="rId12"/>
      </mc:Fallback>
    </mc:AlternateContent>
    <mc:AlternateContent xmlns:mc="http://schemas.openxmlformats.org/markup-compatibility/2006">
      <mc:Choice Requires="x14">
        <oleObject progId="Equation.3" shapeId="17417" r:id="rId13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7" r:id="rId13"/>
      </mc:Fallback>
    </mc:AlternateContent>
    <mc:AlternateContent xmlns:mc="http://schemas.openxmlformats.org/markup-compatibility/2006">
      <mc:Choice Requires="x14">
        <oleObject progId="Equation.3" shapeId="17418" r:id="rId14">
          <objectPr defaultSize="0" autoPict="0" r:id="rId5">
            <anchor moveWithCells="1" sizeWithCells="1">
              <from>
                <xdr:col>11</xdr:col>
                <xdr:colOff>9525</xdr:colOff>
                <xdr:row>20</xdr:row>
                <xdr:rowOff>0</xdr:rowOff>
              </from>
              <to>
                <xdr:col>11</xdr:col>
                <xdr:colOff>409575</xdr:colOff>
                <xdr:row>20</xdr:row>
                <xdr:rowOff>0</xdr:rowOff>
              </to>
            </anchor>
          </objectPr>
        </oleObject>
      </mc:Choice>
      <mc:Fallback>
        <oleObject progId="Equation.3" shapeId="17418" r:id="rId14"/>
      </mc:Fallback>
    </mc:AlternateContent>
    <mc:AlternateContent xmlns:mc="http://schemas.openxmlformats.org/markup-compatibility/2006">
      <mc:Choice Requires="x14">
        <oleObject progId="Equation.3" shapeId="17419" r:id="rId15">
          <objectPr defaultSize="0" autoPict="0" r:id="rId5">
            <anchor moveWithCells="1" sizeWithCells="1">
              <from>
                <xdr:col>11</xdr:col>
                <xdr:colOff>38100</xdr:colOff>
                <xdr:row>20</xdr:row>
                <xdr:rowOff>0</xdr:rowOff>
              </from>
              <to>
                <xdr:col>11</xdr:col>
                <xdr:colOff>419100</xdr:colOff>
                <xdr:row>20</xdr:row>
                <xdr:rowOff>0</xdr:rowOff>
              </to>
            </anchor>
          </objectPr>
        </oleObject>
      </mc:Choice>
      <mc:Fallback>
        <oleObject progId="Equation.3" shapeId="17419" r:id="rId15"/>
      </mc:Fallback>
    </mc:AlternateContent>
    <mc:AlternateContent xmlns:mc="http://schemas.openxmlformats.org/markup-compatibility/2006">
      <mc:Choice Requires="x14">
        <oleObject progId="Equation.3" shapeId="17420" r:id="rId1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0" r:id="rId16"/>
      </mc:Fallback>
    </mc:AlternateContent>
    <mc:AlternateContent xmlns:mc="http://schemas.openxmlformats.org/markup-compatibility/2006">
      <mc:Choice Requires="x14">
        <oleObject progId="Equation.3" shapeId="17421" r:id="rId1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1" r:id="rId17"/>
      </mc:Fallback>
    </mc:AlternateContent>
    <mc:AlternateContent xmlns:mc="http://schemas.openxmlformats.org/markup-compatibility/2006">
      <mc:Choice Requires="x14">
        <oleObject progId="Equation.3" shapeId="17422" r:id="rId1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2" r:id="rId18"/>
      </mc:Fallback>
    </mc:AlternateContent>
    <mc:AlternateContent xmlns:mc="http://schemas.openxmlformats.org/markup-compatibility/2006">
      <mc:Choice Requires="x14">
        <oleObject progId="Equation.3" shapeId="17423" r:id="rId1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3" r:id="rId19"/>
      </mc:Fallback>
    </mc:AlternateContent>
    <mc:AlternateContent xmlns:mc="http://schemas.openxmlformats.org/markup-compatibility/2006">
      <mc:Choice Requires="x14">
        <oleObject progId="Equation.3" shapeId="17424" r:id="rId2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4" r:id="rId20"/>
      </mc:Fallback>
    </mc:AlternateContent>
    <mc:AlternateContent xmlns:mc="http://schemas.openxmlformats.org/markup-compatibility/2006">
      <mc:Choice Requires="x14">
        <oleObject progId="Equation.3" shapeId="17425" r:id="rId2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5" r:id="rId21"/>
      </mc:Fallback>
    </mc:AlternateContent>
    <mc:AlternateContent xmlns:mc="http://schemas.openxmlformats.org/markup-compatibility/2006">
      <mc:Choice Requires="x14">
        <oleObject progId="Equation.3" shapeId="17426" r:id="rId2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6" r:id="rId22"/>
      </mc:Fallback>
    </mc:AlternateContent>
    <mc:AlternateContent xmlns:mc="http://schemas.openxmlformats.org/markup-compatibility/2006">
      <mc:Choice Requires="x14">
        <oleObject progId="Equation.3" shapeId="17427" r:id="rId2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7" r:id="rId23"/>
      </mc:Fallback>
    </mc:AlternateContent>
    <mc:AlternateContent xmlns:mc="http://schemas.openxmlformats.org/markup-compatibility/2006">
      <mc:Choice Requires="x14">
        <oleObject progId="Equation.3" shapeId="17428" r:id="rId2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8" r:id="rId24"/>
      </mc:Fallback>
    </mc:AlternateContent>
    <mc:AlternateContent xmlns:mc="http://schemas.openxmlformats.org/markup-compatibility/2006">
      <mc:Choice Requires="x14">
        <oleObject progId="Equation.3" shapeId="17429" r:id="rId2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29" r:id="rId25"/>
      </mc:Fallback>
    </mc:AlternateContent>
    <mc:AlternateContent xmlns:mc="http://schemas.openxmlformats.org/markup-compatibility/2006">
      <mc:Choice Requires="x14">
        <oleObject progId="Equation.3" shapeId="17430" r:id="rId26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30" r:id="rId26"/>
      </mc:Fallback>
    </mc:AlternateContent>
    <mc:AlternateContent xmlns:mc="http://schemas.openxmlformats.org/markup-compatibility/2006">
      <mc:Choice Requires="x14">
        <oleObject progId="Equation.3" shapeId="17431" r:id="rId2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1" r:id="rId27"/>
      </mc:Fallback>
    </mc:AlternateContent>
    <mc:AlternateContent xmlns:mc="http://schemas.openxmlformats.org/markup-compatibility/2006">
      <mc:Choice Requires="x14">
        <oleObject progId="Equation.3" shapeId="17432" r:id="rId2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2" r:id="rId28"/>
      </mc:Fallback>
    </mc:AlternateContent>
    <mc:AlternateContent xmlns:mc="http://schemas.openxmlformats.org/markup-compatibility/2006">
      <mc:Choice Requires="x14">
        <oleObject progId="Equation.3" shapeId="17433" r:id="rId2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3" r:id="rId29"/>
      </mc:Fallback>
    </mc:AlternateContent>
    <mc:AlternateContent xmlns:mc="http://schemas.openxmlformats.org/markup-compatibility/2006">
      <mc:Choice Requires="x14">
        <oleObject progId="Equation.3" shapeId="17434" r:id="rId3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4" r:id="rId30"/>
      </mc:Fallback>
    </mc:AlternateContent>
    <mc:AlternateContent xmlns:mc="http://schemas.openxmlformats.org/markup-compatibility/2006">
      <mc:Choice Requires="x14">
        <oleObject progId="Equation.3" shapeId="17435" r:id="rId3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5" r:id="rId31"/>
      </mc:Fallback>
    </mc:AlternateContent>
    <mc:AlternateContent xmlns:mc="http://schemas.openxmlformats.org/markup-compatibility/2006">
      <mc:Choice Requires="x14">
        <oleObject progId="Equation.3" shapeId="17436" r:id="rId3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6" r:id="rId32"/>
      </mc:Fallback>
    </mc:AlternateContent>
    <mc:AlternateContent xmlns:mc="http://schemas.openxmlformats.org/markup-compatibility/2006">
      <mc:Choice Requires="x14">
        <oleObject progId="Equation.3" shapeId="17437" r:id="rId3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7" r:id="rId33"/>
      </mc:Fallback>
    </mc:AlternateContent>
    <mc:AlternateContent xmlns:mc="http://schemas.openxmlformats.org/markup-compatibility/2006">
      <mc:Choice Requires="x14">
        <oleObject progId="Equation.3" shapeId="17438" r:id="rId3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8" r:id="rId34"/>
      </mc:Fallback>
    </mc:AlternateContent>
    <mc:AlternateContent xmlns:mc="http://schemas.openxmlformats.org/markup-compatibility/2006">
      <mc:Choice Requires="x14">
        <oleObject progId="Equation.3" shapeId="17439" r:id="rId3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39" r:id="rId35"/>
      </mc:Fallback>
    </mc:AlternateContent>
    <mc:AlternateContent xmlns:mc="http://schemas.openxmlformats.org/markup-compatibility/2006">
      <mc:Choice Requires="x14">
        <oleObject progId="Equation.3" shapeId="17440" r:id="rId3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0" r:id="rId36"/>
      </mc:Fallback>
    </mc:AlternateContent>
    <mc:AlternateContent xmlns:mc="http://schemas.openxmlformats.org/markup-compatibility/2006">
      <mc:Choice Requires="x14">
        <oleObject progId="Equation.3" shapeId="17441" r:id="rId37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41" r:id="rId37"/>
      </mc:Fallback>
    </mc:AlternateContent>
    <mc:AlternateContent xmlns:mc="http://schemas.openxmlformats.org/markup-compatibility/2006">
      <mc:Choice Requires="x14">
        <oleObject progId="Equation.3" shapeId="17442" r:id="rId3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2" r:id="rId38"/>
      </mc:Fallback>
    </mc:AlternateContent>
    <mc:AlternateContent xmlns:mc="http://schemas.openxmlformats.org/markup-compatibility/2006">
      <mc:Choice Requires="x14">
        <oleObject progId="Equation.3" shapeId="17443" r:id="rId3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3" r:id="rId39"/>
      </mc:Fallback>
    </mc:AlternateContent>
    <mc:AlternateContent xmlns:mc="http://schemas.openxmlformats.org/markup-compatibility/2006">
      <mc:Choice Requires="x14">
        <oleObject progId="Equation.3" shapeId="17444" r:id="rId4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4" r:id="rId40"/>
      </mc:Fallback>
    </mc:AlternateContent>
    <mc:AlternateContent xmlns:mc="http://schemas.openxmlformats.org/markup-compatibility/2006">
      <mc:Choice Requires="x14">
        <oleObject progId="Equation.3" shapeId="17445" r:id="rId4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5" r:id="rId41"/>
      </mc:Fallback>
    </mc:AlternateContent>
    <mc:AlternateContent xmlns:mc="http://schemas.openxmlformats.org/markup-compatibility/2006">
      <mc:Choice Requires="x14">
        <oleObject progId="Equation.3" shapeId="17446" r:id="rId4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6" r:id="rId42"/>
      </mc:Fallback>
    </mc:AlternateContent>
    <mc:AlternateContent xmlns:mc="http://schemas.openxmlformats.org/markup-compatibility/2006">
      <mc:Choice Requires="x14">
        <oleObject progId="Equation.3" shapeId="17447" r:id="rId4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7" r:id="rId43"/>
      </mc:Fallback>
    </mc:AlternateContent>
    <mc:AlternateContent xmlns:mc="http://schemas.openxmlformats.org/markup-compatibility/2006">
      <mc:Choice Requires="x14">
        <oleObject progId="Equation.3" shapeId="17448" r:id="rId4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8" r:id="rId44"/>
      </mc:Fallback>
    </mc:AlternateContent>
    <mc:AlternateContent xmlns:mc="http://schemas.openxmlformats.org/markup-compatibility/2006">
      <mc:Choice Requires="x14">
        <oleObject progId="Equation.3" shapeId="17449" r:id="rId4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49" r:id="rId45"/>
      </mc:Fallback>
    </mc:AlternateContent>
    <mc:AlternateContent xmlns:mc="http://schemas.openxmlformats.org/markup-compatibility/2006">
      <mc:Choice Requires="x14">
        <oleObject progId="Equation.3" shapeId="17450" r:id="rId4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0" r:id="rId46"/>
      </mc:Fallback>
    </mc:AlternateContent>
    <mc:AlternateContent xmlns:mc="http://schemas.openxmlformats.org/markup-compatibility/2006">
      <mc:Choice Requires="x14">
        <oleObject progId="Equation.3" shapeId="17451" r:id="rId4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1" r:id="rId47"/>
      </mc:Fallback>
    </mc:AlternateContent>
    <mc:AlternateContent xmlns:mc="http://schemas.openxmlformats.org/markup-compatibility/2006">
      <mc:Choice Requires="x14">
        <oleObject progId="Equation.3" shapeId="17452" r:id="rId48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52" r:id="rId48"/>
      </mc:Fallback>
    </mc:AlternateContent>
    <mc:AlternateContent xmlns:mc="http://schemas.openxmlformats.org/markup-compatibility/2006">
      <mc:Choice Requires="x14">
        <oleObject progId="Equation.3" shapeId="17453" r:id="rId4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3" r:id="rId49"/>
      </mc:Fallback>
    </mc:AlternateContent>
    <mc:AlternateContent xmlns:mc="http://schemas.openxmlformats.org/markup-compatibility/2006">
      <mc:Choice Requires="x14">
        <oleObject progId="Equation.3" shapeId="17454" r:id="rId5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4" r:id="rId50"/>
      </mc:Fallback>
    </mc:AlternateContent>
    <mc:AlternateContent xmlns:mc="http://schemas.openxmlformats.org/markup-compatibility/2006">
      <mc:Choice Requires="x14">
        <oleObject progId="Equation.3" shapeId="17455" r:id="rId5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5" r:id="rId51"/>
      </mc:Fallback>
    </mc:AlternateContent>
    <mc:AlternateContent xmlns:mc="http://schemas.openxmlformats.org/markup-compatibility/2006">
      <mc:Choice Requires="x14">
        <oleObject progId="Equation.3" shapeId="17456" r:id="rId5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6" r:id="rId52"/>
      </mc:Fallback>
    </mc:AlternateContent>
    <mc:AlternateContent xmlns:mc="http://schemas.openxmlformats.org/markup-compatibility/2006">
      <mc:Choice Requires="x14">
        <oleObject progId="Equation.3" shapeId="17457" r:id="rId5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7" r:id="rId53"/>
      </mc:Fallback>
    </mc:AlternateContent>
    <mc:AlternateContent xmlns:mc="http://schemas.openxmlformats.org/markup-compatibility/2006">
      <mc:Choice Requires="x14">
        <oleObject progId="Equation.3" shapeId="17458" r:id="rId5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8" r:id="rId54"/>
      </mc:Fallback>
    </mc:AlternateContent>
    <mc:AlternateContent xmlns:mc="http://schemas.openxmlformats.org/markup-compatibility/2006">
      <mc:Choice Requires="x14">
        <oleObject progId="Equation.3" shapeId="17459" r:id="rId5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59" r:id="rId55"/>
      </mc:Fallback>
    </mc:AlternateContent>
    <mc:AlternateContent xmlns:mc="http://schemas.openxmlformats.org/markup-compatibility/2006">
      <mc:Choice Requires="x14">
        <oleObject progId="Equation.3" shapeId="17460" r:id="rId5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0" r:id="rId56"/>
      </mc:Fallback>
    </mc:AlternateContent>
    <mc:AlternateContent xmlns:mc="http://schemas.openxmlformats.org/markup-compatibility/2006">
      <mc:Choice Requires="x14">
        <oleObject progId="Equation.3" shapeId="17461" r:id="rId5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1" r:id="rId57"/>
      </mc:Fallback>
    </mc:AlternateContent>
    <mc:AlternateContent xmlns:mc="http://schemas.openxmlformats.org/markup-compatibility/2006">
      <mc:Choice Requires="x14">
        <oleObject progId="Equation.3" shapeId="17462" r:id="rId5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2" r:id="rId58"/>
      </mc:Fallback>
    </mc:AlternateContent>
    <mc:AlternateContent xmlns:mc="http://schemas.openxmlformats.org/markup-compatibility/2006">
      <mc:Choice Requires="x14">
        <oleObject progId="Equation.3" shapeId="17463" r:id="rId59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63" r:id="rId59"/>
      </mc:Fallback>
    </mc:AlternateContent>
    <mc:AlternateContent xmlns:mc="http://schemas.openxmlformats.org/markup-compatibility/2006">
      <mc:Choice Requires="x14">
        <oleObject progId="Equation.3" shapeId="17464" r:id="rId6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4" r:id="rId60"/>
      </mc:Fallback>
    </mc:AlternateContent>
    <mc:AlternateContent xmlns:mc="http://schemas.openxmlformats.org/markup-compatibility/2006">
      <mc:Choice Requires="x14">
        <oleObject progId="Equation.3" shapeId="17465" r:id="rId6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5" r:id="rId61"/>
      </mc:Fallback>
    </mc:AlternateContent>
    <mc:AlternateContent xmlns:mc="http://schemas.openxmlformats.org/markup-compatibility/2006">
      <mc:Choice Requires="x14">
        <oleObject progId="Equation.3" shapeId="17466" r:id="rId6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6" r:id="rId62"/>
      </mc:Fallback>
    </mc:AlternateContent>
    <mc:AlternateContent xmlns:mc="http://schemas.openxmlformats.org/markup-compatibility/2006">
      <mc:Choice Requires="x14">
        <oleObject progId="Equation.3" shapeId="17467" r:id="rId6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7" r:id="rId63"/>
      </mc:Fallback>
    </mc:AlternateContent>
    <mc:AlternateContent xmlns:mc="http://schemas.openxmlformats.org/markup-compatibility/2006">
      <mc:Choice Requires="x14">
        <oleObject progId="Equation.3" shapeId="17468" r:id="rId6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8" r:id="rId64"/>
      </mc:Fallback>
    </mc:AlternateContent>
    <mc:AlternateContent xmlns:mc="http://schemas.openxmlformats.org/markup-compatibility/2006">
      <mc:Choice Requires="x14">
        <oleObject progId="Equation.3" shapeId="17469" r:id="rId6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69" r:id="rId65"/>
      </mc:Fallback>
    </mc:AlternateContent>
    <mc:AlternateContent xmlns:mc="http://schemas.openxmlformats.org/markup-compatibility/2006">
      <mc:Choice Requires="x14">
        <oleObject progId="Equation.3" shapeId="17470" r:id="rId6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0" r:id="rId66"/>
      </mc:Fallback>
    </mc:AlternateContent>
    <mc:AlternateContent xmlns:mc="http://schemas.openxmlformats.org/markup-compatibility/2006">
      <mc:Choice Requires="x14">
        <oleObject progId="Equation.3" shapeId="17471" r:id="rId6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1" r:id="rId67"/>
      </mc:Fallback>
    </mc:AlternateContent>
    <mc:AlternateContent xmlns:mc="http://schemas.openxmlformats.org/markup-compatibility/2006">
      <mc:Choice Requires="x14">
        <oleObject progId="Equation.3" shapeId="17472" r:id="rId6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2" r:id="rId68"/>
      </mc:Fallback>
    </mc:AlternateContent>
    <mc:AlternateContent xmlns:mc="http://schemas.openxmlformats.org/markup-compatibility/2006">
      <mc:Choice Requires="x14">
        <oleObject progId="Equation.3" shapeId="17473" r:id="rId6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3" r:id="rId69"/>
      </mc:Fallback>
    </mc:AlternateContent>
    <mc:AlternateContent xmlns:mc="http://schemas.openxmlformats.org/markup-compatibility/2006">
      <mc:Choice Requires="x14">
        <oleObject progId="Equation.3" shapeId="17474" r:id="rId70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74" r:id="rId70"/>
      </mc:Fallback>
    </mc:AlternateContent>
    <mc:AlternateContent xmlns:mc="http://schemas.openxmlformats.org/markup-compatibility/2006">
      <mc:Choice Requires="x14">
        <oleObject progId="Equation.3" shapeId="17475" r:id="rId7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5" r:id="rId71"/>
      </mc:Fallback>
    </mc:AlternateContent>
    <mc:AlternateContent xmlns:mc="http://schemas.openxmlformats.org/markup-compatibility/2006">
      <mc:Choice Requires="x14">
        <oleObject progId="Equation.3" shapeId="17476" r:id="rId7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6" r:id="rId72"/>
      </mc:Fallback>
    </mc:AlternateContent>
    <mc:AlternateContent xmlns:mc="http://schemas.openxmlformats.org/markup-compatibility/2006">
      <mc:Choice Requires="x14">
        <oleObject progId="Equation.3" shapeId="17477" r:id="rId7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7" r:id="rId73"/>
      </mc:Fallback>
    </mc:AlternateContent>
    <mc:AlternateContent xmlns:mc="http://schemas.openxmlformats.org/markup-compatibility/2006">
      <mc:Choice Requires="x14">
        <oleObject progId="Equation.3" shapeId="17478" r:id="rId7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8" r:id="rId74"/>
      </mc:Fallback>
    </mc:AlternateContent>
    <mc:AlternateContent xmlns:mc="http://schemas.openxmlformats.org/markup-compatibility/2006">
      <mc:Choice Requires="x14">
        <oleObject progId="Equation.3" shapeId="17479" r:id="rId7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79" r:id="rId75"/>
      </mc:Fallback>
    </mc:AlternateContent>
    <mc:AlternateContent xmlns:mc="http://schemas.openxmlformats.org/markup-compatibility/2006">
      <mc:Choice Requires="x14">
        <oleObject progId="Equation.3" shapeId="17480" r:id="rId7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0" r:id="rId76"/>
      </mc:Fallback>
    </mc:AlternateContent>
    <mc:AlternateContent xmlns:mc="http://schemas.openxmlformats.org/markup-compatibility/2006">
      <mc:Choice Requires="x14">
        <oleObject progId="Equation.3" shapeId="17481" r:id="rId7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1" r:id="rId77"/>
      </mc:Fallback>
    </mc:AlternateContent>
    <mc:AlternateContent xmlns:mc="http://schemas.openxmlformats.org/markup-compatibility/2006">
      <mc:Choice Requires="x14">
        <oleObject progId="Equation.3" shapeId="17482" r:id="rId7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2" r:id="rId78"/>
      </mc:Fallback>
    </mc:AlternateContent>
    <mc:AlternateContent xmlns:mc="http://schemas.openxmlformats.org/markup-compatibility/2006">
      <mc:Choice Requires="x14">
        <oleObject progId="Equation.3" shapeId="17483" r:id="rId7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3" r:id="rId79"/>
      </mc:Fallback>
    </mc:AlternateContent>
    <mc:AlternateContent xmlns:mc="http://schemas.openxmlformats.org/markup-compatibility/2006">
      <mc:Choice Requires="x14">
        <oleObject progId="Equation.3" shapeId="17484" r:id="rId8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4" r:id="rId80"/>
      </mc:Fallback>
    </mc:AlternateContent>
    <mc:AlternateContent xmlns:mc="http://schemas.openxmlformats.org/markup-compatibility/2006">
      <mc:Choice Requires="x14">
        <oleObject progId="Equation.3" shapeId="17485" r:id="rId81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85" r:id="rId81"/>
      </mc:Fallback>
    </mc:AlternateContent>
    <mc:AlternateContent xmlns:mc="http://schemas.openxmlformats.org/markup-compatibility/2006">
      <mc:Choice Requires="x14">
        <oleObject progId="Equation.3" shapeId="17486" r:id="rId82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6" r:id="rId82"/>
      </mc:Fallback>
    </mc:AlternateContent>
    <mc:AlternateContent xmlns:mc="http://schemas.openxmlformats.org/markup-compatibility/2006">
      <mc:Choice Requires="x14">
        <oleObject progId="Equation.3" shapeId="17487" r:id="rId83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7" r:id="rId83"/>
      </mc:Fallback>
    </mc:AlternateContent>
    <mc:AlternateContent xmlns:mc="http://schemas.openxmlformats.org/markup-compatibility/2006">
      <mc:Choice Requires="x14">
        <oleObject progId="Equation.3" shapeId="17488" r:id="rId84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8" r:id="rId84"/>
      </mc:Fallback>
    </mc:AlternateContent>
    <mc:AlternateContent xmlns:mc="http://schemas.openxmlformats.org/markup-compatibility/2006">
      <mc:Choice Requires="x14">
        <oleObject progId="Equation.3" shapeId="17489" r:id="rId85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89" r:id="rId85"/>
      </mc:Fallback>
    </mc:AlternateContent>
    <mc:AlternateContent xmlns:mc="http://schemas.openxmlformats.org/markup-compatibility/2006">
      <mc:Choice Requires="x14">
        <oleObject progId="Equation.3" shapeId="17490" r:id="rId86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0" r:id="rId86"/>
      </mc:Fallback>
    </mc:AlternateContent>
    <mc:AlternateContent xmlns:mc="http://schemas.openxmlformats.org/markup-compatibility/2006">
      <mc:Choice Requires="x14">
        <oleObject progId="Equation.3" shapeId="17491" r:id="rId87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1" r:id="rId87"/>
      </mc:Fallback>
    </mc:AlternateContent>
    <mc:AlternateContent xmlns:mc="http://schemas.openxmlformats.org/markup-compatibility/2006">
      <mc:Choice Requires="x14">
        <oleObject progId="Equation.3" shapeId="17492" r:id="rId88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2" r:id="rId88"/>
      </mc:Fallback>
    </mc:AlternateContent>
    <mc:AlternateContent xmlns:mc="http://schemas.openxmlformats.org/markup-compatibility/2006">
      <mc:Choice Requires="x14">
        <oleObject progId="Equation.3" shapeId="17493" r:id="rId89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3" r:id="rId89"/>
      </mc:Fallback>
    </mc:AlternateContent>
    <mc:AlternateContent xmlns:mc="http://schemas.openxmlformats.org/markup-compatibility/2006">
      <mc:Choice Requires="x14">
        <oleObject progId="Equation.3" shapeId="17494" r:id="rId90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4" r:id="rId90"/>
      </mc:Fallback>
    </mc:AlternateContent>
    <mc:AlternateContent xmlns:mc="http://schemas.openxmlformats.org/markup-compatibility/2006">
      <mc:Choice Requires="x14">
        <oleObject progId="Equation.3" shapeId="17495" r:id="rId91">
          <objectPr defaultSize="0" autoPict="0" r:id="rId5">
            <anchor moveWithCells="1" sizeWithCells="1">
              <from>
                <xdr:col>11</xdr:col>
                <xdr:colOff>9525</xdr:colOff>
                <xdr:row>75</xdr:row>
                <xdr:rowOff>0</xdr:rowOff>
              </from>
              <to>
                <xdr:col>11</xdr:col>
                <xdr:colOff>409575</xdr:colOff>
                <xdr:row>75</xdr:row>
                <xdr:rowOff>0</xdr:rowOff>
              </to>
            </anchor>
          </objectPr>
        </oleObject>
      </mc:Choice>
      <mc:Fallback>
        <oleObject progId="Equation.3" shapeId="17495" r:id="rId91"/>
      </mc:Fallback>
    </mc:AlternateContent>
    <mc:AlternateContent xmlns:mc="http://schemas.openxmlformats.org/markup-compatibility/2006">
      <mc:Choice Requires="x14">
        <oleObject progId="Equation.3" shapeId="17496" r:id="rId92">
          <objectPr defaultSize="0" autoPict="0" r:id="rId5">
            <anchor moveWithCells="1" sizeWithCells="1">
              <from>
                <xdr:col>11</xdr:col>
                <xdr:colOff>38100</xdr:colOff>
                <xdr:row>75</xdr:row>
                <xdr:rowOff>0</xdr:rowOff>
              </from>
              <to>
                <xdr:col>11</xdr:col>
                <xdr:colOff>419100</xdr:colOff>
                <xdr:row>75</xdr:row>
                <xdr:rowOff>0</xdr:rowOff>
              </to>
            </anchor>
          </objectPr>
        </oleObject>
      </mc:Choice>
      <mc:Fallback>
        <oleObject progId="Equation.3" shapeId="17496" r:id="rId9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D18B-871E-4AEB-B421-EED83857C528}">
  <sheetPr>
    <tabColor rgb="FF00B050"/>
  </sheetPr>
  <dimension ref="A1:Y311"/>
  <sheetViews>
    <sheetView topLeftCell="D253" zoomScale="70" zoomScaleNormal="70" workbookViewId="0">
      <selection activeCell="I288" sqref="I288"/>
    </sheetView>
  </sheetViews>
  <sheetFormatPr defaultColWidth="8.85546875" defaultRowHeight="15" x14ac:dyDescent="0.2"/>
  <cols>
    <col min="1" max="1" width="10.42578125" style="861" bestFit="1" customWidth="1"/>
    <col min="2" max="4" width="11" style="861" bestFit="1" customWidth="1"/>
    <col min="5" max="6" width="10.42578125" style="861" bestFit="1" customWidth="1"/>
    <col min="7" max="7" width="11" style="861" bestFit="1" customWidth="1"/>
    <col min="8" max="8" width="8.85546875" style="861" bestFit="1" customWidth="1"/>
    <col min="9" max="9" width="10.85546875" style="861" bestFit="1" customWidth="1"/>
    <col min="10" max="11" width="9.85546875" style="861" bestFit="1" customWidth="1"/>
    <col min="12" max="12" width="10" style="861" customWidth="1"/>
    <col min="13" max="13" width="12.140625" style="861" customWidth="1"/>
    <col min="14" max="14" width="10.140625" style="861" bestFit="1" customWidth="1"/>
    <col min="15" max="16" width="9.140625" style="861" bestFit="1" customWidth="1"/>
    <col min="17" max="19" width="9.85546875" style="861" bestFit="1" customWidth="1"/>
    <col min="20" max="21" width="8.85546875" style="861" bestFit="1" customWidth="1"/>
    <col min="22" max="16384" width="8.85546875" style="861"/>
  </cols>
  <sheetData>
    <row r="1" spans="1:24" x14ac:dyDescent="0.2">
      <c r="A1" s="859" t="s">
        <v>169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1" t="s">
        <v>170</v>
      </c>
    </row>
    <row r="2" spans="1:24" x14ac:dyDescent="0.2">
      <c r="A2" s="862" t="s">
        <v>171</v>
      </c>
      <c r="B2" s="863" t="s">
        <v>172</v>
      </c>
      <c r="C2" s="863"/>
      <c r="D2" s="863"/>
      <c r="E2" s="863"/>
      <c r="F2" s="863"/>
      <c r="G2" s="863"/>
      <c r="H2" s="864" t="s">
        <v>173</v>
      </c>
      <c r="I2" s="863" t="s">
        <v>174</v>
      </c>
      <c r="J2" s="863"/>
      <c r="K2" s="863"/>
      <c r="L2" s="863"/>
      <c r="M2" s="863"/>
      <c r="N2" s="863"/>
      <c r="O2" s="864" t="s">
        <v>175</v>
      </c>
      <c r="P2" s="863" t="s">
        <v>176</v>
      </c>
      <c r="Q2" s="863"/>
      <c r="R2" s="863"/>
      <c r="S2" s="863"/>
      <c r="T2" s="863"/>
      <c r="U2" s="863"/>
    </row>
    <row r="3" spans="1:24" x14ac:dyDescent="0.2">
      <c r="A3" s="862"/>
      <c r="B3" s="865" t="s">
        <v>177</v>
      </c>
      <c r="C3" s="865"/>
      <c r="D3" s="865"/>
      <c r="E3" s="865"/>
      <c r="F3" s="865"/>
      <c r="G3" s="865"/>
      <c r="H3" s="864"/>
      <c r="I3" s="865" t="s">
        <v>177</v>
      </c>
      <c r="J3" s="865"/>
      <c r="K3" s="865"/>
      <c r="L3" s="865"/>
      <c r="M3" s="865"/>
      <c r="N3" s="865"/>
      <c r="O3" s="864"/>
      <c r="P3" s="866" t="s">
        <v>177</v>
      </c>
      <c r="Q3" s="866"/>
      <c r="R3" s="866"/>
      <c r="S3" s="866"/>
      <c r="T3" s="866"/>
      <c r="U3" s="866"/>
    </row>
    <row r="4" spans="1:24" x14ac:dyDescent="0.2">
      <c r="A4" s="862"/>
      <c r="B4" s="866" t="s">
        <v>178</v>
      </c>
      <c r="C4" s="866"/>
      <c r="D4" s="866"/>
      <c r="E4" s="866"/>
      <c r="F4" s="866" t="s">
        <v>162</v>
      </c>
      <c r="G4" s="866" t="s">
        <v>158</v>
      </c>
      <c r="H4" s="864"/>
      <c r="I4" s="866" t="str">
        <f>B4</f>
        <v>Setting VAC</v>
      </c>
      <c r="J4" s="866"/>
      <c r="K4" s="866"/>
      <c r="L4" s="866"/>
      <c r="M4" s="866" t="s">
        <v>162</v>
      </c>
      <c r="N4" s="866" t="s">
        <v>158</v>
      </c>
      <c r="O4" s="864"/>
      <c r="P4" s="866" t="str">
        <f>B4</f>
        <v>Setting VAC</v>
      </c>
      <c r="Q4" s="866"/>
      <c r="R4" s="866"/>
      <c r="S4" s="866"/>
      <c r="T4" s="866" t="s">
        <v>162</v>
      </c>
      <c r="U4" s="866" t="s">
        <v>158</v>
      </c>
    </row>
    <row r="5" spans="1:24" x14ac:dyDescent="0.2">
      <c r="A5" s="862"/>
      <c r="B5" s="867" t="s">
        <v>179</v>
      </c>
      <c r="C5" s="868">
        <v>2020</v>
      </c>
      <c r="D5" s="868">
        <v>2019</v>
      </c>
      <c r="E5" s="869" t="s">
        <v>81</v>
      </c>
      <c r="F5" s="866"/>
      <c r="G5" s="866"/>
      <c r="H5" s="864"/>
      <c r="I5" s="867" t="s">
        <v>179</v>
      </c>
      <c r="J5" s="867">
        <v>2019</v>
      </c>
      <c r="K5" s="869">
        <v>2017</v>
      </c>
      <c r="L5" s="869" t="s">
        <v>81</v>
      </c>
      <c r="M5" s="866"/>
      <c r="N5" s="866"/>
      <c r="O5" s="864"/>
      <c r="P5" s="867" t="s">
        <v>179</v>
      </c>
      <c r="Q5" s="867">
        <v>2022</v>
      </c>
      <c r="R5" s="867">
        <v>2021</v>
      </c>
      <c r="S5" s="867">
        <v>2018</v>
      </c>
      <c r="T5" s="866"/>
      <c r="U5" s="866"/>
      <c r="V5" s="870"/>
      <c r="W5" s="870"/>
      <c r="X5" s="871"/>
    </row>
    <row r="6" spans="1:24" x14ac:dyDescent="0.2">
      <c r="A6" s="862"/>
      <c r="B6" s="872">
        <v>150</v>
      </c>
      <c r="C6" s="873">
        <v>0.31</v>
      </c>
      <c r="D6" s="873">
        <v>0.76</v>
      </c>
      <c r="E6" s="874" t="s">
        <v>81</v>
      </c>
      <c r="F6" s="875">
        <f>0.5*(MAX(C6:E6)-MIN(C6:E6))</f>
        <v>0.22500000000000001</v>
      </c>
      <c r="G6" s="875">
        <f t="shared" ref="G6:G11" si="0">(1.2/100)*B6</f>
        <v>1.8</v>
      </c>
      <c r="H6" s="864"/>
      <c r="I6" s="876">
        <v>150</v>
      </c>
      <c r="J6" s="877">
        <v>0.15</v>
      </c>
      <c r="K6" s="877">
        <v>0.23</v>
      </c>
      <c r="L6" s="877" t="s">
        <v>81</v>
      </c>
      <c r="M6" s="878">
        <f>0.5*(MAX(J6:L6)-MIN(J6:L6))</f>
        <v>4.0000000000000008E-2</v>
      </c>
      <c r="N6" s="878">
        <f>(1.2/100)*I6</f>
        <v>1.8</v>
      </c>
      <c r="O6" s="864"/>
      <c r="P6" s="876">
        <v>150</v>
      </c>
      <c r="Q6" s="877">
        <v>-1.43</v>
      </c>
      <c r="R6" s="877">
        <v>-1.6</v>
      </c>
      <c r="S6" s="877">
        <v>-7.0000000000000007E-2</v>
      </c>
      <c r="T6" s="878">
        <f>0.5*(MAX(Q6:S6)-MIN(Q6:S6))</f>
        <v>0.76500000000000001</v>
      </c>
      <c r="U6" s="878">
        <f t="shared" ref="U6:U11" si="1">(1.2/100)*P6</f>
        <v>1.8</v>
      </c>
      <c r="V6" s="879"/>
      <c r="W6" s="880"/>
      <c r="X6" s="871"/>
    </row>
    <row r="7" spans="1:24" x14ac:dyDescent="0.2">
      <c r="A7" s="862"/>
      <c r="B7" s="872">
        <v>180</v>
      </c>
      <c r="C7" s="873">
        <v>0.1</v>
      </c>
      <c r="D7" s="873">
        <v>-0.03</v>
      </c>
      <c r="E7" s="874" t="s">
        <v>81</v>
      </c>
      <c r="F7" s="875">
        <f t="shared" ref="F7:F11" si="2">0.5*(MAX(C7:E7)-MIN(C7:E7))</f>
        <v>6.5000000000000002E-2</v>
      </c>
      <c r="G7" s="875">
        <f t="shared" si="0"/>
        <v>2.16</v>
      </c>
      <c r="H7" s="864"/>
      <c r="I7" s="876">
        <v>180</v>
      </c>
      <c r="J7" s="877">
        <v>0.12</v>
      </c>
      <c r="K7" s="877">
        <v>-0.06</v>
      </c>
      <c r="L7" s="877" t="s">
        <v>81</v>
      </c>
      <c r="M7" s="878">
        <f t="shared" ref="M7:M11" si="3">0.5*(MAX(J7:L7)-MIN(J7:L7))</f>
        <v>0.09</v>
      </c>
      <c r="N7" s="878">
        <f>(1.2/100)*I7</f>
        <v>2.16</v>
      </c>
      <c r="O7" s="864"/>
      <c r="P7" s="876">
        <v>180</v>
      </c>
      <c r="Q7" s="877">
        <v>-1.81</v>
      </c>
      <c r="R7" s="877">
        <v>-1.9</v>
      </c>
      <c r="S7" s="877">
        <v>-0.13</v>
      </c>
      <c r="T7" s="878">
        <f t="shared" ref="T7:T11" si="4">0.5*(MAX(Q7:S7)-MIN(Q7:S7))</f>
        <v>0.88500000000000001</v>
      </c>
      <c r="U7" s="878">
        <f t="shared" si="1"/>
        <v>2.16</v>
      </c>
      <c r="V7" s="879"/>
      <c r="W7" s="880"/>
      <c r="X7" s="871"/>
    </row>
    <row r="8" spans="1:24" x14ac:dyDescent="0.2">
      <c r="A8" s="862"/>
      <c r="B8" s="872">
        <v>200</v>
      </c>
      <c r="C8" s="873">
        <v>-0.04</v>
      </c>
      <c r="D8" s="873">
        <v>-0.16</v>
      </c>
      <c r="E8" s="874" t="s">
        <v>81</v>
      </c>
      <c r="F8" s="875">
        <f t="shared" si="2"/>
        <v>0.06</v>
      </c>
      <c r="G8" s="875">
        <f t="shared" si="0"/>
        <v>2.4</v>
      </c>
      <c r="H8" s="864"/>
      <c r="I8" s="876">
        <v>200</v>
      </c>
      <c r="J8" s="877">
        <v>0.06</v>
      </c>
      <c r="K8" s="877">
        <v>-0.18</v>
      </c>
      <c r="L8" s="877" t="s">
        <v>81</v>
      </c>
      <c r="M8" s="878">
        <f t="shared" si="3"/>
        <v>0.12</v>
      </c>
      <c r="N8" s="878">
        <f>(1.2/100)*I8</f>
        <v>2.4</v>
      </c>
      <c r="O8" s="864"/>
      <c r="P8" s="876">
        <v>200</v>
      </c>
      <c r="Q8" s="877">
        <v>-2.0499999999999998</v>
      </c>
      <c r="R8" s="877">
        <v>-2.14</v>
      </c>
      <c r="S8" s="877">
        <v>-0.26</v>
      </c>
      <c r="T8" s="878">
        <f t="shared" si="4"/>
        <v>0.94000000000000006</v>
      </c>
      <c r="U8" s="878">
        <f t="shared" si="1"/>
        <v>2.4</v>
      </c>
      <c r="V8" s="879"/>
      <c r="W8" s="880"/>
      <c r="X8" s="871"/>
    </row>
    <row r="9" spans="1:24" x14ac:dyDescent="0.2">
      <c r="A9" s="862"/>
      <c r="B9" s="872">
        <v>220</v>
      </c>
      <c r="C9" s="873">
        <v>-0.28000000000000003</v>
      </c>
      <c r="D9" s="873">
        <v>-0.18</v>
      </c>
      <c r="E9" s="874" t="s">
        <v>81</v>
      </c>
      <c r="F9" s="875">
        <f t="shared" si="2"/>
        <v>5.0000000000000017E-2</v>
      </c>
      <c r="G9" s="875">
        <f t="shared" si="0"/>
        <v>2.64</v>
      </c>
      <c r="H9" s="864"/>
      <c r="I9" s="876">
        <v>220</v>
      </c>
      <c r="J9" s="877">
        <v>0.05</v>
      </c>
      <c r="K9" s="877">
        <v>-0.03</v>
      </c>
      <c r="L9" s="877" t="s">
        <v>81</v>
      </c>
      <c r="M9" s="878">
        <f t="shared" si="3"/>
        <v>0.04</v>
      </c>
      <c r="N9" s="878">
        <f>(1.2/100)*I9</f>
        <v>2.64</v>
      </c>
      <c r="O9" s="864"/>
      <c r="P9" s="876">
        <v>220</v>
      </c>
      <c r="Q9" s="877">
        <v>-2.29</v>
      </c>
      <c r="R9" s="877">
        <v>-3.44</v>
      </c>
      <c r="S9" s="877">
        <v>-0.28999999999999998</v>
      </c>
      <c r="T9" s="878">
        <f t="shared" si="4"/>
        <v>1.575</v>
      </c>
      <c r="U9" s="878">
        <f t="shared" si="1"/>
        <v>2.64</v>
      </c>
      <c r="V9" s="879"/>
      <c r="W9" s="880"/>
      <c r="X9" s="871"/>
    </row>
    <row r="10" spans="1:24" x14ac:dyDescent="0.2">
      <c r="A10" s="862"/>
      <c r="B10" s="872">
        <v>230</v>
      </c>
      <c r="C10" s="873">
        <v>-0.2</v>
      </c>
      <c r="D10" s="873">
        <v>-0.26</v>
      </c>
      <c r="E10" s="874" t="s">
        <v>81</v>
      </c>
      <c r="F10" s="875">
        <f t="shared" si="2"/>
        <v>0.03</v>
      </c>
      <c r="G10" s="875">
        <f t="shared" si="0"/>
        <v>2.7600000000000002</v>
      </c>
      <c r="H10" s="864"/>
      <c r="I10" s="876">
        <v>230</v>
      </c>
      <c r="J10" s="876">
        <v>9.9999999999999995E-7</v>
      </c>
      <c r="K10" s="876">
        <v>0.05</v>
      </c>
      <c r="L10" s="877" t="s">
        <v>81</v>
      </c>
      <c r="M10" s="878">
        <f t="shared" si="3"/>
        <v>2.4999500000000001E-2</v>
      </c>
      <c r="N10" s="878">
        <f>(1.2/100)*I10</f>
        <v>2.7600000000000002</v>
      </c>
      <c r="O10" s="864"/>
      <c r="P10" s="876">
        <v>230</v>
      </c>
      <c r="Q10" s="877">
        <v>-11.79</v>
      </c>
      <c r="R10" s="877">
        <v>-2.52</v>
      </c>
      <c r="S10" s="877">
        <v>-0.23</v>
      </c>
      <c r="T10" s="878">
        <f t="shared" si="4"/>
        <v>5.7799999999999994</v>
      </c>
      <c r="U10" s="878">
        <f t="shared" si="1"/>
        <v>2.7600000000000002</v>
      </c>
      <c r="V10" s="879"/>
      <c r="W10" s="880"/>
      <c r="X10" s="871"/>
    </row>
    <row r="11" spans="1:24" x14ac:dyDescent="0.2">
      <c r="A11" s="862"/>
      <c r="B11" s="872">
        <v>250</v>
      </c>
      <c r="C11" s="873">
        <v>-0.32</v>
      </c>
      <c r="D11" s="873">
        <v>9.9999999999999995E-7</v>
      </c>
      <c r="E11" s="874" t="s">
        <v>81</v>
      </c>
      <c r="F11" s="875">
        <f t="shared" si="2"/>
        <v>0.16000049999999999</v>
      </c>
      <c r="G11" s="875">
        <f t="shared" si="0"/>
        <v>3</v>
      </c>
      <c r="H11" s="864"/>
      <c r="I11" s="876">
        <v>250</v>
      </c>
      <c r="J11" s="876">
        <v>9.9999999999999995E-7</v>
      </c>
      <c r="K11" s="876">
        <v>9.9999999999999995E-7</v>
      </c>
      <c r="L11" s="877" t="s">
        <v>81</v>
      </c>
      <c r="M11" s="878">
        <f t="shared" si="3"/>
        <v>0</v>
      </c>
      <c r="N11" s="878">
        <v>2.76</v>
      </c>
      <c r="O11" s="864"/>
      <c r="P11" s="876">
        <v>250</v>
      </c>
      <c r="Q11" s="877">
        <v>9.9999999999999995E-7</v>
      </c>
      <c r="R11" s="877">
        <v>9.9999999999999995E-7</v>
      </c>
      <c r="S11" s="877">
        <v>9.9999999999999995E-7</v>
      </c>
      <c r="T11" s="878">
        <f t="shared" si="4"/>
        <v>0</v>
      </c>
      <c r="U11" s="878">
        <f t="shared" si="1"/>
        <v>3</v>
      </c>
      <c r="V11" s="879"/>
      <c r="W11" s="880"/>
      <c r="X11" s="871"/>
    </row>
    <row r="12" spans="1:24" ht="12.95" customHeight="1" x14ac:dyDescent="0.2">
      <c r="A12" s="862"/>
      <c r="B12" s="881" t="s">
        <v>180</v>
      </c>
      <c r="C12" s="881"/>
      <c r="D12" s="881"/>
      <c r="E12" s="881"/>
      <c r="F12" s="866" t="s">
        <v>162</v>
      </c>
      <c r="G12" s="866" t="s">
        <v>158</v>
      </c>
      <c r="H12" s="864"/>
      <c r="I12" s="881" t="str">
        <f>B12</f>
        <v>Current Leakage</v>
      </c>
      <c r="J12" s="881"/>
      <c r="K12" s="881"/>
      <c r="L12" s="881"/>
      <c r="M12" s="866" t="s">
        <v>162</v>
      </c>
      <c r="N12" s="866" t="s">
        <v>158</v>
      </c>
      <c r="O12" s="864"/>
      <c r="P12" s="881" t="str">
        <f>B12</f>
        <v>Current Leakage</v>
      </c>
      <c r="Q12" s="881"/>
      <c r="R12" s="881"/>
      <c r="S12" s="881"/>
      <c r="T12" s="866" t="s">
        <v>162</v>
      </c>
      <c r="U12" s="866" t="s">
        <v>158</v>
      </c>
      <c r="V12" s="871"/>
      <c r="W12" s="871"/>
      <c r="X12" s="871"/>
    </row>
    <row r="13" spans="1:24" x14ac:dyDescent="0.2">
      <c r="A13" s="862"/>
      <c r="B13" s="867" t="s">
        <v>181</v>
      </c>
      <c r="C13" s="868">
        <f>C5</f>
        <v>2020</v>
      </c>
      <c r="D13" s="868">
        <f>D5</f>
        <v>2019</v>
      </c>
      <c r="E13" s="867" t="str">
        <f>E5</f>
        <v>-</v>
      </c>
      <c r="F13" s="866"/>
      <c r="G13" s="866"/>
      <c r="H13" s="864"/>
      <c r="I13" s="867" t="s">
        <v>181</v>
      </c>
      <c r="J13" s="867">
        <f>J5</f>
        <v>2019</v>
      </c>
      <c r="K13" s="867">
        <f>K5</f>
        <v>2017</v>
      </c>
      <c r="L13" s="867" t="str">
        <f>L5</f>
        <v>-</v>
      </c>
      <c r="M13" s="866"/>
      <c r="N13" s="866"/>
      <c r="O13" s="864"/>
      <c r="P13" s="867" t="s">
        <v>181</v>
      </c>
      <c r="Q13" s="867">
        <f>Q5</f>
        <v>2022</v>
      </c>
      <c r="R13" s="867">
        <f>R5</f>
        <v>2021</v>
      </c>
      <c r="S13" s="867">
        <f>S5</f>
        <v>2018</v>
      </c>
      <c r="T13" s="866"/>
      <c r="U13" s="866"/>
      <c r="V13" s="871"/>
      <c r="W13" s="871"/>
      <c r="X13" s="871"/>
    </row>
    <row r="14" spans="1:24" x14ac:dyDescent="0.2">
      <c r="A14" s="862"/>
      <c r="B14" s="872">
        <v>0</v>
      </c>
      <c r="C14" s="873">
        <v>9.9999999999999995E-7</v>
      </c>
      <c r="D14" s="873">
        <v>9.9999999999999995E-7</v>
      </c>
      <c r="E14" s="874" t="s">
        <v>81</v>
      </c>
      <c r="F14" s="875">
        <v>9.9999999999999995E-7</v>
      </c>
      <c r="G14" s="875">
        <v>9.9999999999999995E-7</v>
      </c>
      <c r="H14" s="864"/>
      <c r="I14" s="876">
        <v>0</v>
      </c>
      <c r="J14" s="876">
        <v>9.9999999999999995E-7</v>
      </c>
      <c r="K14" s="876">
        <v>9.9999999999999995E-7</v>
      </c>
      <c r="L14" s="877" t="s">
        <v>81</v>
      </c>
      <c r="M14" s="878">
        <v>9.9999999999999995E-7</v>
      </c>
      <c r="N14" s="878">
        <v>9.9999999999999995E-7</v>
      </c>
      <c r="O14" s="864"/>
      <c r="P14" s="876">
        <v>9.9999999999999995E-7</v>
      </c>
      <c r="Q14" s="876">
        <v>9.9999999999999995E-7</v>
      </c>
      <c r="R14" s="876">
        <v>9.9999999999999995E-7</v>
      </c>
      <c r="S14" s="876">
        <v>9.9999999999999995E-7</v>
      </c>
      <c r="T14" s="878">
        <v>9.9999999999999995E-7</v>
      </c>
      <c r="U14" s="878">
        <f t="shared" ref="U14:U19" si="5">(0.59/100)*P14</f>
        <v>5.8999999999999999E-9</v>
      </c>
      <c r="V14" s="871"/>
      <c r="W14" s="871"/>
      <c r="X14" s="871"/>
    </row>
    <row r="15" spans="1:24" x14ac:dyDescent="0.2">
      <c r="A15" s="862"/>
      <c r="B15" s="872">
        <v>50</v>
      </c>
      <c r="C15" s="873">
        <v>0.1</v>
      </c>
      <c r="D15" s="873">
        <v>-0.06</v>
      </c>
      <c r="E15" s="874" t="s">
        <v>81</v>
      </c>
      <c r="F15" s="875">
        <f t="shared" ref="F15:F19" si="6">0.5*(MAX(C15:E15)-MIN(C15:E15))</f>
        <v>0.08</v>
      </c>
      <c r="G15" s="875">
        <f>(0.59/100)*B15</f>
        <v>0.29499999999999998</v>
      </c>
      <c r="H15" s="864"/>
      <c r="I15" s="876">
        <v>50</v>
      </c>
      <c r="J15" s="877">
        <v>-0.08</v>
      </c>
      <c r="K15" s="877">
        <v>0.1</v>
      </c>
      <c r="L15" s="877" t="s">
        <v>81</v>
      </c>
      <c r="M15" s="878">
        <f t="shared" ref="M15:M19" si="7">0.5*(MAX(J15:L15)-MIN(J15:L15))</f>
        <v>0.09</v>
      </c>
      <c r="N15" s="878">
        <f>(0.59/100)*I15</f>
        <v>0.29499999999999998</v>
      </c>
      <c r="O15" s="864"/>
      <c r="P15" s="876">
        <v>50</v>
      </c>
      <c r="Q15" s="877">
        <v>9.1</v>
      </c>
      <c r="R15" s="877">
        <v>-0.62</v>
      </c>
      <c r="S15" s="877">
        <v>2</v>
      </c>
      <c r="T15" s="878">
        <f t="shared" ref="T15:T19" si="8">0.5*(MAX(Q15:S15)-MIN(Q15:S15))</f>
        <v>4.8599999999999994</v>
      </c>
      <c r="U15" s="878">
        <f t="shared" si="5"/>
        <v>0.29499999999999998</v>
      </c>
      <c r="V15" s="871"/>
      <c r="W15" s="871"/>
      <c r="X15" s="871"/>
    </row>
    <row r="16" spans="1:24" x14ac:dyDescent="0.2">
      <c r="A16" s="862"/>
      <c r="B16" s="872">
        <v>100</v>
      </c>
      <c r="C16" s="873">
        <v>0.2</v>
      </c>
      <c r="D16" s="873">
        <v>-0.06</v>
      </c>
      <c r="E16" s="874" t="s">
        <v>81</v>
      </c>
      <c r="F16" s="875">
        <f t="shared" si="6"/>
        <v>0.13</v>
      </c>
      <c r="G16" s="875">
        <f>(0.59/100)*B16</f>
        <v>0.59</v>
      </c>
      <c r="H16" s="864"/>
      <c r="I16" s="876">
        <v>100</v>
      </c>
      <c r="J16" s="876">
        <v>-7.0000000000000007E-2</v>
      </c>
      <c r="K16" s="876">
        <v>2.2000000000000002</v>
      </c>
      <c r="L16" s="877" t="s">
        <v>81</v>
      </c>
      <c r="M16" s="878">
        <f t="shared" si="7"/>
        <v>1.135</v>
      </c>
      <c r="N16" s="878">
        <f>(0.59/100)*I16</f>
        <v>0.59</v>
      </c>
      <c r="O16" s="864"/>
      <c r="P16" s="876">
        <v>100</v>
      </c>
      <c r="Q16" s="877">
        <v>6</v>
      </c>
      <c r="R16" s="877">
        <v>-0.22</v>
      </c>
      <c r="S16" s="877">
        <v>2</v>
      </c>
      <c r="T16" s="878">
        <f t="shared" si="8"/>
        <v>3.11</v>
      </c>
      <c r="U16" s="878">
        <f t="shared" si="5"/>
        <v>0.59</v>
      </c>
      <c r="V16" s="871"/>
      <c r="W16" s="871"/>
      <c r="X16" s="871"/>
    </row>
    <row r="17" spans="1:24" x14ac:dyDescent="0.2">
      <c r="A17" s="862"/>
      <c r="B17" s="872">
        <v>200</v>
      </c>
      <c r="C17" s="873">
        <v>0.4</v>
      </c>
      <c r="D17" s="873">
        <v>9.9999999999999995E-7</v>
      </c>
      <c r="E17" s="874" t="s">
        <v>81</v>
      </c>
      <c r="F17" s="875">
        <f t="shared" si="6"/>
        <v>0.19999950000000002</v>
      </c>
      <c r="G17" s="875">
        <f>(0.59/100)*B17</f>
        <v>1.18</v>
      </c>
      <c r="H17" s="864"/>
      <c r="I17" s="876">
        <v>200</v>
      </c>
      <c r="J17" s="877">
        <v>-0.1</v>
      </c>
      <c r="K17" s="877">
        <v>3.3</v>
      </c>
      <c r="L17" s="877" t="s">
        <v>81</v>
      </c>
      <c r="M17" s="878">
        <f t="shared" si="7"/>
        <v>1.7</v>
      </c>
      <c r="N17" s="878">
        <f>(0.59/100)*I17</f>
        <v>1.18</v>
      </c>
      <c r="O17" s="864"/>
      <c r="P17" s="876">
        <v>200</v>
      </c>
      <c r="Q17" s="877">
        <v>-3.6</v>
      </c>
      <c r="R17" s="877">
        <v>-0.1</v>
      </c>
      <c r="S17" s="877">
        <v>3.6</v>
      </c>
      <c r="T17" s="878">
        <f t="shared" si="8"/>
        <v>3.6</v>
      </c>
      <c r="U17" s="878">
        <f t="shared" si="5"/>
        <v>1.18</v>
      </c>
      <c r="V17" s="871"/>
      <c r="W17" s="871"/>
      <c r="X17" s="871"/>
    </row>
    <row r="18" spans="1:24" x14ac:dyDescent="0.2">
      <c r="A18" s="862"/>
      <c r="B18" s="872">
        <v>500</v>
      </c>
      <c r="C18" s="873">
        <v>3.8</v>
      </c>
      <c r="D18" s="873">
        <v>-0.9</v>
      </c>
      <c r="E18" s="874" t="s">
        <v>81</v>
      </c>
      <c r="F18" s="875">
        <f t="shared" si="6"/>
        <v>2.35</v>
      </c>
      <c r="G18" s="875">
        <f>(0.59/100)*B18</f>
        <v>2.9499999999999997</v>
      </c>
      <c r="H18" s="864"/>
      <c r="I18" s="876">
        <v>500</v>
      </c>
      <c r="J18" s="877">
        <v>0.8</v>
      </c>
      <c r="K18" s="877">
        <v>2</v>
      </c>
      <c r="L18" s="877" t="s">
        <v>81</v>
      </c>
      <c r="M18" s="878">
        <f t="shared" si="7"/>
        <v>0.6</v>
      </c>
      <c r="N18" s="878">
        <f>(0.59/100)*I18</f>
        <v>2.9499999999999997</v>
      </c>
      <c r="O18" s="864"/>
      <c r="P18" s="876">
        <v>500</v>
      </c>
      <c r="Q18" s="877">
        <v>-18.8</v>
      </c>
      <c r="R18" s="877">
        <v>-1.1000000000000001</v>
      </c>
      <c r="S18" s="877">
        <v>2.9</v>
      </c>
      <c r="T18" s="878">
        <f t="shared" si="8"/>
        <v>10.85</v>
      </c>
      <c r="U18" s="878">
        <f t="shared" si="5"/>
        <v>2.9499999999999997</v>
      </c>
      <c r="V18" s="871"/>
      <c r="W18" s="871"/>
      <c r="X18" s="871"/>
    </row>
    <row r="19" spans="1:24" x14ac:dyDescent="0.2">
      <c r="A19" s="862"/>
      <c r="B19" s="872">
        <v>1000</v>
      </c>
      <c r="C19" s="873">
        <v>9.9999999999999995E-7</v>
      </c>
      <c r="D19" s="873">
        <v>1.9999999999999999E-6</v>
      </c>
      <c r="E19" s="874" t="s">
        <v>81</v>
      </c>
      <c r="F19" s="875">
        <f t="shared" si="6"/>
        <v>4.9999999999999998E-7</v>
      </c>
      <c r="G19" s="875">
        <f>(0.59/100)*B19</f>
        <v>5.8999999999999995</v>
      </c>
      <c r="H19" s="864"/>
      <c r="I19" s="876">
        <v>1000</v>
      </c>
      <c r="J19" s="876">
        <v>9.9999999999999995E-7</v>
      </c>
      <c r="K19" s="876">
        <v>9.9999999999999995E-7</v>
      </c>
      <c r="L19" s="877" t="s">
        <v>81</v>
      </c>
      <c r="M19" s="878">
        <f t="shared" si="7"/>
        <v>0</v>
      </c>
      <c r="N19" s="878">
        <v>2.95</v>
      </c>
      <c r="O19" s="864"/>
      <c r="P19" s="876">
        <v>1000</v>
      </c>
      <c r="Q19" s="877">
        <v>-47</v>
      </c>
      <c r="R19" s="877">
        <v>3</v>
      </c>
      <c r="S19" s="877">
        <v>3</v>
      </c>
      <c r="T19" s="878">
        <f t="shared" si="8"/>
        <v>25</v>
      </c>
      <c r="U19" s="878">
        <f t="shared" si="5"/>
        <v>5.8999999999999995</v>
      </c>
      <c r="V19" s="871"/>
      <c r="W19" s="871"/>
      <c r="X19" s="871"/>
    </row>
    <row r="20" spans="1:24" x14ac:dyDescent="0.2">
      <c r="A20" s="862"/>
      <c r="B20" s="881" t="s">
        <v>182</v>
      </c>
      <c r="C20" s="881"/>
      <c r="D20" s="881"/>
      <c r="E20" s="881"/>
      <c r="F20" s="866" t="s">
        <v>162</v>
      </c>
      <c r="G20" s="866" t="s">
        <v>158</v>
      </c>
      <c r="H20" s="864"/>
      <c r="I20" s="881" t="str">
        <f>B20</f>
        <v>Main-PE</v>
      </c>
      <c r="J20" s="881"/>
      <c r="K20" s="881"/>
      <c r="L20" s="881"/>
      <c r="M20" s="866" t="s">
        <v>162</v>
      </c>
      <c r="N20" s="866" t="s">
        <v>158</v>
      </c>
      <c r="O20" s="864"/>
      <c r="P20" s="881" t="str">
        <f>B20</f>
        <v>Main-PE</v>
      </c>
      <c r="Q20" s="881"/>
      <c r="R20" s="881"/>
      <c r="S20" s="881"/>
      <c r="T20" s="866" t="s">
        <v>162</v>
      </c>
      <c r="U20" s="866" t="s">
        <v>158</v>
      </c>
      <c r="V20" s="871"/>
      <c r="W20" s="871"/>
      <c r="X20" s="871"/>
    </row>
    <row r="21" spans="1:24" x14ac:dyDescent="0.2">
      <c r="A21" s="862"/>
      <c r="B21" s="867" t="s">
        <v>633</v>
      </c>
      <c r="C21" s="868">
        <f>C5</f>
        <v>2020</v>
      </c>
      <c r="D21" s="868">
        <f>D5</f>
        <v>2019</v>
      </c>
      <c r="E21" s="867" t="str">
        <f>E5</f>
        <v>-</v>
      </c>
      <c r="F21" s="866"/>
      <c r="G21" s="866"/>
      <c r="H21" s="864"/>
      <c r="I21" s="867" t="s">
        <v>633</v>
      </c>
      <c r="J21" s="867">
        <f>J5</f>
        <v>2019</v>
      </c>
      <c r="K21" s="867">
        <f>K5</f>
        <v>2017</v>
      </c>
      <c r="L21" s="867" t="str">
        <f>L5</f>
        <v>-</v>
      </c>
      <c r="M21" s="866"/>
      <c r="N21" s="866"/>
      <c r="O21" s="864"/>
      <c r="P21" s="867" t="s">
        <v>633</v>
      </c>
      <c r="Q21" s="867">
        <f>Q5</f>
        <v>2022</v>
      </c>
      <c r="R21" s="867">
        <f>R5</f>
        <v>2021</v>
      </c>
      <c r="S21" s="867">
        <f>S5</f>
        <v>2018</v>
      </c>
      <c r="T21" s="866"/>
      <c r="U21" s="866"/>
      <c r="V21" s="871"/>
      <c r="W21" s="871"/>
      <c r="X21" s="871"/>
    </row>
    <row r="22" spans="1:24" x14ac:dyDescent="0.2">
      <c r="A22" s="862"/>
      <c r="B22" s="872">
        <v>10</v>
      </c>
      <c r="C22" s="873">
        <v>-1E-3</v>
      </c>
      <c r="D22" s="873">
        <v>9.9999999999999995E-7</v>
      </c>
      <c r="E22" s="874" t="s">
        <v>81</v>
      </c>
      <c r="F22" s="875">
        <f>0.5*(MAX(C22:E22)-MIN(C22:E22))</f>
        <v>5.0049999999999997E-4</v>
      </c>
      <c r="G22" s="875">
        <f>(0.59/100)*B22</f>
        <v>5.8999999999999997E-2</v>
      </c>
      <c r="H22" s="864"/>
      <c r="I22" s="876">
        <v>10</v>
      </c>
      <c r="J22" s="876">
        <v>0.1</v>
      </c>
      <c r="K22" s="876">
        <v>9.9999999999999995E-7</v>
      </c>
      <c r="L22" s="877" t="s">
        <v>81</v>
      </c>
      <c r="M22" s="878">
        <f>0.5*(MAX(J22:L22)-MIN(J22:L22))</f>
        <v>4.9999500000000002E-2</v>
      </c>
      <c r="N22" s="878">
        <f>(0.59/100)*I22</f>
        <v>5.8999999999999997E-2</v>
      </c>
      <c r="O22" s="864"/>
      <c r="P22" s="876">
        <v>5</v>
      </c>
      <c r="Q22" s="877">
        <v>9.9999999999999995E-7</v>
      </c>
      <c r="R22" s="877">
        <v>9.9999999999999995E-7</v>
      </c>
      <c r="S22" s="877">
        <v>9.9999999999999995E-7</v>
      </c>
      <c r="T22" s="878">
        <f>0.5*(MAX(Q22:S22)-MIN(Q22:S22))</f>
        <v>0</v>
      </c>
      <c r="U22" s="878">
        <f>(1.7/100)*P22</f>
        <v>8.5000000000000006E-2</v>
      </c>
      <c r="V22" s="871"/>
      <c r="W22" s="871"/>
      <c r="X22" s="871"/>
    </row>
    <row r="23" spans="1:24" x14ac:dyDescent="0.2">
      <c r="A23" s="862"/>
      <c r="B23" s="872">
        <v>20</v>
      </c>
      <c r="C23" s="873">
        <v>9.9999999999999995E-7</v>
      </c>
      <c r="D23" s="873">
        <v>9.9999999999999995E-7</v>
      </c>
      <c r="E23" s="874" t="s">
        <v>81</v>
      </c>
      <c r="F23" s="875">
        <f t="shared" ref="F23:F25" si="9">0.5*(MAX(C23:E23)-MIN(C23:E23))</f>
        <v>0</v>
      </c>
      <c r="G23" s="875">
        <f t="shared" ref="G23:G25" si="10">(0.59/100)*B23</f>
        <v>0.11799999999999999</v>
      </c>
      <c r="H23" s="864"/>
      <c r="I23" s="876">
        <v>20</v>
      </c>
      <c r="J23" s="876">
        <v>0.2</v>
      </c>
      <c r="K23" s="876">
        <v>0.1</v>
      </c>
      <c r="L23" s="877" t="s">
        <v>81</v>
      </c>
      <c r="M23" s="878">
        <f t="shared" ref="M23:M25" si="11">0.5*(MAX(J23:L23)-MIN(J23:L23))</f>
        <v>0.05</v>
      </c>
      <c r="N23" s="878">
        <f>(0.59/100)*I23</f>
        <v>0.11799999999999999</v>
      </c>
      <c r="O23" s="864"/>
      <c r="P23" s="876">
        <v>10</v>
      </c>
      <c r="Q23" s="877">
        <v>9.9999999999999995E-7</v>
      </c>
      <c r="R23" s="877">
        <v>9.9999999999999995E-7</v>
      </c>
      <c r="S23" s="877">
        <v>9.9999999999999995E-7</v>
      </c>
      <c r="T23" s="878">
        <f t="shared" ref="T23:T25" si="12">0.5*(MAX(Q23:S23)-MIN(Q23:S23))</f>
        <v>0</v>
      </c>
      <c r="U23" s="878">
        <f>(1.7/100)*P23</f>
        <v>0.17</v>
      </c>
      <c r="V23" s="871"/>
      <c r="W23" s="871"/>
      <c r="X23" s="871"/>
    </row>
    <row r="24" spans="1:24" x14ac:dyDescent="0.2">
      <c r="A24" s="862"/>
      <c r="B24" s="872">
        <v>50</v>
      </c>
      <c r="C24" s="873">
        <v>9.9999999999999995E-7</v>
      </c>
      <c r="D24" s="873">
        <v>9.9999999999999995E-7</v>
      </c>
      <c r="E24" s="874" t="s">
        <v>81</v>
      </c>
      <c r="F24" s="875">
        <f t="shared" si="9"/>
        <v>0</v>
      </c>
      <c r="G24" s="875">
        <f t="shared" si="10"/>
        <v>0.29499999999999998</v>
      </c>
      <c r="H24" s="864"/>
      <c r="I24" s="876">
        <v>50</v>
      </c>
      <c r="J24" s="876">
        <v>0.3</v>
      </c>
      <c r="K24" s="876">
        <v>0.1</v>
      </c>
      <c r="L24" s="877" t="s">
        <v>81</v>
      </c>
      <c r="M24" s="878">
        <f t="shared" si="11"/>
        <v>9.9999999999999992E-2</v>
      </c>
      <c r="N24" s="878">
        <f>(0.59/100)*I24</f>
        <v>0.29499999999999998</v>
      </c>
      <c r="O24" s="864"/>
      <c r="P24" s="876">
        <v>20</v>
      </c>
      <c r="Q24" s="877">
        <v>9.9999999999999995E-7</v>
      </c>
      <c r="R24" s="877">
        <v>0.4</v>
      </c>
      <c r="S24" s="877">
        <v>0.3</v>
      </c>
      <c r="T24" s="878">
        <f t="shared" si="12"/>
        <v>0.19999950000000002</v>
      </c>
      <c r="U24" s="878">
        <f>(1.7/100)*P24</f>
        <v>0.34</v>
      </c>
      <c r="V24" s="871"/>
      <c r="W24" s="871"/>
      <c r="X24" s="871"/>
    </row>
    <row r="25" spans="1:24" x14ac:dyDescent="0.2">
      <c r="A25" s="862"/>
      <c r="B25" s="872">
        <v>100</v>
      </c>
      <c r="C25" s="873">
        <v>9.9999999999999995E-7</v>
      </c>
      <c r="D25" s="873">
        <v>1.9999999999999999E-6</v>
      </c>
      <c r="E25" s="874" t="s">
        <v>81</v>
      </c>
      <c r="F25" s="875">
        <f t="shared" si="9"/>
        <v>4.9999999999999998E-7</v>
      </c>
      <c r="G25" s="875">
        <f t="shared" si="10"/>
        <v>0.59</v>
      </c>
      <c r="H25" s="864"/>
      <c r="I25" s="876">
        <v>100</v>
      </c>
      <c r="J25" s="876">
        <v>0.3</v>
      </c>
      <c r="K25" s="876">
        <v>9.9999999999999995E-7</v>
      </c>
      <c r="L25" s="877" t="s">
        <v>81</v>
      </c>
      <c r="M25" s="878">
        <f t="shared" si="11"/>
        <v>0.14999950000000001</v>
      </c>
      <c r="N25" s="878">
        <f>(0.59/100)*I25</f>
        <v>0.59</v>
      </c>
      <c r="O25" s="864"/>
      <c r="P25" s="876">
        <v>50</v>
      </c>
      <c r="Q25" s="877">
        <v>0.1</v>
      </c>
      <c r="R25" s="877">
        <v>1.1000000000000001</v>
      </c>
      <c r="S25" s="877">
        <v>0.6</v>
      </c>
      <c r="T25" s="878">
        <f t="shared" si="12"/>
        <v>0.5</v>
      </c>
      <c r="U25" s="878">
        <f>(1.7/100)*P25</f>
        <v>0.85000000000000009</v>
      </c>
      <c r="V25" s="871"/>
      <c r="W25" s="871"/>
      <c r="X25" s="871"/>
    </row>
    <row r="26" spans="1:24" ht="12.95" customHeight="1" x14ac:dyDescent="0.2">
      <c r="A26" s="862"/>
      <c r="B26" s="881" t="s">
        <v>183</v>
      </c>
      <c r="C26" s="881"/>
      <c r="D26" s="881"/>
      <c r="E26" s="881"/>
      <c r="F26" s="866" t="s">
        <v>162</v>
      </c>
      <c r="G26" s="866" t="s">
        <v>158</v>
      </c>
      <c r="H26" s="864"/>
      <c r="I26" s="881" t="str">
        <f>B26</f>
        <v>Resistance</v>
      </c>
      <c r="J26" s="881"/>
      <c r="K26" s="881"/>
      <c r="L26" s="881"/>
      <c r="M26" s="866" t="s">
        <v>162</v>
      </c>
      <c r="N26" s="866" t="s">
        <v>158</v>
      </c>
      <c r="O26" s="864"/>
      <c r="P26" s="881" t="str">
        <f>B26</f>
        <v>Resistance</v>
      </c>
      <c r="Q26" s="881"/>
      <c r="R26" s="881"/>
      <c r="S26" s="881"/>
      <c r="T26" s="866" t="s">
        <v>162</v>
      </c>
      <c r="U26" s="866" t="s">
        <v>158</v>
      </c>
      <c r="V26" s="871"/>
      <c r="W26" s="871"/>
      <c r="X26" s="871"/>
    </row>
    <row r="27" spans="1:24" x14ac:dyDescent="0.2">
      <c r="A27" s="862"/>
      <c r="B27" s="867" t="s">
        <v>634</v>
      </c>
      <c r="C27" s="868">
        <f>C5</f>
        <v>2020</v>
      </c>
      <c r="D27" s="868">
        <f>D5</f>
        <v>2019</v>
      </c>
      <c r="E27" s="867" t="str">
        <f>E5</f>
        <v>-</v>
      </c>
      <c r="F27" s="866"/>
      <c r="G27" s="866"/>
      <c r="H27" s="864"/>
      <c r="I27" s="867" t="s">
        <v>634</v>
      </c>
      <c r="J27" s="867">
        <f>J5</f>
        <v>2019</v>
      </c>
      <c r="K27" s="867">
        <f>K5</f>
        <v>2017</v>
      </c>
      <c r="L27" s="867" t="str">
        <f>L5</f>
        <v>-</v>
      </c>
      <c r="M27" s="866"/>
      <c r="N27" s="866"/>
      <c r="O27" s="864"/>
      <c r="P27" s="867" t="s">
        <v>634</v>
      </c>
      <c r="Q27" s="867">
        <f>Q5</f>
        <v>2022</v>
      </c>
      <c r="R27" s="867">
        <f>R5</f>
        <v>2021</v>
      </c>
      <c r="S27" s="867">
        <f>S5</f>
        <v>2018</v>
      </c>
      <c r="T27" s="866"/>
      <c r="U27" s="866"/>
      <c r="V27" s="871"/>
      <c r="W27" s="871"/>
      <c r="X27" s="871"/>
    </row>
    <row r="28" spans="1:24" x14ac:dyDescent="0.2">
      <c r="A28" s="862"/>
      <c r="B28" s="876">
        <v>0</v>
      </c>
      <c r="C28" s="873">
        <v>9.9999999999999995E-7</v>
      </c>
      <c r="D28" s="873">
        <v>9.9999999999999995E-7</v>
      </c>
      <c r="E28" s="874" t="s">
        <v>81</v>
      </c>
      <c r="F28" s="875">
        <v>9.9999999999999995E-7</v>
      </c>
      <c r="G28" s="875">
        <v>9.9999999999999995E-7</v>
      </c>
      <c r="H28" s="864"/>
      <c r="I28" s="876">
        <v>0.01</v>
      </c>
      <c r="J28" s="876">
        <v>9.9999999999999995E-7</v>
      </c>
      <c r="K28" s="876">
        <v>9.9999999999999995E-7</v>
      </c>
      <c r="L28" s="882"/>
      <c r="M28" s="878">
        <f>0.5*(MAX(J28:L28)-MIN(J28:L28))</f>
        <v>0</v>
      </c>
      <c r="N28" s="878">
        <f>(1.2/100)*I28</f>
        <v>1.2E-4</v>
      </c>
      <c r="O28" s="864"/>
      <c r="P28" s="876">
        <v>0</v>
      </c>
      <c r="Q28" s="883">
        <v>-1E-3</v>
      </c>
      <c r="R28" s="883">
        <v>9.9999999999999995E-7</v>
      </c>
      <c r="S28" s="883">
        <v>9.9999999999999995E-7</v>
      </c>
      <c r="T28" s="878">
        <f>0.5*(MAX(Q28:S28)-MIN(Q28:S28))</f>
        <v>5.0049999999999997E-4</v>
      </c>
      <c r="U28" s="878">
        <f>(1.2/100)*P28</f>
        <v>0</v>
      </c>
      <c r="V28" s="871"/>
      <c r="W28" s="871"/>
      <c r="X28" s="871"/>
    </row>
    <row r="29" spans="1:24" x14ac:dyDescent="0.2">
      <c r="A29" s="862"/>
      <c r="B29" s="876">
        <v>0.1</v>
      </c>
      <c r="C29" s="873">
        <v>-1E-3</v>
      </c>
      <c r="D29" s="873">
        <v>2E-3</v>
      </c>
      <c r="E29" s="874" t="s">
        <v>81</v>
      </c>
      <c r="F29" s="875">
        <f t="shared" ref="F29:F31" si="13">0.5*(MAX(C29:E29)-MIN(C29:E29))</f>
        <v>1.5E-3</v>
      </c>
      <c r="G29" s="875">
        <f t="shared" ref="G29:G31" si="14">(1.2/100)*B29</f>
        <v>1.2000000000000001E-3</v>
      </c>
      <c r="H29" s="864"/>
      <c r="I29" s="876">
        <v>0.1</v>
      </c>
      <c r="J29" s="876">
        <v>6.0000000000000001E-3</v>
      </c>
      <c r="K29" s="876">
        <v>5.0000000000000001E-3</v>
      </c>
      <c r="L29" s="882"/>
      <c r="M29" s="878">
        <f t="shared" ref="M29:M31" si="15">0.5*(MAX(J29:L29)-MIN(J29:L29))</f>
        <v>5.0000000000000001E-4</v>
      </c>
      <c r="N29" s="878">
        <f>(1.2/100)*I29</f>
        <v>1.2000000000000001E-3</v>
      </c>
      <c r="O29" s="864"/>
      <c r="P29" s="876">
        <v>0.5</v>
      </c>
      <c r="Q29" s="883">
        <v>-2E-3</v>
      </c>
      <c r="R29" s="883">
        <v>-1E-3</v>
      </c>
      <c r="S29" s="883">
        <v>9.9999999999999995E-7</v>
      </c>
      <c r="T29" s="878">
        <f t="shared" ref="T29:T31" si="16">0.5*(MAX(Q29:S29)-MIN(Q29:S29))</f>
        <v>1.0005000000000001E-3</v>
      </c>
      <c r="U29" s="878">
        <f>(1.2/100)*P29</f>
        <v>6.0000000000000001E-3</v>
      </c>
      <c r="V29" s="871"/>
      <c r="W29" s="871"/>
      <c r="X29" s="871"/>
    </row>
    <row r="30" spans="1:24" x14ac:dyDescent="0.2">
      <c r="A30" s="862"/>
      <c r="B30" s="876">
        <v>1</v>
      </c>
      <c r="C30" s="873">
        <v>4.0000000000000001E-3</v>
      </c>
      <c r="D30" s="873">
        <v>1.2E-2</v>
      </c>
      <c r="E30" s="874" t="s">
        <v>81</v>
      </c>
      <c r="F30" s="875">
        <f t="shared" si="13"/>
        <v>4.0000000000000001E-3</v>
      </c>
      <c r="G30" s="875">
        <f t="shared" si="14"/>
        <v>1.2E-2</v>
      </c>
      <c r="H30" s="864"/>
      <c r="I30" s="876">
        <v>1</v>
      </c>
      <c r="J30" s="876">
        <v>4.4999999999999998E-2</v>
      </c>
      <c r="K30" s="876">
        <v>5.5E-2</v>
      </c>
      <c r="L30" s="882"/>
      <c r="M30" s="878">
        <f t="shared" si="15"/>
        <v>5.000000000000001E-3</v>
      </c>
      <c r="N30" s="878">
        <f>(1.2/100)*I30</f>
        <v>1.2E-2</v>
      </c>
      <c r="O30" s="864"/>
      <c r="P30" s="876">
        <v>1</v>
      </c>
      <c r="Q30" s="883">
        <v>-1.2E-2</v>
      </c>
      <c r="R30" s="883">
        <v>5.0000000000000001E-3</v>
      </c>
      <c r="S30" s="883">
        <v>9.9999999999999995E-7</v>
      </c>
      <c r="T30" s="878">
        <f t="shared" si="16"/>
        <v>8.5000000000000006E-3</v>
      </c>
      <c r="U30" s="878">
        <f>(1.2/100)*P30</f>
        <v>1.2E-2</v>
      </c>
      <c r="V30" s="871"/>
      <c r="W30" s="871"/>
      <c r="X30" s="871"/>
    </row>
    <row r="31" spans="1:24" x14ac:dyDescent="0.2">
      <c r="A31" s="862"/>
      <c r="B31" s="876">
        <v>2</v>
      </c>
      <c r="C31" s="873">
        <v>7.0000000000000001E-3</v>
      </c>
      <c r="D31" s="873">
        <v>9.9999999999999995E-7</v>
      </c>
      <c r="E31" s="874" t="s">
        <v>81</v>
      </c>
      <c r="F31" s="875">
        <f t="shared" si="13"/>
        <v>3.4995E-3</v>
      </c>
      <c r="G31" s="875">
        <f t="shared" si="14"/>
        <v>2.4E-2</v>
      </c>
      <c r="H31" s="864"/>
      <c r="I31" s="876">
        <v>2</v>
      </c>
      <c r="J31" s="876">
        <v>9.9999999999999995E-7</v>
      </c>
      <c r="K31" s="876">
        <v>9.9999999999999995E-7</v>
      </c>
      <c r="L31" s="882"/>
      <c r="M31" s="878">
        <f t="shared" si="15"/>
        <v>0</v>
      </c>
      <c r="N31" s="878">
        <f>(1.2/100)*I31</f>
        <v>2.4E-2</v>
      </c>
      <c r="O31" s="864"/>
      <c r="P31" s="876">
        <v>2</v>
      </c>
      <c r="Q31" s="883">
        <v>-8.0000000000000002E-3</v>
      </c>
      <c r="R31" s="883">
        <v>1.4E-2</v>
      </c>
      <c r="S31" s="883">
        <v>9.9999999999999995E-7</v>
      </c>
      <c r="T31" s="878">
        <f t="shared" si="16"/>
        <v>1.0999999999999999E-2</v>
      </c>
      <c r="U31" s="878">
        <f>(1.2/100)*P31</f>
        <v>2.4E-2</v>
      </c>
      <c r="V31" s="871"/>
      <c r="W31" s="871"/>
      <c r="X31" s="871"/>
    </row>
    <row r="32" spans="1:24" x14ac:dyDescent="0.2">
      <c r="A32" s="884"/>
      <c r="T32" s="885"/>
      <c r="V32" s="871"/>
      <c r="W32" s="871"/>
      <c r="X32" s="871"/>
    </row>
    <row r="33" spans="1:24" ht="14.45" customHeight="1" x14ac:dyDescent="0.2">
      <c r="A33" s="862" t="s">
        <v>184</v>
      </c>
      <c r="B33" s="886" t="s">
        <v>185</v>
      </c>
      <c r="C33" s="886"/>
      <c r="D33" s="886"/>
      <c r="E33" s="886"/>
      <c r="F33" s="886"/>
      <c r="G33" s="886"/>
      <c r="H33" s="887" t="s">
        <v>186</v>
      </c>
      <c r="I33" s="863" t="s">
        <v>187</v>
      </c>
      <c r="J33" s="863"/>
      <c r="K33" s="863"/>
      <c r="L33" s="863"/>
      <c r="M33" s="863"/>
      <c r="N33" s="863"/>
      <c r="O33" s="864" t="s">
        <v>188</v>
      </c>
      <c r="P33" s="886" t="s">
        <v>189</v>
      </c>
      <c r="Q33" s="886"/>
      <c r="R33" s="886"/>
      <c r="S33" s="886"/>
      <c r="T33" s="886"/>
      <c r="U33" s="886"/>
      <c r="V33" s="871"/>
      <c r="W33" s="871"/>
      <c r="X33" s="871"/>
    </row>
    <row r="34" spans="1:24" ht="14.1" customHeight="1" x14ac:dyDescent="0.2">
      <c r="A34" s="862"/>
      <c r="B34" s="865" t="s">
        <v>177</v>
      </c>
      <c r="C34" s="865"/>
      <c r="D34" s="865"/>
      <c r="E34" s="865"/>
      <c r="F34" s="865"/>
      <c r="G34" s="865"/>
      <c r="H34" s="888"/>
      <c r="I34" s="865" t="s">
        <v>177</v>
      </c>
      <c r="J34" s="865"/>
      <c r="K34" s="865"/>
      <c r="L34" s="865"/>
      <c r="M34" s="865"/>
      <c r="N34" s="865"/>
      <c r="O34" s="864"/>
      <c r="P34" s="865" t="s">
        <v>177</v>
      </c>
      <c r="Q34" s="865"/>
      <c r="R34" s="865"/>
      <c r="S34" s="865"/>
      <c r="T34" s="865"/>
      <c r="U34" s="865"/>
      <c r="V34" s="871"/>
      <c r="W34" s="871"/>
      <c r="X34" s="871"/>
    </row>
    <row r="35" spans="1:24" ht="12.95" customHeight="1" x14ac:dyDescent="0.2">
      <c r="A35" s="862"/>
      <c r="B35" s="866" t="str">
        <f>B4</f>
        <v>Setting VAC</v>
      </c>
      <c r="C35" s="866"/>
      <c r="D35" s="866"/>
      <c r="E35" s="866"/>
      <c r="F35" s="866" t="s">
        <v>162</v>
      </c>
      <c r="G35" s="866" t="s">
        <v>158</v>
      </c>
      <c r="H35" s="888"/>
      <c r="I35" s="866" t="str">
        <f>B35</f>
        <v>Setting VAC</v>
      </c>
      <c r="J35" s="866"/>
      <c r="K35" s="866"/>
      <c r="L35" s="866"/>
      <c r="M35" s="866" t="s">
        <v>162</v>
      </c>
      <c r="N35" s="866" t="s">
        <v>158</v>
      </c>
      <c r="O35" s="864"/>
      <c r="P35" s="866" t="str">
        <f>I35</f>
        <v>Setting VAC</v>
      </c>
      <c r="Q35" s="866"/>
      <c r="R35" s="866"/>
      <c r="S35" s="866"/>
      <c r="T35" s="866" t="s">
        <v>162</v>
      </c>
      <c r="U35" s="866" t="s">
        <v>158</v>
      </c>
      <c r="V35" s="871"/>
      <c r="W35" s="871"/>
      <c r="X35" s="871"/>
    </row>
    <row r="36" spans="1:24" ht="14.1" customHeight="1" x14ac:dyDescent="0.2">
      <c r="A36" s="862"/>
      <c r="B36" s="867" t="s">
        <v>179</v>
      </c>
      <c r="C36" s="868">
        <v>2021</v>
      </c>
      <c r="D36" s="868">
        <v>2019</v>
      </c>
      <c r="E36" s="869" t="s">
        <v>81</v>
      </c>
      <c r="F36" s="866"/>
      <c r="G36" s="866"/>
      <c r="H36" s="888"/>
      <c r="I36" s="867" t="s">
        <v>179</v>
      </c>
      <c r="J36" s="867">
        <v>2021</v>
      </c>
      <c r="K36" s="867">
        <v>2019</v>
      </c>
      <c r="L36" s="869" t="s">
        <v>81</v>
      </c>
      <c r="M36" s="866"/>
      <c r="N36" s="866"/>
      <c r="O36" s="864"/>
      <c r="P36" s="867" t="s">
        <v>179</v>
      </c>
      <c r="Q36" s="867">
        <v>2019</v>
      </c>
      <c r="R36" s="867">
        <v>2018</v>
      </c>
      <c r="S36" s="869" t="s">
        <v>81</v>
      </c>
      <c r="T36" s="866"/>
      <c r="U36" s="866"/>
      <c r="V36" s="870"/>
      <c r="W36" s="870"/>
      <c r="X36" s="871"/>
    </row>
    <row r="37" spans="1:24" ht="12.95" customHeight="1" x14ac:dyDescent="0.2">
      <c r="A37" s="862"/>
      <c r="B37" s="872">
        <v>150</v>
      </c>
      <c r="C37" s="874">
        <v>-0.05</v>
      </c>
      <c r="D37" s="874">
        <v>0.11</v>
      </c>
      <c r="E37" s="874" t="s">
        <v>81</v>
      </c>
      <c r="F37" s="875">
        <f>0.5*(MAX(C37:E37)-MIN(C37:E37))</f>
        <v>0.08</v>
      </c>
      <c r="G37" s="875">
        <f>(1.2/100)*B37</f>
        <v>1.8</v>
      </c>
      <c r="H37" s="888"/>
      <c r="I37" s="876">
        <v>150</v>
      </c>
      <c r="J37" s="877">
        <v>0.25</v>
      </c>
      <c r="K37" s="877">
        <v>0.02</v>
      </c>
      <c r="L37" s="877" t="s">
        <v>81</v>
      </c>
      <c r="M37" s="878">
        <f>0.5*(MAX(J37:L37)-MIN(J37:L37))</f>
        <v>0.115</v>
      </c>
      <c r="N37" s="878">
        <f>(1.2/100)*I37</f>
        <v>1.8</v>
      </c>
      <c r="O37" s="864"/>
      <c r="P37" s="876">
        <v>150</v>
      </c>
      <c r="Q37" s="877">
        <v>-0.15</v>
      </c>
      <c r="R37" s="877">
        <v>0.03</v>
      </c>
      <c r="S37" s="877" t="s">
        <v>81</v>
      </c>
      <c r="T37" s="878">
        <f>0.5*(MAX(Q37:S37)-MIN(Q37:S37))</f>
        <v>0.09</v>
      </c>
      <c r="U37" s="878">
        <f>(1.2/100)*P37</f>
        <v>1.8</v>
      </c>
      <c r="V37" s="879"/>
      <c r="W37" s="880"/>
      <c r="X37" s="871"/>
    </row>
    <row r="38" spans="1:24" ht="12.95" customHeight="1" x14ac:dyDescent="0.2">
      <c r="A38" s="862"/>
      <c r="B38" s="872">
        <v>180</v>
      </c>
      <c r="C38" s="874">
        <v>-0.04</v>
      </c>
      <c r="D38" s="874">
        <v>0.03</v>
      </c>
      <c r="E38" s="874" t="s">
        <v>81</v>
      </c>
      <c r="F38" s="875">
        <f t="shared" ref="F38:F42" si="17">0.5*(MAX(C38:E38)-MIN(C38:E38))</f>
        <v>3.5000000000000003E-2</v>
      </c>
      <c r="G38" s="875">
        <f>(1.2/100)*B38</f>
        <v>2.16</v>
      </c>
      <c r="H38" s="888"/>
      <c r="I38" s="876">
        <v>180</v>
      </c>
      <c r="J38" s="877">
        <v>0.09</v>
      </c>
      <c r="K38" s="877">
        <v>0.1</v>
      </c>
      <c r="L38" s="877" t="s">
        <v>81</v>
      </c>
      <c r="M38" s="878">
        <f t="shared" ref="M38:M42" si="18">0.5*(MAX(J38:L38)-MIN(J38:L38))</f>
        <v>5.0000000000000044E-3</v>
      </c>
      <c r="N38" s="878">
        <f>(1.2/100)*I38</f>
        <v>2.16</v>
      </c>
      <c r="O38" s="864"/>
      <c r="P38" s="876">
        <v>180</v>
      </c>
      <c r="Q38" s="877">
        <v>-0.11</v>
      </c>
      <c r="R38" s="877">
        <v>9.9999999999999995E-7</v>
      </c>
      <c r="S38" s="877" t="s">
        <v>81</v>
      </c>
      <c r="T38" s="878">
        <f t="shared" ref="T38:T42" si="19">0.5*(MAX(Q38:S38)-MIN(Q38:S38))</f>
        <v>5.5000500000000001E-2</v>
      </c>
      <c r="U38" s="878">
        <f>(1.2/100)*P38</f>
        <v>2.16</v>
      </c>
      <c r="V38" s="879"/>
      <c r="W38" s="880"/>
      <c r="X38" s="871"/>
    </row>
    <row r="39" spans="1:24" ht="12.95" customHeight="1" x14ac:dyDescent="0.2">
      <c r="A39" s="862"/>
      <c r="B39" s="872">
        <v>200</v>
      </c>
      <c r="C39" s="874">
        <v>-0.67</v>
      </c>
      <c r="D39" s="874">
        <v>0.05</v>
      </c>
      <c r="E39" s="874" t="s">
        <v>81</v>
      </c>
      <c r="F39" s="875">
        <f t="shared" si="17"/>
        <v>0.36000000000000004</v>
      </c>
      <c r="G39" s="875">
        <f>(1.2/100)*B39</f>
        <v>2.4</v>
      </c>
      <c r="H39" s="888"/>
      <c r="I39" s="876">
        <v>200</v>
      </c>
      <c r="J39" s="877">
        <v>0.18</v>
      </c>
      <c r="K39" s="877">
        <v>-0.03</v>
      </c>
      <c r="L39" s="877" t="s">
        <v>81</v>
      </c>
      <c r="M39" s="878">
        <f t="shared" si="18"/>
        <v>0.105</v>
      </c>
      <c r="N39" s="878">
        <f>(1.2/100)*I39</f>
        <v>2.4</v>
      </c>
      <c r="O39" s="864"/>
      <c r="P39" s="876">
        <v>200</v>
      </c>
      <c r="Q39" s="877">
        <v>-0.1</v>
      </c>
      <c r="R39" s="877">
        <v>0.05</v>
      </c>
      <c r="S39" s="877" t="s">
        <v>81</v>
      </c>
      <c r="T39" s="878">
        <f t="shared" si="19"/>
        <v>7.5000000000000011E-2</v>
      </c>
      <c r="U39" s="878">
        <f>(1.2/100)*P39</f>
        <v>2.4</v>
      </c>
      <c r="V39" s="879"/>
      <c r="W39" s="880"/>
      <c r="X39" s="871"/>
    </row>
    <row r="40" spans="1:24" ht="12.95" customHeight="1" x14ac:dyDescent="0.2">
      <c r="A40" s="862"/>
      <c r="B40" s="872">
        <v>220</v>
      </c>
      <c r="C40" s="874">
        <v>9.9999999999999995E-7</v>
      </c>
      <c r="D40" s="874">
        <v>0.1</v>
      </c>
      <c r="E40" s="874" t="s">
        <v>81</v>
      </c>
      <c r="F40" s="875">
        <f t="shared" si="17"/>
        <v>4.9999500000000002E-2</v>
      </c>
      <c r="G40" s="875">
        <f>(1.2/100)*B40</f>
        <v>2.64</v>
      </c>
      <c r="H40" s="888"/>
      <c r="I40" s="876">
        <v>220</v>
      </c>
      <c r="J40" s="877">
        <v>0.56000000000000005</v>
      </c>
      <c r="K40" s="877">
        <v>0.38</v>
      </c>
      <c r="L40" s="877" t="s">
        <v>81</v>
      </c>
      <c r="M40" s="878">
        <f t="shared" si="18"/>
        <v>9.0000000000000024E-2</v>
      </c>
      <c r="N40" s="878">
        <f>(1.2/100)*I40</f>
        <v>2.64</v>
      </c>
      <c r="O40" s="864"/>
      <c r="P40" s="876">
        <v>220</v>
      </c>
      <c r="Q40" s="877">
        <v>-0.13</v>
      </c>
      <c r="R40" s="877">
        <v>0.05</v>
      </c>
      <c r="S40" s="877" t="s">
        <v>81</v>
      </c>
      <c r="T40" s="878">
        <f t="shared" si="19"/>
        <v>0.09</v>
      </c>
      <c r="U40" s="878">
        <f>(1.2/100)*P40</f>
        <v>2.64</v>
      </c>
      <c r="V40" s="879"/>
      <c r="W40" s="880"/>
      <c r="X40" s="871"/>
    </row>
    <row r="41" spans="1:24" ht="12.95" customHeight="1" x14ac:dyDescent="0.2">
      <c r="A41" s="862"/>
      <c r="B41" s="872">
        <v>230</v>
      </c>
      <c r="C41" s="874">
        <v>-0.11</v>
      </c>
      <c r="D41" s="874">
        <v>1.1100000000000001</v>
      </c>
      <c r="E41" s="874" t="s">
        <v>81</v>
      </c>
      <c r="F41" s="875">
        <f t="shared" si="17"/>
        <v>0.6100000000000001</v>
      </c>
      <c r="G41" s="875">
        <f>(1.2/100)*B41</f>
        <v>2.7600000000000002</v>
      </c>
      <c r="H41" s="888"/>
      <c r="I41" s="876">
        <v>230</v>
      </c>
      <c r="J41" s="877">
        <v>0.73</v>
      </c>
      <c r="K41" s="877">
        <v>-0.16</v>
      </c>
      <c r="L41" s="877" t="s">
        <v>81</v>
      </c>
      <c r="M41" s="878">
        <f t="shared" si="18"/>
        <v>0.44500000000000001</v>
      </c>
      <c r="N41" s="878">
        <f>(1.2/100)*I41</f>
        <v>2.7600000000000002</v>
      </c>
      <c r="O41" s="864"/>
      <c r="P41" s="876">
        <v>230</v>
      </c>
      <c r="Q41" s="877">
        <v>-0.15</v>
      </c>
      <c r="R41" s="877">
        <v>-0.05</v>
      </c>
      <c r="S41" s="877" t="s">
        <v>81</v>
      </c>
      <c r="T41" s="878">
        <f t="shared" si="19"/>
        <v>4.9999999999999996E-2</v>
      </c>
      <c r="U41" s="878">
        <f>(1.2/100)*P41</f>
        <v>2.7600000000000002</v>
      </c>
      <c r="V41" s="879"/>
      <c r="W41" s="880"/>
      <c r="X41" s="871"/>
    </row>
    <row r="42" spans="1:24" ht="12.95" customHeight="1" x14ac:dyDescent="0.2">
      <c r="A42" s="862"/>
      <c r="B42" s="872">
        <v>250</v>
      </c>
      <c r="C42" s="874">
        <v>9.9999999999999995E-7</v>
      </c>
      <c r="D42" s="874">
        <v>3.9999999999999998E-6</v>
      </c>
      <c r="E42" s="874" t="s">
        <v>81</v>
      </c>
      <c r="F42" s="875">
        <f t="shared" si="17"/>
        <v>1.5E-6</v>
      </c>
      <c r="G42" s="875">
        <v>2.76</v>
      </c>
      <c r="H42" s="888"/>
      <c r="I42" s="876">
        <v>250</v>
      </c>
      <c r="J42" s="877">
        <v>9.9999999999999995E-7</v>
      </c>
      <c r="K42" s="877">
        <v>9.9999999999999995E-7</v>
      </c>
      <c r="L42" s="877" t="s">
        <v>81</v>
      </c>
      <c r="M42" s="878">
        <f t="shared" si="18"/>
        <v>0</v>
      </c>
      <c r="N42" s="878">
        <v>2.76</v>
      </c>
      <c r="O42" s="864"/>
      <c r="P42" s="876">
        <v>250</v>
      </c>
      <c r="Q42" s="877">
        <v>9.9999999999999995E-7</v>
      </c>
      <c r="R42" s="877">
        <v>9.9999999999999995E-7</v>
      </c>
      <c r="S42" s="877" t="s">
        <v>81</v>
      </c>
      <c r="T42" s="878">
        <f t="shared" si="19"/>
        <v>0</v>
      </c>
      <c r="U42" s="878">
        <f>(0/100)*P42</f>
        <v>0</v>
      </c>
      <c r="V42" s="879"/>
      <c r="W42" s="880"/>
      <c r="X42" s="871"/>
    </row>
    <row r="43" spans="1:24" ht="12.75" customHeight="1" x14ac:dyDescent="0.2">
      <c r="A43" s="862"/>
      <c r="B43" s="881" t="str">
        <f>B12</f>
        <v>Current Leakage</v>
      </c>
      <c r="C43" s="881"/>
      <c r="D43" s="881"/>
      <c r="E43" s="881"/>
      <c r="F43" s="866" t="s">
        <v>162</v>
      </c>
      <c r="G43" s="866" t="s">
        <v>158</v>
      </c>
      <c r="H43" s="888"/>
      <c r="I43" s="881" t="str">
        <f>B43</f>
        <v>Current Leakage</v>
      </c>
      <c r="J43" s="881"/>
      <c r="K43" s="881"/>
      <c r="L43" s="881"/>
      <c r="M43" s="866" t="s">
        <v>162</v>
      </c>
      <c r="N43" s="866" t="s">
        <v>158</v>
      </c>
      <c r="O43" s="864"/>
      <c r="P43" s="881" t="str">
        <f>I43</f>
        <v>Current Leakage</v>
      </c>
      <c r="Q43" s="881"/>
      <c r="R43" s="881"/>
      <c r="S43" s="881"/>
      <c r="T43" s="866" t="s">
        <v>162</v>
      </c>
      <c r="U43" s="866" t="s">
        <v>158</v>
      </c>
      <c r="V43" s="871"/>
      <c r="W43" s="871"/>
      <c r="X43" s="871"/>
    </row>
    <row r="44" spans="1:24" ht="14.1" customHeight="1" x14ac:dyDescent="0.2">
      <c r="A44" s="862"/>
      <c r="B44" s="867" t="s">
        <v>181</v>
      </c>
      <c r="C44" s="868">
        <f>C36</f>
        <v>2021</v>
      </c>
      <c r="D44" s="868">
        <f>D36</f>
        <v>2019</v>
      </c>
      <c r="E44" s="867" t="str">
        <f>E36</f>
        <v>-</v>
      </c>
      <c r="F44" s="866"/>
      <c r="G44" s="866"/>
      <c r="H44" s="888"/>
      <c r="I44" s="867" t="s">
        <v>181</v>
      </c>
      <c r="J44" s="867">
        <f>J36</f>
        <v>2021</v>
      </c>
      <c r="K44" s="867">
        <f>K36</f>
        <v>2019</v>
      </c>
      <c r="L44" s="867" t="str">
        <f>L36</f>
        <v>-</v>
      </c>
      <c r="M44" s="866"/>
      <c r="N44" s="866"/>
      <c r="O44" s="864"/>
      <c r="P44" s="867" t="s">
        <v>181</v>
      </c>
      <c r="Q44" s="867">
        <f>Q36</f>
        <v>2019</v>
      </c>
      <c r="R44" s="867">
        <f>R36</f>
        <v>2018</v>
      </c>
      <c r="S44" s="867" t="str">
        <f>S36</f>
        <v>-</v>
      </c>
      <c r="T44" s="866"/>
      <c r="U44" s="866"/>
      <c r="V44" s="871"/>
      <c r="W44" s="871"/>
      <c r="X44" s="871"/>
    </row>
    <row r="45" spans="1:24" ht="12.95" customHeight="1" x14ac:dyDescent="0.2">
      <c r="A45" s="862"/>
      <c r="B45" s="872">
        <v>0</v>
      </c>
      <c r="C45" s="874">
        <v>9.9999999999999995E-7</v>
      </c>
      <c r="D45" s="873">
        <v>1.9999999999999999E-6</v>
      </c>
      <c r="E45" s="874" t="s">
        <v>81</v>
      </c>
      <c r="F45" s="875">
        <f t="shared" ref="F45:F50" si="20">0.5*(MAX(C45:E45)-MIN(C45:E45))</f>
        <v>4.9999999999999998E-7</v>
      </c>
      <c r="G45" s="875">
        <v>9.9999999999999995E-7</v>
      </c>
      <c r="H45" s="888"/>
      <c r="I45" s="876">
        <v>0</v>
      </c>
      <c r="J45" s="877">
        <v>9.9999999999999995E-7</v>
      </c>
      <c r="K45" s="877">
        <v>9.9999999999999995E-7</v>
      </c>
      <c r="L45" s="877" t="s">
        <v>81</v>
      </c>
      <c r="M45" s="878">
        <f>0.5*(MAX(J45:L45)-MIN(J45:L45))</f>
        <v>0</v>
      </c>
      <c r="N45" s="878">
        <f>(0.58/100)*I45</f>
        <v>0</v>
      </c>
      <c r="O45" s="864"/>
      <c r="P45" s="876">
        <v>0</v>
      </c>
      <c r="Q45" s="877">
        <v>9.9999999999999995E-7</v>
      </c>
      <c r="R45" s="876">
        <v>9.9999999999999995E-7</v>
      </c>
      <c r="S45" s="877" t="s">
        <v>81</v>
      </c>
      <c r="T45" s="878">
        <f>0.5*(MAX(Q45:S45)-MIN(Q45:S45))</f>
        <v>0</v>
      </c>
      <c r="U45" s="878">
        <v>0.28999999999999998</v>
      </c>
    </row>
    <row r="46" spans="1:24" ht="12.95" customHeight="1" x14ac:dyDescent="0.2">
      <c r="A46" s="862"/>
      <c r="B46" s="872">
        <v>50</v>
      </c>
      <c r="C46" s="874">
        <v>-0.3</v>
      </c>
      <c r="D46" s="874">
        <v>-0.28999999999999998</v>
      </c>
      <c r="E46" s="874" t="s">
        <v>81</v>
      </c>
      <c r="F46" s="875">
        <f t="shared" si="20"/>
        <v>5.0000000000000044E-3</v>
      </c>
      <c r="G46" s="875">
        <f>(0.59/100)*B46</f>
        <v>0.29499999999999998</v>
      </c>
      <c r="H46" s="888"/>
      <c r="I46" s="876">
        <v>50</v>
      </c>
      <c r="J46" s="877">
        <v>0.3</v>
      </c>
      <c r="K46" s="877">
        <v>-0.33</v>
      </c>
      <c r="L46" s="877" t="s">
        <v>81</v>
      </c>
      <c r="M46" s="878">
        <f t="shared" ref="M46:M50" si="21">0.5*(MAX(J46:L46)-MIN(J46:L46))</f>
        <v>0.315</v>
      </c>
      <c r="N46" s="878">
        <f>(0.58/100)*I46</f>
        <v>0.28999999999999998</v>
      </c>
      <c r="O46" s="864"/>
      <c r="P46" s="876">
        <v>50</v>
      </c>
      <c r="Q46" s="877">
        <v>0.02</v>
      </c>
      <c r="R46" s="877">
        <v>-0.1</v>
      </c>
      <c r="S46" s="877" t="s">
        <v>81</v>
      </c>
      <c r="T46" s="878">
        <f t="shared" ref="T46:T50" si="22">0.5*(MAX(Q46:S46)-MIN(Q46:S46))</f>
        <v>6.0000000000000005E-2</v>
      </c>
      <c r="U46" s="878">
        <f>(0.58/100)*P46</f>
        <v>0.28999999999999998</v>
      </c>
    </row>
    <row r="47" spans="1:24" ht="12.95" customHeight="1" x14ac:dyDescent="0.2">
      <c r="A47" s="862"/>
      <c r="B47" s="872">
        <v>100</v>
      </c>
      <c r="C47" s="874">
        <v>-0.4</v>
      </c>
      <c r="D47" s="874">
        <v>-0.35</v>
      </c>
      <c r="E47" s="874" t="s">
        <v>81</v>
      </c>
      <c r="F47" s="875">
        <f t="shared" si="20"/>
        <v>2.5000000000000022E-2</v>
      </c>
      <c r="G47" s="875">
        <f>(0.59/100)*B47</f>
        <v>0.59</v>
      </c>
      <c r="H47" s="888"/>
      <c r="I47" s="876">
        <v>100</v>
      </c>
      <c r="J47" s="877">
        <v>-0.1</v>
      </c>
      <c r="K47" s="877">
        <v>-0.42</v>
      </c>
      <c r="L47" s="877" t="s">
        <v>81</v>
      </c>
      <c r="M47" s="878">
        <f t="shared" si="21"/>
        <v>0.15999999999999998</v>
      </c>
      <c r="N47" s="878">
        <f>(0.58/100)*I47</f>
        <v>0.57999999999999996</v>
      </c>
      <c r="O47" s="864"/>
      <c r="P47" s="876">
        <v>100</v>
      </c>
      <c r="Q47" s="877">
        <v>0.22</v>
      </c>
      <c r="R47" s="876">
        <v>-0.2</v>
      </c>
      <c r="S47" s="877" t="s">
        <v>81</v>
      </c>
      <c r="T47" s="878">
        <f t="shared" si="22"/>
        <v>0.21000000000000002</v>
      </c>
      <c r="U47" s="878">
        <f>(0.58/100)*P47</f>
        <v>0.57999999999999996</v>
      </c>
    </row>
    <row r="48" spans="1:24" ht="12.95" customHeight="1" x14ac:dyDescent="0.2">
      <c r="A48" s="862"/>
      <c r="B48" s="872">
        <v>200</v>
      </c>
      <c r="C48" s="874">
        <v>0.3</v>
      </c>
      <c r="D48" s="874">
        <v>0.8</v>
      </c>
      <c r="E48" s="874" t="s">
        <v>81</v>
      </c>
      <c r="F48" s="875">
        <f t="shared" si="20"/>
        <v>0.25</v>
      </c>
      <c r="G48" s="875">
        <f>(0.59/100)*B48</f>
        <v>1.18</v>
      </c>
      <c r="H48" s="888"/>
      <c r="I48" s="876">
        <v>200</v>
      </c>
      <c r="J48" s="877">
        <v>1.3</v>
      </c>
      <c r="K48" s="877">
        <v>1.3</v>
      </c>
      <c r="L48" s="877" t="s">
        <v>81</v>
      </c>
      <c r="M48" s="878">
        <f t="shared" si="21"/>
        <v>0</v>
      </c>
      <c r="N48" s="878">
        <f>(0.58/100)*I48</f>
        <v>1.1599999999999999</v>
      </c>
      <c r="O48" s="864"/>
      <c r="P48" s="876">
        <v>200</v>
      </c>
      <c r="Q48" s="877">
        <v>0.8</v>
      </c>
      <c r="R48" s="877">
        <v>0.8</v>
      </c>
      <c r="S48" s="877" t="s">
        <v>81</v>
      </c>
      <c r="T48" s="878">
        <f t="shared" si="22"/>
        <v>0</v>
      </c>
      <c r="U48" s="878">
        <f>(0.58/100)*P48</f>
        <v>1.1599999999999999</v>
      </c>
    </row>
    <row r="49" spans="1:21" ht="12.95" customHeight="1" x14ac:dyDescent="0.2">
      <c r="A49" s="862"/>
      <c r="B49" s="872">
        <v>500</v>
      </c>
      <c r="C49" s="874">
        <v>0.2</v>
      </c>
      <c r="D49" s="874">
        <v>1.2</v>
      </c>
      <c r="E49" s="874" t="s">
        <v>81</v>
      </c>
      <c r="F49" s="875">
        <f t="shared" si="20"/>
        <v>0.5</v>
      </c>
      <c r="G49" s="875">
        <f>(0.59/100)*B49</f>
        <v>2.9499999999999997</v>
      </c>
      <c r="H49" s="888"/>
      <c r="I49" s="876">
        <v>500</v>
      </c>
      <c r="J49" s="877">
        <v>0.7</v>
      </c>
      <c r="K49" s="877">
        <v>0.7</v>
      </c>
      <c r="L49" s="877" t="s">
        <v>81</v>
      </c>
      <c r="M49" s="878">
        <f t="shared" si="21"/>
        <v>0</v>
      </c>
      <c r="N49" s="878">
        <f>(0.58/100)*I49</f>
        <v>2.9</v>
      </c>
      <c r="O49" s="864"/>
      <c r="P49" s="876">
        <v>500</v>
      </c>
      <c r="Q49" s="877">
        <v>1.1000000000000001</v>
      </c>
      <c r="R49" s="877">
        <v>0.6</v>
      </c>
      <c r="S49" s="877" t="s">
        <v>81</v>
      </c>
      <c r="T49" s="878">
        <f t="shared" si="22"/>
        <v>0.25000000000000006</v>
      </c>
      <c r="U49" s="878">
        <f>(0.58/100)*P49</f>
        <v>2.9</v>
      </c>
    </row>
    <row r="50" spans="1:21" ht="12.95" customHeight="1" x14ac:dyDescent="0.2">
      <c r="A50" s="862"/>
      <c r="B50" s="872">
        <v>1000</v>
      </c>
      <c r="C50" s="874">
        <v>2</v>
      </c>
      <c r="D50" s="874">
        <v>1.99</v>
      </c>
      <c r="E50" s="874" t="s">
        <v>81</v>
      </c>
      <c r="F50" s="875">
        <f t="shared" si="20"/>
        <v>5.0000000000000044E-3</v>
      </c>
      <c r="G50" s="875">
        <f>(0.59/100)*B50</f>
        <v>5.8999999999999995</v>
      </c>
      <c r="H50" s="888"/>
      <c r="I50" s="876">
        <v>850</v>
      </c>
      <c r="J50" s="877">
        <v>9.9999999999999995E-7</v>
      </c>
      <c r="K50" s="877">
        <v>9.9999999999999995E-7</v>
      </c>
      <c r="L50" s="877" t="s">
        <v>81</v>
      </c>
      <c r="M50" s="878">
        <f t="shared" si="21"/>
        <v>0</v>
      </c>
      <c r="N50" s="878">
        <v>2.9</v>
      </c>
      <c r="O50" s="864"/>
      <c r="P50" s="876">
        <v>1000</v>
      </c>
      <c r="Q50" s="877">
        <v>9.9999999999999995E-7</v>
      </c>
      <c r="R50" s="876">
        <v>9.9999999999999995E-7</v>
      </c>
      <c r="S50" s="877" t="s">
        <v>81</v>
      </c>
      <c r="T50" s="878">
        <f t="shared" si="22"/>
        <v>0</v>
      </c>
      <c r="U50" s="878">
        <v>2.9</v>
      </c>
    </row>
    <row r="51" spans="1:21" ht="12.95" customHeight="1" x14ac:dyDescent="0.2">
      <c r="A51" s="862"/>
      <c r="B51" s="881" t="str">
        <f>B20</f>
        <v>Main-PE</v>
      </c>
      <c r="C51" s="881"/>
      <c r="D51" s="881"/>
      <c r="E51" s="881"/>
      <c r="F51" s="866" t="s">
        <v>162</v>
      </c>
      <c r="G51" s="866" t="s">
        <v>158</v>
      </c>
      <c r="H51" s="888"/>
      <c r="I51" s="881" t="str">
        <f>B51</f>
        <v>Main-PE</v>
      </c>
      <c r="J51" s="881"/>
      <c r="K51" s="881"/>
      <c r="L51" s="881"/>
      <c r="M51" s="866" t="s">
        <v>162</v>
      </c>
      <c r="N51" s="866" t="s">
        <v>158</v>
      </c>
      <c r="O51" s="864"/>
      <c r="P51" s="881" t="str">
        <f>I51</f>
        <v>Main-PE</v>
      </c>
      <c r="Q51" s="881"/>
      <c r="R51" s="881"/>
      <c r="S51" s="881"/>
      <c r="T51" s="866" t="s">
        <v>162</v>
      </c>
      <c r="U51" s="866" t="s">
        <v>158</v>
      </c>
    </row>
    <row r="52" spans="1:21" ht="14.45" customHeight="1" x14ac:dyDescent="0.2">
      <c r="A52" s="862"/>
      <c r="B52" s="867" t="s">
        <v>633</v>
      </c>
      <c r="C52" s="868">
        <f>C36</f>
        <v>2021</v>
      </c>
      <c r="D52" s="868">
        <f>D36</f>
        <v>2019</v>
      </c>
      <c r="E52" s="867" t="str">
        <f>E36</f>
        <v>-</v>
      </c>
      <c r="F52" s="866"/>
      <c r="G52" s="866"/>
      <c r="H52" s="888"/>
      <c r="I52" s="867" t="s">
        <v>633</v>
      </c>
      <c r="J52" s="867">
        <f>J36</f>
        <v>2021</v>
      </c>
      <c r="K52" s="867">
        <f>K36</f>
        <v>2019</v>
      </c>
      <c r="L52" s="867" t="str">
        <f>L36</f>
        <v>-</v>
      </c>
      <c r="M52" s="866"/>
      <c r="N52" s="866"/>
      <c r="O52" s="864"/>
      <c r="P52" s="867" t="s">
        <v>633</v>
      </c>
      <c r="Q52" s="867">
        <f>Q36</f>
        <v>2019</v>
      </c>
      <c r="R52" s="867">
        <f>R36</f>
        <v>2018</v>
      </c>
      <c r="S52" s="867" t="str">
        <f>S36</f>
        <v>-</v>
      </c>
      <c r="T52" s="866"/>
      <c r="U52" s="866"/>
    </row>
    <row r="53" spans="1:21" ht="12.95" customHeight="1" x14ac:dyDescent="0.2">
      <c r="A53" s="862"/>
      <c r="B53" s="872">
        <v>10</v>
      </c>
      <c r="C53" s="874">
        <v>9.9999999999999995E-7</v>
      </c>
      <c r="D53" s="874">
        <v>0.1</v>
      </c>
      <c r="E53" s="874" t="s">
        <v>81</v>
      </c>
      <c r="F53" s="875">
        <f>0.5*(MAX(C53:E53)-MIN(C53:E53))</f>
        <v>4.9999500000000002E-2</v>
      </c>
      <c r="G53" s="875">
        <f>(1.7/100)*B53</f>
        <v>0.17</v>
      </c>
      <c r="H53" s="888"/>
      <c r="I53" s="876">
        <v>10</v>
      </c>
      <c r="J53" s="877">
        <v>9.9999999999999995E-7</v>
      </c>
      <c r="K53" s="877">
        <v>0.1</v>
      </c>
      <c r="L53" s="877" t="s">
        <v>81</v>
      </c>
      <c r="M53" s="878">
        <f>0.5*(MAX(J53:L53)-MIN(J53:L53))</f>
        <v>4.9999500000000002E-2</v>
      </c>
      <c r="N53" s="878">
        <f>(1.7/100)*I53</f>
        <v>0.17</v>
      </c>
      <c r="O53" s="864"/>
      <c r="P53" s="876">
        <v>10</v>
      </c>
      <c r="Q53" s="877">
        <v>0.1</v>
      </c>
      <c r="R53" s="876">
        <v>9.9999999999999995E-7</v>
      </c>
      <c r="S53" s="877" t="s">
        <v>81</v>
      </c>
      <c r="T53" s="878">
        <f>0.5*(MAX(Q53:S53)-MIN(Q53:S53))</f>
        <v>4.9999500000000002E-2</v>
      </c>
      <c r="U53" s="878">
        <f>(1.7/100)*P53</f>
        <v>0.17</v>
      </c>
    </row>
    <row r="54" spans="1:21" ht="12.95" customHeight="1" x14ac:dyDescent="0.2">
      <c r="A54" s="862"/>
      <c r="B54" s="872">
        <v>20</v>
      </c>
      <c r="C54" s="874">
        <v>0.1</v>
      </c>
      <c r="D54" s="874">
        <v>0.2</v>
      </c>
      <c r="E54" s="874" t="s">
        <v>81</v>
      </c>
      <c r="F54" s="875">
        <f t="shared" ref="F54:F56" si="23">0.5*(MAX(C54:E54)-MIN(C54:E54))</f>
        <v>0.05</v>
      </c>
      <c r="G54" s="875">
        <f>(1.7/100)*B54</f>
        <v>0.34</v>
      </c>
      <c r="H54" s="888"/>
      <c r="I54" s="876">
        <v>20</v>
      </c>
      <c r="J54" s="877">
        <v>0.1</v>
      </c>
      <c r="K54" s="877">
        <v>0.1</v>
      </c>
      <c r="L54" s="877" t="s">
        <v>81</v>
      </c>
      <c r="M54" s="878">
        <f t="shared" ref="M54:M56" si="24">0.5*(MAX(J54:L54)-MIN(J54:L54))</f>
        <v>0</v>
      </c>
      <c r="N54" s="878">
        <f>(1.7/100)*I54</f>
        <v>0.34</v>
      </c>
      <c r="O54" s="864"/>
      <c r="P54" s="876">
        <v>20</v>
      </c>
      <c r="Q54" s="877">
        <v>0.1</v>
      </c>
      <c r="R54" s="876">
        <v>9.9999999999999995E-7</v>
      </c>
      <c r="S54" s="877" t="s">
        <v>81</v>
      </c>
      <c r="T54" s="878">
        <f t="shared" ref="T54:T56" si="25">0.5*(MAX(Q54:S54)-MIN(Q54:S54))</f>
        <v>4.9999500000000002E-2</v>
      </c>
      <c r="U54" s="878">
        <f>(1.7/100)*P54</f>
        <v>0.34</v>
      </c>
    </row>
    <row r="55" spans="1:21" ht="12.95" customHeight="1" x14ac:dyDescent="0.2">
      <c r="A55" s="862"/>
      <c r="B55" s="872">
        <v>50</v>
      </c>
      <c r="C55" s="874">
        <v>0.4</v>
      </c>
      <c r="D55" s="874">
        <v>0.5</v>
      </c>
      <c r="E55" s="874" t="s">
        <v>81</v>
      </c>
      <c r="F55" s="875">
        <f t="shared" si="23"/>
        <v>4.9999999999999989E-2</v>
      </c>
      <c r="G55" s="875">
        <f>(1.7/100)*B55</f>
        <v>0.85000000000000009</v>
      </c>
      <c r="H55" s="888"/>
      <c r="I55" s="876">
        <v>50</v>
      </c>
      <c r="J55" s="877">
        <v>0.6</v>
      </c>
      <c r="K55" s="877">
        <v>0.4</v>
      </c>
      <c r="L55" s="877" t="s">
        <v>81</v>
      </c>
      <c r="M55" s="878">
        <f t="shared" si="24"/>
        <v>9.9999999999999978E-2</v>
      </c>
      <c r="N55" s="878">
        <f>(1.7/100)*I55</f>
        <v>0.85000000000000009</v>
      </c>
      <c r="O55" s="864"/>
      <c r="P55" s="876">
        <v>50</v>
      </c>
      <c r="Q55" s="877">
        <v>0.3</v>
      </c>
      <c r="R55" s="876">
        <v>0.2</v>
      </c>
      <c r="S55" s="877" t="s">
        <v>81</v>
      </c>
      <c r="T55" s="878">
        <f t="shared" si="25"/>
        <v>4.9999999999999989E-2</v>
      </c>
      <c r="U55" s="878">
        <f>(1.7/100)*P55</f>
        <v>0.85000000000000009</v>
      </c>
    </row>
    <row r="56" spans="1:21" ht="12.95" customHeight="1" x14ac:dyDescent="0.2">
      <c r="A56" s="862"/>
      <c r="B56" s="872">
        <v>100</v>
      </c>
      <c r="C56" s="874">
        <v>1.4</v>
      </c>
      <c r="D56" s="874">
        <v>1</v>
      </c>
      <c r="E56" s="874" t="s">
        <v>81</v>
      </c>
      <c r="F56" s="875">
        <f t="shared" si="23"/>
        <v>0.19999999999999996</v>
      </c>
      <c r="G56" s="875">
        <f>(1.7/100)*B56</f>
        <v>1.7000000000000002</v>
      </c>
      <c r="H56" s="888"/>
      <c r="I56" s="876">
        <v>100</v>
      </c>
      <c r="J56" s="877">
        <v>1.5</v>
      </c>
      <c r="K56" s="877">
        <v>0.8</v>
      </c>
      <c r="L56" s="877" t="s">
        <v>81</v>
      </c>
      <c r="M56" s="878">
        <f t="shared" si="24"/>
        <v>0.35</v>
      </c>
      <c r="N56" s="878">
        <f>(1.7/100)*I56</f>
        <v>1.7000000000000002</v>
      </c>
      <c r="O56" s="864"/>
      <c r="P56" s="876">
        <v>100</v>
      </c>
      <c r="Q56" s="877">
        <v>0.6</v>
      </c>
      <c r="R56" s="876">
        <v>0.7</v>
      </c>
      <c r="S56" s="877" t="s">
        <v>81</v>
      </c>
      <c r="T56" s="878">
        <f t="shared" si="25"/>
        <v>4.9999999999999989E-2</v>
      </c>
      <c r="U56" s="878">
        <f>(1.7/100)*P56</f>
        <v>1.7000000000000002</v>
      </c>
    </row>
    <row r="57" spans="1:21" ht="12.75" customHeight="1" x14ac:dyDescent="0.2">
      <c r="A57" s="862"/>
      <c r="B57" s="881" t="str">
        <f>B26</f>
        <v>Resistance</v>
      </c>
      <c r="C57" s="881"/>
      <c r="D57" s="881"/>
      <c r="E57" s="881"/>
      <c r="F57" s="866" t="s">
        <v>162</v>
      </c>
      <c r="G57" s="866" t="s">
        <v>158</v>
      </c>
      <c r="H57" s="888"/>
      <c r="I57" s="881" t="str">
        <f>B57</f>
        <v>Resistance</v>
      </c>
      <c r="J57" s="881"/>
      <c r="K57" s="881"/>
      <c r="L57" s="881"/>
      <c r="M57" s="866" t="s">
        <v>162</v>
      </c>
      <c r="N57" s="866" t="s">
        <v>158</v>
      </c>
      <c r="O57" s="864"/>
      <c r="P57" s="881" t="str">
        <f>I57</f>
        <v>Resistance</v>
      </c>
      <c r="Q57" s="881"/>
      <c r="R57" s="881"/>
      <c r="S57" s="881"/>
      <c r="T57" s="866" t="s">
        <v>162</v>
      </c>
      <c r="U57" s="866" t="s">
        <v>158</v>
      </c>
    </row>
    <row r="58" spans="1:21" ht="14.45" customHeight="1" x14ac:dyDescent="0.2">
      <c r="A58" s="862"/>
      <c r="B58" s="867" t="s">
        <v>634</v>
      </c>
      <c r="C58" s="868">
        <f>C36</f>
        <v>2021</v>
      </c>
      <c r="D58" s="868">
        <f>D36</f>
        <v>2019</v>
      </c>
      <c r="E58" s="867" t="str">
        <f>E36</f>
        <v>-</v>
      </c>
      <c r="F58" s="866"/>
      <c r="G58" s="866"/>
      <c r="H58" s="888"/>
      <c r="I58" s="867" t="s">
        <v>634</v>
      </c>
      <c r="J58" s="867">
        <f>J36</f>
        <v>2021</v>
      </c>
      <c r="K58" s="867">
        <f>K36</f>
        <v>2019</v>
      </c>
      <c r="L58" s="867" t="str">
        <f>L36</f>
        <v>-</v>
      </c>
      <c r="M58" s="866"/>
      <c r="N58" s="866"/>
      <c r="O58" s="864"/>
      <c r="P58" s="867" t="s">
        <v>634</v>
      </c>
      <c r="Q58" s="867">
        <f>Q36</f>
        <v>2019</v>
      </c>
      <c r="R58" s="867">
        <f>R36</f>
        <v>2018</v>
      </c>
      <c r="S58" s="867" t="str">
        <f>S36</f>
        <v>-</v>
      </c>
      <c r="T58" s="866"/>
      <c r="U58" s="866"/>
    </row>
    <row r="59" spans="1:21" ht="12.95" customHeight="1" x14ac:dyDescent="0.2">
      <c r="A59" s="862"/>
      <c r="B59" s="876">
        <v>0.01</v>
      </c>
      <c r="C59" s="874">
        <v>9.9999999999999995E-7</v>
      </c>
      <c r="D59" s="874">
        <v>9.9999999999999995E-7</v>
      </c>
      <c r="E59" s="874" t="s">
        <v>81</v>
      </c>
      <c r="F59" s="874">
        <v>9.9999999999999995E-7</v>
      </c>
      <c r="G59" s="875">
        <f>(1.2/100)*B59</f>
        <v>1.2E-4</v>
      </c>
      <c r="H59" s="888"/>
      <c r="I59" s="876">
        <v>0.01</v>
      </c>
      <c r="J59" s="877">
        <v>9.9999999999999995E-7</v>
      </c>
      <c r="K59" s="877">
        <v>9.9999999999999995E-7</v>
      </c>
      <c r="L59" s="877" t="s">
        <v>81</v>
      </c>
      <c r="M59" s="878">
        <f>0.5*(MAX(J59:L59)-MIN(J59:L59))</f>
        <v>0</v>
      </c>
      <c r="N59" s="878">
        <f>(1.2/100)*I59</f>
        <v>1.2E-4</v>
      </c>
      <c r="O59" s="864"/>
      <c r="P59" s="876">
        <v>0.01</v>
      </c>
      <c r="Q59" s="877">
        <v>9.9999999999999995E-7</v>
      </c>
      <c r="R59" s="876">
        <v>9.9999999999999995E-7</v>
      </c>
      <c r="S59" s="877" t="s">
        <v>81</v>
      </c>
      <c r="T59" s="878">
        <f>0.5*(MAX(Q59:S59)-MIN(Q59:S59))</f>
        <v>0</v>
      </c>
      <c r="U59" s="878">
        <f>(1.2/100)*P59</f>
        <v>1.2E-4</v>
      </c>
    </row>
    <row r="60" spans="1:21" ht="12.95" customHeight="1" x14ac:dyDescent="0.2">
      <c r="A60" s="862"/>
      <c r="B60" s="876">
        <v>0.1</v>
      </c>
      <c r="C60" s="874">
        <v>-2E-3</v>
      </c>
      <c r="D60" s="874">
        <v>9.9999999999999995E-7</v>
      </c>
      <c r="E60" s="874" t="s">
        <v>81</v>
      </c>
      <c r="F60" s="875">
        <f t="shared" ref="F60:F62" si="26">0.5*(MAX(C60:E60)-MIN(C60:E60))</f>
        <v>1.0005000000000001E-3</v>
      </c>
      <c r="G60" s="875">
        <f>(1.2/100)*B60</f>
        <v>1.2000000000000001E-3</v>
      </c>
      <c r="H60" s="888"/>
      <c r="I60" s="876">
        <v>0.1</v>
      </c>
      <c r="J60" s="877">
        <v>5.0000000000000001E-3</v>
      </c>
      <c r="K60" s="877">
        <v>2E-3</v>
      </c>
      <c r="L60" s="877" t="s">
        <v>81</v>
      </c>
      <c r="M60" s="878">
        <f t="shared" ref="M60:M62" si="27">0.5*(MAX(J60:L60)-MIN(J60:L60))</f>
        <v>1.5E-3</v>
      </c>
      <c r="N60" s="878">
        <f>(1.2/100)*I60</f>
        <v>1.2000000000000001E-3</v>
      </c>
      <c r="O60" s="864"/>
      <c r="P60" s="876">
        <v>0.1</v>
      </c>
      <c r="Q60" s="877">
        <v>-2E-3</v>
      </c>
      <c r="R60" s="876">
        <v>6.0000000000000001E-3</v>
      </c>
      <c r="S60" s="877" t="s">
        <v>81</v>
      </c>
      <c r="T60" s="878">
        <f t="shared" ref="T60:T62" si="28">0.5*(MAX(Q60:S60)-MIN(Q60:S60))</f>
        <v>4.0000000000000001E-3</v>
      </c>
      <c r="U60" s="878">
        <f>(1.2/100)*P60</f>
        <v>1.2000000000000001E-3</v>
      </c>
    </row>
    <row r="61" spans="1:21" ht="12.95" customHeight="1" x14ac:dyDescent="0.2">
      <c r="A61" s="862"/>
      <c r="B61" s="876">
        <v>1</v>
      </c>
      <c r="C61" s="874">
        <v>-8.0000000000000002E-3</v>
      </c>
      <c r="D61" s="874">
        <v>-1E-3</v>
      </c>
      <c r="E61" s="874" t="s">
        <v>81</v>
      </c>
      <c r="F61" s="875">
        <f t="shared" si="26"/>
        <v>3.5000000000000001E-3</v>
      </c>
      <c r="G61" s="875">
        <f>(1.2/100)*B61</f>
        <v>1.2E-2</v>
      </c>
      <c r="H61" s="888"/>
      <c r="I61" s="876">
        <v>1</v>
      </c>
      <c r="J61" s="877">
        <v>1.7999999999999999E-2</v>
      </c>
      <c r="K61" s="877">
        <v>1.2E-2</v>
      </c>
      <c r="L61" s="877" t="s">
        <v>81</v>
      </c>
      <c r="M61" s="878">
        <f t="shared" si="27"/>
        <v>2.9999999999999992E-3</v>
      </c>
      <c r="N61" s="878">
        <f>(1.2/100)*I61</f>
        <v>1.2E-2</v>
      </c>
      <c r="O61" s="864"/>
      <c r="P61" s="876">
        <v>1</v>
      </c>
      <c r="Q61" s="877">
        <v>-1E-3</v>
      </c>
      <c r="R61" s="876">
        <v>8.0000000000000002E-3</v>
      </c>
      <c r="S61" s="877" t="s">
        <v>81</v>
      </c>
      <c r="T61" s="878">
        <f t="shared" si="28"/>
        <v>4.5000000000000005E-3</v>
      </c>
      <c r="U61" s="878">
        <f>(1.2/100)*P61</f>
        <v>1.2E-2</v>
      </c>
    </row>
    <row r="62" spans="1:21" ht="12.95" customHeight="1" x14ac:dyDescent="0.2">
      <c r="A62" s="862"/>
      <c r="B62" s="876">
        <v>2</v>
      </c>
      <c r="C62" s="874">
        <v>-7.0000000000000001E-3</v>
      </c>
      <c r="D62" s="874">
        <v>9.9999999999999995E-7</v>
      </c>
      <c r="E62" s="874" t="s">
        <v>81</v>
      </c>
      <c r="F62" s="875">
        <f t="shared" si="26"/>
        <v>3.5005000000000001E-3</v>
      </c>
      <c r="G62" s="875">
        <f>(1.2/100)*B62</f>
        <v>2.4E-2</v>
      </c>
      <c r="H62" s="889"/>
      <c r="I62" s="890">
        <v>2</v>
      </c>
      <c r="J62" s="891">
        <v>0.113</v>
      </c>
      <c r="K62" s="891">
        <v>9.9999999999999995E-7</v>
      </c>
      <c r="L62" s="877" t="s">
        <v>81</v>
      </c>
      <c r="M62" s="892">
        <f t="shared" si="27"/>
        <v>5.6499500000000001E-2</v>
      </c>
      <c r="N62" s="878">
        <f>(1.2/100)*I62</f>
        <v>2.4E-2</v>
      </c>
      <c r="O62" s="864"/>
      <c r="P62" s="876">
        <v>2</v>
      </c>
      <c r="Q62" s="877">
        <v>9.9999999999999995E-7</v>
      </c>
      <c r="R62" s="876">
        <v>9.9999999999999995E-7</v>
      </c>
      <c r="S62" s="877" t="s">
        <v>81</v>
      </c>
      <c r="T62" s="878">
        <f t="shared" si="28"/>
        <v>0</v>
      </c>
      <c r="U62" s="878">
        <f>(0/100)*P62</f>
        <v>0</v>
      </c>
    </row>
    <row r="63" spans="1:21" x14ac:dyDescent="0.2">
      <c r="A63" s="893"/>
      <c r="B63" s="894"/>
      <c r="C63" s="894"/>
      <c r="D63" s="895"/>
      <c r="E63" s="895"/>
      <c r="F63" s="895"/>
      <c r="H63" s="896"/>
      <c r="I63" s="897"/>
      <c r="J63" s="894"/>
      <c r="K63" s="895"/>
      <c r="L63" s="895"/>
      <c r="M63" s="895"/>
      <c r="O63" s="896"/>
      <c r="P63" s="894"/>
      <c r="Q63" s="894"/>
      <c r="T63" s="885"/>
    </row>
    <row r="64" spans="1:21" ht="14.45" customHeight="1" x14ac:dyDescent="0.2">
      <c r="A64" s="862" t="s">
        <v>129</v>
      </c>
      <c r="B64" s="886" t="s">
        <v>190</v>
      </c>
      <c r="C64" s="886"/>
      <c r="D64" s="886"/>
      <c r="E64" s="886"/>
      <c r="F64" s="886"/>
      <c r="G64" s="886"/>
      <c r="H64" s="864" t="s">
        <v>191</v>
      </c>
      <c r="I64" s="886" t="s">
        <v>635</v>
      </c>
      <c r="J64" s="886"/>
      <c r="K64" s="886"/>
      <c r="L64" s="886"/>
      <c r="M64" s="886"/>
      <c r="N64" s="886"/>
      <c r="O64" s="864" t="s">
        <v>48</v>
      </c>
      <c r="P64" s="886" t="s">
        <v>192</v>
      </c>
      <c r="Q64" s="886"/>
      <c r="R64" s="886"/>
      <c r="S64" s="886"/>
      <c r="T64" s="886"/>
      <c r="U64" s="886"/>
    </row>
    <row r="65" spans="1:21" x14ac:dyDescent="0.2">
      <c r="A65" s="862"/>
      <c r="B65" s="865" t="s">
        <v>177</v>
      </c>
      <c r="C65" s="865"/>
      <c r="D65" s="865"/>
      <c r="E65" s="865"/>
      <c r="F65" s="865"/>
      <c r="G65" s="865"/>
      <c r="H65" s="864"/>
      <c r="I65" s="866" t="s">
        <v>177</v>
      </c>
      <c r="J65" s="866"/>
      <c r="K65" s="866"/>
      <c r="L65" s="866"/>
      <c r="M65" s="866"/>
      <c r="N65" s="866"/>
      <c r="O65" s="864"/>
      <c r="P65" s="866" t="s">
        <v>177</v>
      </c>
      <c r="Q65" s="866"/>
      <c r="R65" s="866"/>
      <c r="S65" s="866"/>
      <c r="T65" s="866"/>
      <c r="U65" s="866"/>
    </row>
    <row r="66" spans="1:21" x14ac:dyDescent="0.2">
      <c r="A66" s="862"/>
      <c r="B66" s="866" t="s">
        <v>178</v>
      </c>
      <c r="C66" s="866"/>
      <c r="D66" s="866"/>
      <c r="E66" s="866"/>
      <c r="F66" s="866" t="s">
        <v>162</v>
      </c>
      <c r="G66" s="866" t="s">
        <v>158</v>
      </c>
      <c r="H66" s="864"/>
      <c r="I66" s="866" t="str">
        <f>B66</f>
        <v>Setting VAC</v>
      </c>
      <c r="J66" s="866"/>
      <c r="K66" s="866"/>
      <c r="L66" s="866"/>
      <c r="M66" s="866" t="s">
        <v>162</v>
      </c>
      <c r="N66" s="866" t="s">
        <v>158</v>
      </c>
      <c r="O66" s="864"/>
      <c r="P66" s="866" t="str">
        <f>B66</f>
        <v>Setting VAC</v>
      </c>
      <c r="Q66" s="866"/>
      <c r="R66" s="866"/>
      <c r="S66" s="866"/>
      <c r="T66" s="866" t="s">
        <v>162</v>
      </c>
      <c r="U66" s="866" t="s">
        <v>158</v>
      </c>
    </row>
    <row r="67" spans="1:21" x14ac:dyDescent="0.2">
      <c r="A67" s="862"/>
      <c r="B67" s="867" t="s">
        <v>179</v>
      </c>
      <c r="C67" s="868">
        <v>2020</v>
      </c>
      <c r="D67" s="868">
        <v>2018</v>
      </c>
      <c r="E67" s="869" t="s">
        <v>81</v>
      </c>
      <c r="F67" s="866"/>
      <c r="G67" s="866"/>
      <c r="H67" s="864"/>
      <c r="I67" s="867" t="s">
        <v>179</v>
      </c>
      <c r="J67" s="867">
        <v>2022</v>
      </c>
      <c r="K67" s="867">
        <v>2020</v>
      </c>
      <c r="L67" s="869" t="s">
        <v>81</v>
      </c>
      <c r="M67" s="866"/>
      <c r="N67" s="866"/>
      <c r="O67" s="864"/>
      <c r="P67" s="867" t="s">
        <v>179</v>
      </c>
      <c r="Q67" s="867">
        <v>2020</v>
      </c>
      <c r="R67" s="869" t="s">
        <v>81</v>
      </c>
      <c r="S67" s="869" t="s">
        <v>81</v>
      </c>
      <c r="T67" s="866"/>
      <c r="U67" s="866"/>
    </row>
    <row r="68" spans="1:21" x14ac:dyDescent="0.2">
      <c r="A68" s="862"/>
      <c r="B68" s="872">
        <v>150.21</v>
      </c>
      <c r="C68" s="873">
        <v>0.21</v>
      </c>
      <c r="D68" s="873">
        <v>0.27</v>
      </c>
      <c r="E68" s="874" t="s">
        <v>81</v>
      </c>
      <c r="F68" s="875">
        <f>0.5*(MAX(C68:E68)-MIN(C68:E68))</f>
        <v>3.0000000000000013E-2</v>
      </c>
      <c r="G68" s="875">
        <f t="shared" ref="G68:G73" si="29">(1.2/100)*B68</f>
        <v>1.8025200000000001</v>
      </c>
      <c r="H68" s="864"/>
      <c r="I68" s="876">
        <v>150</v>
      </c>
      <c r="J68" s="867">
        <v>-0.17</v>
      </c>
      <c r="K68" s="867">
        <v>-0.24</v>
      </c>
      <c r="L68" s="877" t="s">
        <v>81</v>
      </c>
      <c r="M68" s="878">
        <f>0.5*(MAX(J68:L68)-MIN(J68:L68))</f>
        <v>3.4999999999999989E-2</v>
      </c>
      <c r="N68" s="878">
        <f t="shared" ref="N68:N73" si="30">(1.2/100)*I68</f>
        <v>1.8</v>
      </c>
      <c r="O68" s="864"/>
      <c r="P68" s="876">
        <v>149.83000000000001</v>
      </c>
      <c r="Q68" s="867">
        <v>-0.17</v>
      </c>
      <c r="R68" s="869" t="s">
        <v>81</v>
      </c>
      <c r="S68" s="877" t="s">
        <v>81</v>
      </c>
      <c r="T68" s="878">
        <f>0.5*(MAX(Q68:S68)-MIN(Q68:S68))</f>
        <v>0</v>
      </c>
      <c r="U68" s="878">
        <f t="shared" ref="U68:U73" si="31">(1.2/100)*P68</f>
        <v>1.7979600000000002</v>
      </c>
    </row>
    <row r="69" spans="1:21" x14ac:dyDescent="0.2">
      <c r="A69" s="862"/>
      <c r="B69" s="872">
        <v>180.33</v>
      </c>
      <c r="C69" s="873">
        <v>0.33</v>
      </c>
      <c r="D69" s="873">
        <v>0.37</v>
      </c>
      <c r="E69" s="874" t="s">
        <v>81</v>
      </c>
      <c r="F69" s="875">
        <f t="shared" ref="F69:F73" si="32">0.5*(MAX(C69:E69)-MIN(C69:E69))</f>
        <v>1.999999999999999E-2</v>
      </c>
      <c r="G69" s="875">
        <f t="shared" si="29"/>
        <v>2.1639600000000003</v>
      </c>
      <c r="H69" s="864"/>
      <c r="I69" s="876">
        <v>180</v>
      </c>
      <c r="J69" s="867">
        <v>-0.39</v>
      </c>
      <c r="K69" s="867">
        <v>-0.14000000000000001</v>
      </c>
      <c r="L69" s="877" t="s">
        <v>81</v>
      </c>
      <c r="M69" s="878">
        <f t="shared" ref="M69:M73" si="33">0.5*(MAX(J69:L69)-MIN(J69:L69))</f>
        <v>0.125</v>
      </c>
      <c r="N69" s="878">
        <f t="shared" si="30"/>
        <v>2.16</v>
      </c>
      <c r="O69" s="864"/>
      <c r="P69" s="876">
        <v>179.78</v>
      </c>
      <c r="Q69" s="867">
        <v>-0.22</v>
      </c>
      <c r="R69" s="877" t="s">
        <v>81</v>
      </c>
      <c r="S69" s="877" t="s">
        <v>81</v>
      </c>
      <c r="T69" s="878">
        <f t="shared" ref="T69:T73" si="34">0.5*(MAX(Q69:S69)-MIN(Q69:S69))</f>
        <v>0</v>
      </c>
      <c r="U69" s="878">
        <f t="shared" si="31"/>
        <v>2.1573600000000002</v>
      </c>
    </row>
    <row r="70" spans="1:21" x14ac:dyDescent="0.2">
      <c r="A70" s="862"/>
      <c r="B70" s="872">
        <v>200.35</v>
      </c>
      <c r="C70" s="873">
        <v>0.34</v>
      </c>
      <c r="D70" s="873">
        <v>0.4</v>
      </c>
      <c r="E70" s="874" t="s">
        <v>81</v>
      </c>
      <c r="F70" s="875">
        <f t="shared" si="32"/>
        <v>0.03</v>
      </c>
      <c r="G70" s="875">
        <f t="shared" si="29"/>
        <v>2.4041999999999999</v>
      </c>
      <c r="H70" s="864"/>
      <c r="I70" s="876">
        <v>200</v>
      </c>
      <c r="J70" s="876">
        <v>-0.23</v>
      </c>
      <c r="K70" s="876">
        <v>-0.33</v>
      </c>
      <c r="L70" s="877" t="s">
        <v>81</v>
      </c>
      <c r="M70" s="878">
        <f t="shared" si="33"/>
        <v>0.05</v>
      </c>
      <c r="N70" s="878">
        <f t="shared" si="30"/>
        <v>2.4</v>
      </c>
      <c r="O70" s="864"/>
      <c r="P70" s="876">
        <v>199.67</v>
      </c>
      <c r="Q70" s="876">
        <v>-0.33</v>
      </c>
      <c r="R70" s="877" t="s">
        <v>81</v>
      </c>
      <c r="S70" s="877" t="s">
        <v>81</v>
      </c>
      <c r="T70" s="878">
        <f t="shared" si="34"/>
        <v>0</v>
      </c>
      <c r="U70" s="878">
        <f t="shared" si="31"/>
        <v>2.3960399999999997</v>
      </c>
    </row>
    <row r="71" spans="1:21" x14ac:dyDescent="0.2">
      <c r="A71" s="862"/>
      <c r="B71" s="872">
        <v>220.37</v>
      </c>
      <c r="C71" s="873">
        <v>0.37</v>
      </c>
      <c r="D71" s="873">
        <v>0.38</v>
      </c>
      <c r="E71" s="874" t="s">
        <v>81</v>
      </c>
      <c r="F71" s="875">
        <f t="shared" si="32"/>
        <v>5.0000000000000044E-3</v>
      </c>
      <c r="G71" s="875">
        <f t="shared" si="29"/>
        <v>2.6444399999999999</v>
      </c>
      <c r="H71" s="864"/>
      <c r="I71" s="876">
        <v>220</v>
      </c>
      <c r="J71" s="876">
        <v>-0.16</v>
      </c>
      <c r="K71" s="876">
        <v>-0.45</v>
      </c>
      <c r="L71" s="877" t="s">
        <v>81</v>
      </c>
      <c r="M71" s="878">
        <f t="shared" si="33"/>
        <v>0.14500000000000002</v>
      </c>
      <c r="N71" s="878">
        <f t="shared" si="30"/>
        <v>2.64</v>
      </c>
      <c r="O71" s="864"/>
      <c r="P71" s="876">
        <v>219.61</v>
      </c>
      <c r="Q71" s="876">
        <v>-0.39</v>
      </c>
      <c r="R71" s="877" t="s">
        <v>81</v>
      </c>
      <c r="S71" s="877" t="s">
        <v>81</v>
      </c>
      <c r="T71" s="878">
        <f t="shared" si="34"/>
        <v>0</v>
      </c>
      <c r="U71" s="878">
        <f t="shared" si="31"/>
        <v>2.6353200000000001</v>
      </c>
    </row>
    <row r="72" spans="1:21" x14ac:dyDescent="0.2">
      <c r="A72" s="862"/>
      <c r="B72" s="872">
        <v>230.47</v>
      </c>
      <c r="C72" s="873">
        <v>0.47</v>
      </c>
      <c r="D72" s="873">
        <v>0.4</v>
      </c>
      <c r="E72" s="874" t="s">
        <v>81</v>
      </c>
      <c r="F72" s="875">
        <f t="shared" si="32"/>
        <v>3.4999999999999976E-2</v>
      </c>
      <c r="G72" s="875">
        <f t="shared" si="29"/>
        <v>2.7656399999999999</v>
      </c>
      <c r="H72" s="864"/>
      <c r="I72" s="876">
        <v>230</v>
      </c>
      <c r="J72" s="876">
        <v>-0.15</v>
      </c>
      <c r="K72" s="876">
        <v>-0.54</v>
      </c>
      <c r="L72" s="877" t="s">
        <v>81</v>
      </c>
      <c r="M72" s="878">
        <f t="shared" si="33"/>
        <v>0.19500000000000001</v>
      </c>
      <c r="N72" s="878">
        <f t="shared" si="30"/>
        <v>2.7600000000000002</v>
      </c>
      <c r="O72" s="864"/>
      <c r="P72" s="876">
        <v>229.61</v>
      </c>
      <c r="Q72" s="876">
        <v>-0.39</v>
      </c>
      <c r="R72" s="877" t="s">
        <v>81</v>
      </c>
      <c r="S72" s="877" t="s">
        <v>81</v>
      </c>
      <c r="T72" s="878">
        <f t="shared" si="34"/>
        <v>0</v>
      </c>
      <c r="U72" s="878">
        <f t="shared" si="31"/>
        <v>2.7553200000000002</v>
      </c>
    </row>
    <row r="73" spans="1:21" x14ac:dyDescent="0.2">
      <c r="A73" s="862"/>
      <c r="B73" s="872">
        <v>240.38</v>
      </c>
      <c r="C73" s="873">
        <v>0.38</v>
      </c>
      <c r="D73" s="873">
        <v>9.9999999999999995E-7</v>
      </c>
      <c r="E73" s="874" t="s">
        <v>81</v>
      </c>
      <c r="F73" s="875">
        <f t="shared" si="32"/>
        <v>0.18999950000000002</v>
      </c>
      <c r="G73" s="875">
        <f t="shared" si="29"/>
        <v>2.88456</v>
      </c>
      <c r="H73" s="864"/>
      <c r="I73" s="876">
        <v>250</v>
      </c>
      <c r="J73" s="876">
        <v>9.9999999999999995E-7</v>
      </c>
      <c r="K73" s="876">
        <v>-0.49</v>
      </c>
      <c r="L73" s="877" t="s">
        <v>81</v>
      </c>
      <c r="M73" s="878">
        <f t="shared" si="33"/>
        <v>0.24500049999999998</v>
      </c>
      <c r="N73" s="878">
        <f t="shared" si="30"/>
        <v>3</v>
      </c>
      <c r="O73" s="864"/>
      <c r="P73" s="876">
        <v>239.61</v>
      </c>
      <c r="Q73" s="876">
        <v>-0.39</v>
      </c>
      <c r="R73" s="877" t="s">
        <v>81</v>
      </c>
      <c r="S73" s="877" t="s">
        <v>81</v>
      </c>
      <c r="T73" s="878">
        <f t="shared" si="34"/>
        <v>0</v>
      </c>
      <c r="U73" s="878">
        <f t="shared" si="31"/>
        <v>2.8753200000000003</v>
      </c>
    </row>
    <row r="74" spans="1:21" ht="12.75" customHeight="1" x14ac:dyDescent="0.2">
      <c r="A74" s="862"/>
      <c r="B74" s="881" t="s">
        <v>180</v>
      </c>
      <c r="C74" s="881"/>
      <c r="D74" s="881"/>
      <c r="E74" s="881"/>
      <c r="F74" s="866" t="s">
        <v>162</v>
      </c>
      <c r="G74" s="866" t="s">
        <v>158</v>
      </c>
      <c r="H74" s="864"/>
      <c r="I74" s="881" t="str">
        <f>B74</f>
        <v>Current Leakage</v>
      </c>
      <c r="J74" s="881"/>
      <c r="K74" s="881"/>
      <c r="L74" s="881"/>
      <c r="M74" s="866" t="s">
        <v>162</v>
      </c>
      <c r="N74" s="866" t="s">
        <v>158</v>
      </c>
      <c r="O74" s="864"/>
      <c r="P74" s="881" t="str">
        <f>B74</f>
        <v>Current Leakage</v>
      </c>
      <c r="Q74" s="881"/>
      <c r="R74" s="881"/>
      <c r="S74" s="881"/>
      <c r="T74" s="866" t="s">
        <v>162</v>
      </c>
      <c r="U74" s="866" t="s">
        <v>158</v>
      </c>
    </row>
    <row r="75" spans="1:21" x14ac:dyDescent="0.2">
      <c r="A75" s="862"/>
      <c r="B75" s="867" t="s">
        <v>181</v>
      </c>
      <c r="C75" s="868">
        <f>C67</f>
        <v>2020</v>
      </c>
      <c r="D75" s="868">
        <f>D67</f>
        <v>2018</v>
      </c>
      <c r="E75" s="867" t="str">
        <f>E67</f>
        <v>-</v>
      </c>
      <c r="F75" s="866"/>
      <c r="G75" s="866"/>
      <c r="H75" s="864"/>
      <c r="I75" s="867" t="s">
        <v>181</v>
      </c>
      <c r="J75" s="867">
        <f>J67</f>
        <v>2022</v>
      </c>
      <c r="K75" s="867">
        <f>K67</f>
        <v>2020</v>
      </c>
      <c r="L75" s="867" t="str">
        <f>L67</f>
        <v>-</v>
      </c>
      <c r="M75" s="866"/>
      <c r="N75" s="866"/>
      <c r="O75" s="864"/>
      <c r="P75" s="867" t="s">
        <v>181</v>
      </c>
      <c r="Q75" s="867">
        <f>Q67</f>
        <v>2020</v>
      </c>
      <c r="R75" s="867" t="str">
        <f>R67</f>
        <v>-</v>
      </c>
      <c r="S75" s="867" t="str">
        <f>S67</f>
        <v>-</v>
      </c>
      <c r="T75" s="866"/>
      <c r="U75" s="866"/>
    </row>
    <row r="76" spans="1:21" x14ac:dyDescent="0.2">
      <c r="A76" s="862"/>
      <c r="B76" s="872">
        <v>0</v>
      </c>
      <c r="C76" s="873">
        <v>9.9999999999999995E-7</v>
      </c>
      <c r="D76" s="873">
        <v>1.9999999999999999E-6</v>
      </c>
      <c r="E76" s="874" t="s">
        <v>81</v>
      </c>
      <c r="F76" s="875">
        <f>0.5*(MAX(C76:E76)-MIN(C76:E76))</f>
        <v>4.9999999999999998E-7</v>
      </c>
      <c r="G76" s="875">
        <v>0.3</v>
      </c>
      <c r="H76" s="864"/>
      <c r="I76" s="876">
        <v>0</v>
      </c>
      <c r="J76" s="876">
        <v>9.9999999999999995E-7</v>
      </c>
      <c r="K76" s="876">
        <v>9.9999999999999995E-7</v>
      </c>
      <c r="L76" s="877" t="s">
        <v>81</v>
      </c>
      <c r="M76" s="878">
        <f>0.5*(MAX(J76:L76)-MIN(J76:L76))</f>
        <v>0</v>
      </c>
      <c r="N76" s="878">
        <f t="shared" ref="N76:N81" si="35">(0.59/100)*I76</f>
        <v>0</v>
      </c>
      <c r="O76" s="864"/>
      <c r="P76" s="876">
        <v>0</v>
      </c>
      <c r="Q76" s="876">
        <v>9.9999999999999995E-7</v>
      </c>
      <c r="R76" s="869" t="s">
        <v>81</v>
      </c>
      <c r="S76" s="877" t="s">
        <v>81</v>
      </c>
      <c r="T76" s="878">
        <f>0.5*(MAX(Q76:S76)-MIN(Q76:S76))</f>
        <v>0</v>
      </c>
      <c r="U76" s="878">
        <v>0.12</v>
      </c>
    </row>
    <row r="77" spans="1:21" x14ac:dyDescent="0.2">
      <c r="A77" s="862"/>
      <c r="B77" s="872">
        <v>50</v>
      </c>
      <c r="C77" s="873">
        <v>1.7</v>
      </c>
      <c r="D77" s="873">
        <v>2.1</v>
      </c>
      <c r="E77" s="874" t="s">
        <v>81</v>
      </c>
      <c r="F77" s="875">
        <f t="shared" ref="F77:F81" si="36">0.5*(MAX(C77:E77)-MIN(C77:E77))</f>
        <v>0.20000000000000007</v>
      </c>
      <c r="G77" s="875">
        <f>(0.59/100)*B77</f>
        <v>0.29499999999999998</v>
      </c>
      <c r="H77" s="864"/>
      <c r="I77" s="876">
        <v>20</v>
      </c>
      <c r="J77" s="876">
        <v>6.6</v>
      </c>
      <c r="K77" s="876">
        <v>0.9</v>
      </c>
      <c r="L77" s="877" t="s">
        <v>81</v>
      </c>
      <c r="M77" s="878">
        <f t="shared" ref="M77:M81" si="37">0.5*(MAX(J77:L77)-MIN(J77:L77))</f>
        <v>2.8499999999999996</v>
      </c>
      <c r="N77" s="878">
        <f t="shared" si="35"/>
        <v>0.11799999999999999</v>
      </c>
      <c r="O77" s="864"/>
      <c r="P77" s="876">
        <v>20.8</v>
      </c>
      <c r="Q77" s="876">
        <v>0.8</v>
      </c>
      <c r="R77" s="877" t="s">
        <v>81</v>
      </c>
      <c r="S77" s="877" t="s">
        <v>81</v>
      </c>
      <c r="T77" s="878">
        <f t="shared" ref="T77:T81" si="38">0.5*(MAX(Q77:S77)-MIN(Q77:S77))</f>
        <v>0</v>
      </c>
      <c r="U77" s="878">
        <f>(0.59/100)*P77</f>
        <v>0.12272</v>
      </c>
    </row>
    <row r="78" spans="1:21" x14ac:dyDescent="0.2">
      <c r="A78" s="862"/>
      <c r="B78" s="872">
        <v>100</v>
      </c>
      <c r="C78" s="873">
        <v>1.7</v>
      </c>
      <c r="D78" s="873">
        <v>2.2000000000000002</v>
      </c>
      <c r="E78" s="874" t="s">
        <v>81</v>
      </c>
      <c r="F78" s="875">
        <f t="shared" si="36"/>
        <v>0.25000000000000011</v>
      </c>
      <c r="G78" s="875">
        <f>(0.59/100)*B78</f>
        <v>0.59</v>
      </c>
      <c r="H78" s="864"/>
      <c r="I78" s="876">
        <v>50</v>
      </c>
      <c r="J78" s="876">
        <v>5</v>
      </c>
      <c r="K78" s="876">
        <v>2.1</v>
      </c>
      <c r="L78" s="877" t="s">
        <v>81</v>
      </c>
      <c r="M78" s="878">
        <f t="shared" si="37"/>
        <v>1.45</v>
      </c>
      <c r="N78" s="878">
        <f t="shared" si="35"/>
        <v>0.29499999999999998</v>
      </c>
      <c r="O78" s="864"/>
      <c r="P78" s="876">
        <v>51.7</v>
      </c>
      <c r="Q78" s="876">
        <v>1.7</v>
      </c>
      <c r="R78" s="877" t="s">
        <v>81</v>
      </c>
      <c r="S78" s="877" t="s">
        <v>81</v>
      </c>
      <c r="T78" s="878">
        <f t="shared" si="38"/>
        <v>0</v>
      </c>
      <c r="U78" s="878">
        <f>(0.59/100)*P78</f>
        <v>0.30503000000000002</v>
      </c>
    </row>
    <row r="79" spans="1:21" x14ac:dyDescent="0.2">
      <c r="A79" s="862"/>
      <c r="B79" s="872">
        <v>200.4</v>
      </c>
      <c r="C79" s="873">
        <v>0.4</v>
      </c>
      <c r="D79" s="873">
        <v>2.4</v>
      </c>
      <c r="E79" s="874" t="s">
        <v>81</v>
      </c>
      <c r="F79" s="875">
        <f t="shared" si="36"/>
        <v>1</v>
      </c>
      <c r="G79" s="875">
        <f>(0.59/100)*B79</f>
        <v>1.1823600000000001</v>
      </c>
      <c r="H79" s="864"/>
      <c r="I79" s="876">
        <v>200</v>
      </c>
      <c r="J79" s="876">
        <v>-8.1999999999999993</v>
      </c>
      <c r="K79" s="876">
        <v>3.7</v>
      </c>
      <c r="L79" s="877" t="s">
        <v>81</v>
      </c>
      <c r="M79" s="878">
        <f t="shared" si="37"/>
        <v>5.9499999999999993</v>
      </c>
      <c r="N79" s="878">
        <f t="shared" si="35"/>
        <v>1.18</v>
      </c>
      <c r="O79" s="864"/>
      <c r="P79" s="876">
        <v>103.4</v>
      </c>
      <c r="Q79" s="876">
        <v>3.4</v>
      </c>
      <c r="R79" s="877" t="s">
        <v>81</v>
      </c>
      <c r="S79" s="877" t="s">
        <v>81</v>
      </c>
      <c r="T79" s="878">
        <f t="shared" si="38"/>
        <v>0</v>
      </c>
      <c r="U79" s="878">
        <f>(0.59/100)*P79</f>
        <v>0.61006000000000005</v>
      </c>
    </row>
    <row r="80" spans="1:21" x14ac:dyDescent="0.2">
      <c r="A80" s="862"/>
      <c r="B80" s="872">
        <v>500</v>
      </c>
      <c r="C80" s="873">
        <v>3</v>
      </c>
      <c r="D80" s="873">
        <v>3.3</v>
      </c>
      <c r="E80" s="874" t="s">
        <v>81</v>
      </c>
      <c r="F80" s="875">
        <f t="shared" si="36"/>
        <v>0.14999999999999991</v>
      </c>
      <c r="G80" s="875">
        <f>(0.59/100)*B80</f>
        <v>2.9499999999999997</v>
      </c>
      <c r="H80" s="864"/>
      <c r="I80" s="876">
        <v>500</v>
      </c>
      <c r="J80" s="876">
        <v>-31.8</v>
      </c>
      <c r="K80" s="876">
        <v>8.3000000000000007</v>
      </c>
      <c r="L80" s="877" t="s">
        <v>81</v>
      </c>
      <c r="M80" s="878">
        <f t="shared" si="37"/>
        <v>20.05</v>
      </c>
      <c r="N80" s="878">
        <f t="shared" si="35"/>
        <v>2.9499999999999997</v>
      </c>
      <c r="O80" s="864"/>
      <c r="P80" s="876">
        <v>507.2</v>
      </c>
      <c r="Q80" s="876">
        <v>7.2</v>
      </c>
      <c r="R80" s="877" t="s">
        <v>81</v>
      </c>
      <c r="S80" s="877" t="s">
        <v>81</v>
      </c>
      <c r="T80" s="878">
        <f t="shared" si="38"/>
        <v>0</v>
      </c>
      <c r="U80" s="878">
        <f>(0.59/100)*P80</f>
        <v>2.99248</v>
      </c>
    </row>
    <row r="81" spans="1:21" x14ac:dyDescent="0.2">
      <c r="A81" s="862"/>
      <c r="B81" s="872">
        <v>1000</v>
      </c>
      <c r="C81" s="873">
        <v>9.9999999999999995E-7</v>
      </c>
      <c r="D81" s="873">
        <v>1.9999999999999999E-6</v>
      </c>
      <c r="E81" s="874" t="s">
        <v>81</v>
      </c>
      <c r="F81" s="875">
        <f t="shared" si="36"/>
        <v>4.9999999999999998E-7</v>
      </c>
      <c r="G81" s="875">
        <v>2.95</v>
      </c>
      <c r="H81" s="864"/>
      <c r="I81" s="876">
        <v>1000</v>
      </c>
      <c r="J81" s="876">
        <v>-74</v>
      </c>
      <c r="K81" s="876">
        <v>9.9999999999999995E-7</v>
      </c>
      <c r="L81" s="877" t="s">
        <v>81</v>
      </c>
      <c r="M81" s="878">
        <f t="shared" si="37"/>
        <v>37.000000499999999</v>
      </c>
      <c r="N81" s="878">
        <f t="shared" si="35"/>
        <v>5.8999999999999995</v>
      </c>
      <c r="O81" s="864"/>
      <c r="P81" s="876">
        <v>920</v>
      </c>
      <c r="Q81" s="876">
        <v>9.9999999999999995E-7</v>
      </c>
      <c r="R81" s="877" t="s">
        <v>81</v>
      </c>
      <c r="S81" s="877" t="s">
        <v>81</v>
      </c>
      <c r="T81" s="878">
        <f t="shared" si="38"/>
        <v>0</v>
      </c>
      <c r="U81" s="878">
        <v>2.99</v>
      </c>
    </row>
    <row r="82" spans="1:21" x14ac:dyDescent="0.2">
      <c r="A82" s="862"/>
      <c r="B82" s="881" t="s">
        <v>182</v>
      </c>
      <c r="C82" s="881"/>
      <c r="D82" s="881"/>
      <c r="E82" s="881"/>
      <c r="F82" s="866" t="s">
        <v>162</v>
      </c>
      <c r="G82" s="866" t="s">
        <v>158</v>
      </c>
      <c r="H82" s="864"/>
      <c r="I82" s="881" t="s">
        <v>182</v>
      </c>
      <c r="J82" s="881"/>
      <c r="K82" s="881"/>
      <c r="L82" s="881"/>
      <c r="M82" s="866" t="s">
        <v>162</v>
      </c>
      <c r="N82" s="866" t="s">
        <v>158</v>
      </c>
      <c r="O82" s="864"/>
      <c r="P82" s="881" t="str">
        <f>B82</f>
        <v>Main-PE</v>
      </c>
      <c r="Q82" s="881"/>
      <c r="R82" s="881"/>
      <c r="S82" s="881"/>
      <c r="T82" s="866" t="s">
        <v>162</v>
      </c>
      <c r="U82" s="866" t="s">
        <v>158</v>
      </c>
    </row>
    <row r="83" spans="1:21" x14ac:dyDescent="0.2">
      <c r="A83" s="862"/>
      <c r="B83" s="867" t="s">
        <v>633</v>
      </c>
      <c r="C83" s="868">
        <f>C67</f>
        <v>2020</v>
      </c>
      <c r="D83" s="868">
        <f>D67</f>
        <v>2018</v>
      </c>
      <c r="E83" s="867" t="str">
        <f>E67</f>
        <v>-</v>
      </c>
      <c r="F83" s="866"/>
      <c r="G83" s="866"/>
      <c r="H83" s="864"/>
      <c r="I83" s="867" t="s">
        <v>633</v>
      </c>
      <c r="J83" s="867">
        <f>J67</f>
        <v>2022</v>
      </c>
      <c r="K83" s="867">
        <f>K67</f>
        <v>2020</v>
      </c>
      <c r="L83" s="867" t="str">
        <f>L67</f>
        <v>-</v>
      </c>
      <c r="M83" s="866"/>
      <c r="N83" s="866"/>
      <c r="O83" s="864"/>
      <c r="P83" s="867" t="s">
        <v>633</v>
      </c>
      <c r="Q83" s="867">
        <f>Q67</f>
        <v>2020</v>
      </c>
      <c r="R83" s="867" t="str">
        <f>R67</f>
        <v>-</v>
      </c>
      <c r="S83" s="867" t="str">
        <f>S67</f>
        <v>-</v>
      </c>
      <c r="T83" s="866"/>
      <c r="U83" s="866"/>
    </row>
    <row r="84" spans="1:21" x14ac:dyDescent="0.2">
      <c r="A84" s="862"/>
      <c r="B84" s="872">
        <v>10</v>
      </c>
      <c r="C84" s="873">
        <v>9.9999999999999995E-7</v>
      </c>
      <c r="D84" s="873">
        <v>1.9999999999999999E-6</v>
      </c>
      <c r="E84" s="874" t="s">
        <v>81</v>
      </c>
      <c r="F84" s="875">
        <f>0.5*(MAX(C84:E84)-MIN(C84:E84))</f>
        <v>4.9999999999999998E-7</v>
      </c>
      <c r="G84" s="875">
        <f>(1.7/100)*B84</f>
        <v>0.17</v>
      </c>
      <c r="H84" s="864"/>
      <c r="I84" s="876">
        <v>10</v>
      </c>
      <c r="J84" s="876">
        <v>9.9999999999999995E-7</v>
      </c>
      <c r="K84" s="876">
        <v>9.9999999999999995E-7</v>
      </c>
      <c r="L84" s="877" t="s">
        <v>81</v>
      </c>
      <c r="M84" s="878">
        <f>0.5*(MAX(J84:L84)-MIN(J84:L84))</f>
        <v>0</v>
      </c>
      <c r="N84" s="878">
        <f>(1.7/100)*I84</f>
        <v>0.17</v>
      </c>
      <c r="O84" s="864"/>
      <c r="P84" s="876">
        <v>10</v>
      </c>
      <c r="Q84" s="876">
        <v>9.9999999999999995E-7</v>
      </c>
      <c r="R84" s="877" t="s">
        <v>81</v>
      </c>
      <c r="S84" s="877" t="s">
        <v>81</v>
      </c>
      <c r="T84" s="878">
        <f>0.5*(MAX(Q84:S84)-MIN(Q84:S84))</f>
        <v>0</v>
      </c>
      <c r="U84" s="878">
        <v>0</v>
      </c>
    </row>
    <row r="85" spans="1:21" x14ac:dyDescent="0.2">
      <c r="A85" s="862"/>
      <c r="B85" s="872">
        <v>20</v>
      </c>
      <c r="C85" s="873">
        <v>9.9999999999999995E-7</v>
      </c>
      <c r="D85" s="873">
        <v>0.1</v>
      </c>
      <c r="E85" s="874" t="s">
        <v>81</v>
      </c>
      <c r="F85" s="875">
        <f t="shared" ref="F85:F87" si="39">0.5*(MAX(C85:E85)-MIN(C85:E85))</f>
        <v>4.9999500000000002E-2</v>
      </c>
      <c r="G85" s="875">
        <f>(1.7/100)*B85</f>
        <v>0.34</v>
      </c>
      <c r="H85" s="864"/>
      <c r="I85" s="876">
        <v>20</v>
      </c>
      <c r="J85" s="876">
        <v>9.9999999999999995E-7</v>
      </c>
      <c r="K85" s="876">
        <v>9.9999999999999995E-7</v>
      </c>
      <c r="L85" s="877" t="s">
        <v>81</v>
      </c>
      <c r="M85" s="878">
        <f t="shared" ref="M85:M87" si="40">0.5*(MAX(J85:L85)-MIN(J85:L85))</f>
        <v>0</v>
      </c>
      <c r="N85" s="878">
        <f t="shared" ref="N85:N87" si="41">(1.7/100)*I85</f>
        <v>0.34</v>
      </c>
      <c r="O85" s="864"/>
      <c r="P85" s="876">
        <v>20</v>
      </c>
      <c r="Q85" s="876">
        <v>9.9999999999999995E-7</v>
      </c>
      <c r="R85" s="877" t="s">
        <v>81</v>
      </c>
      <c r="S85" s="877" t="s">
        <v>81</v>
      </c>
      <c r="T85" s="878">
        <f t="shared" ref="T85:T87" si="42">0.5*(MAX(Q85:S85)-MIN(Q85:S85))</f>
        <v>0</v>
      </c>
      <c r="U85" s="878">
        <v>0</v>
      </c>
    </row>
    <row r="86" spans="1:21" x14ac:dyDescent="0.2">
      <c r="A86" s="862"/>
      <c r="B86" s="872">
        <v>50</v>
      </c>
      <c r="C86" s="873">
        <v>9.9999999999999995E-7</v>
      </c>
      <c r="D86" s="873">
        <v>0.4</v>
      </c>
      <c r="E86" s="874" t="s">
        <v>81</v>
      </c>
      <c r="F86" s="875">
        <f t="shared" si="39"/>
        <v>0.19999950000000002</v>
      </c>
      <c r="G86" s="875">
        <f>(1.7/100)*B86</f>
        <v>0.85000000000000009</v>
      </c>
      <c r="H86" s="864"/>
      <c r="I86" s="876">
        <v>50</v>
      </c>
      <c r="J86" s="876">
        <v>0.2</v>
      </c>
      <c r="K86" s="876">
        <v>9.9999999999999995E-7</v>
      </c>
      <c r="L86" s="877" t="s">
        <v>81</v>
      </c>
      <c r="M86" s="878">
        <f t="shared" si="40"/>
        <v>9.9999500000000005E-2</v>
      </c>
      <c r="N86" s="878">
        <f t="shared" si="41"/>
        <v>0.85000000000000009</v>
      </c>
      <c r="O86" s="864"/>
      <c r="P86" s="876">
        <v>50</v>
      </c>
      <c r="Q86" s="876">
        <v>9.9999999999999995E-7</v>
      </c>
      <c r="R86" s="877" t="s">
        <v>81</v>
      </c>
      <c r="S86" s="877" t="s">
        <v>81</v>
      </c>
      <c r="T86" s="878">
        <f t="shared" si="42"/>
        <v>0</v>
      </c>
      <c r="U86" s="878">
        <v>0</v>
      </c>
    </row>
    <row r="87" spans="1:21" x14ac:dyDescent="0.2">
      <c r="A87" s="862"/>
      <c r="B87" s="872">
        <v>100</v>
      </c>
      <c r="C87" s="873">
        <v>9.9999999999999995E-7</v>
      </c>
      <c r="D87" s="873">
        <v>1.4</v>
      </c>
      <c r="E87" s="874" t="s">
        <v>81</v>
      </c>
      <c r="F87" s="875">
        <f t="shared" si="39"/>
        <v>0.6999995</v>
      </c>
      <c r="G87" s="875">
        <f>(1.7/100)*B87</f>
        <v>1.7000000000000002</v>
      </c>
      <c r="H87" s="864"/>
      <c r="I87" s="876">
        <v>100</v>
      </c>
      <c r="J87" s="876">
        <v>0.4</v>
      </c>
      <c r="K87" s="876">
        <v>9.9999999999999995E-7</v>
      </c>
      <c r="L87" s="877" t="s">
        <v>81</v>
      </c>
      <c r="M87" s="878">
        <f t="shared" si="40"/>
        <v>0.19999950000000002</v>
      </c>
      <c r="N87" s="878">
        <f t="shared" si="41"/>
        <v>1.7000000000000002</v>
      </c>
      <c r="O87" s="864"/>
      <c r="P87" s="876">
        <v>100</v>
      </c>
      <c r="Q87" s="876">
        <v>9.9999999999999995E-7</v>
      </c>
      <c r="R87" s="877" t="s">
        <v>81</v>
      </c>
      <c r="S87" s="877" t="s">
        <v>81</v>
      </c>
      <c r="T87" s="878">
        <f t="shared" si="42"/>
        <v>0</v>
      </c>
      <c r="U87" s="878">
        <v>0</v>
      </c>
    </row>
    <row r="88" spans="1:21" ht="12.75" customHeight="1" x14ac:dyDescent="0.2">
      <c r="A88" s="862"/>
      <c r="B88" s="881" t="s">
        <v>183</v>
      </c>
      <c r="C88" s="881"/>
      <c r="D88" s="881"/>
      <c r="E88" s="881"/>
      <c r="F88" s="866" t="s">
        <v>162</v>
      </c>
      <c r="G88" s="866" t="s">
        <v>158</v>
      </c>
      <c r="H88" s="864"/>
      <c r="I88" s="881" t="s">
        <v>183</v>
      </c>
      <c r="J88" s="881"/>
      <c r="K88" s="881"/>
      <c r="L88" s="881"/>
      <c r="M88" s="866" t="s">
        <v>162</v>
      </c>
      <c r="N88" s="866" t="s">
        <v>158</v>
      </c>
      <c r="O88" s="864"/>
      <c r="P88" s="881" t="str">
        <f>B88</f>
        <v>Resistance</v>
      </c>
      <c r="Q88" s="881"/>
      <c r="R88" s="881"/>
      <c r="S88" s="881"/>
      <c r="T88" s="866" t="s">
        <v>162</v>
      </c>
      <c r="U88" s="866" t="s">
        <v>158</v>
      </c>
    </row>
    <row r="89" spans="1:21" x14ac:dyDescent="0.2">
      <c r="A89" s="862"/>
      <c r="B89" s="867" t="s">
        <v>634</v>
      </c>
      <c r="C89" s="868">
        <f>C67</f>
        <v>2020</v>
      </c>
      <c r="D89" s="868">
        <f>D67</f>
        <v>2018</v>
      </c>
      <c r="E89" s="868" t="str">
        <f>E67</f>
        <v>-</v>
      </c>
      <c r="F89" s="866"/>
      <c r="G89" s="866"/>
      <c r="H89" s="864"/>
      <c r="I89" s="867" t="s">
        <v>634</v>
      </c>
      <c r="J89" s="867">
        <f>J67</f>
        <v>2022</v>
      </c>
      <c r="K89" s="867">
        <f>K67</f>
        <v>2020</v>
      </c>
      <c r="L89" s="867" t="str">
        <f>L67</f>
        <v>-</v>
      </c>
      <c r="M89" s="866"/>
      <c r="N89" s="866"/>
      <c r="O89" s="864"/>
      <c r="P89" s="867" t="s">
        <v>634</v>
      </c>
      <c r="Q89" s="867">
        <f>Q67</f>
        <v>2020</v>
      </c>
      <c r="R89" s="867" t="str">
        <f>R67</f>
        <v>-</v>
      </c>
      <c r="S89" s="867" t="str">
        <f>S67</f>
        <v>-</v>
      </c>
      <c r="T89" s="866"/>
      <c r="U89" s="866"/>
    </row>
    <row r="90" spans="1:21" x14ac:dyDescent="0.2">
      <c r="A90" s="862"/>
      <c r="B90" s="876">
        <v>0.01</v>
      </c>
      <c r="C90" s="873">
        <v>9.9999999999999995E-7</v>
      </c>
      <c r="D90" s="873">
        <v>1.9999999999999999E-6</v>
      </c>
      <c r="E90" s="874" t="s">
        <v>81</v>
      </c>
      <c r="F90" s="875">
        <f>0.5*(MAX(C90:E90)-MIN(C90:E90))</f>
        <v>4.9999999999999998E-7</v>
      </c>
      <c r="G90" s="875">
        <v>0.01</v>
      </c>
      <c r="H90" s="864"/>
      <c r="I90" s="876">
        <v>0.1</v>
      </c>
      <c r="J90" s="898">
        <v>-1E-3</v>
      </c>
      <c r="K90" s="898">
        <v>-1E-3</v>
      </c>
      <c r="L90" s="877" t="s">
        <v>81</v>
      </c>
      <c r="M90" s="899">
        <f>0.5*(MAX(J90:L90)-MIN(J90:L90))</f>
        <v>0</v>
      </c>
      <c r="N90" s="899">
        <f>(1.2/100)*I90</f>
        <v>1.2000000000000001E-3</v>
      </c>
      <c r="O90" s="864"/>
      <c r="P90" s="876">
        <v>1E-3</v>
      </c>
      <c r="Q90" s="876">
        <v>-1E-3</v>
      </c>
      <c r="R90" s="877" t="s">
        <v>81</v>
      </c>
      <c r="S90" s="877" t="s">
        <v>81</v>
      </c>
      <c r="T90" s="878">
        <f>0.5*(MAX(Q90:S90)-MIN(Q90:S90))</f>
        <v>0</v>
      </c>
      <c r="U90" s="878">
        <f>(1.2/100)*P90</f>
        <v>1.2E-5</v>
      </c>
    </row>
    <row r="91" spans="1:21" x14ac:dyDescent="0.2">
      <c r="A91" s="862"/>
      <c r="B91" s="876">
        <v>0.5</v>
      </c>
      <c r="C91" s="873">
        <v>9.9999999999999995E-7</v>
      </c>
      <c r="D91" s="873">
        <v>1E-3</v>
      </c>
      <c r="E91" s="874" t="s">
        <v>81</v>
      </c>
      <c r="F91" s="875">
        <f t="shared" ref="F91:F93" si="43">0.5*(MAX(C91:E91)-MIN(C91:E91))</f>
        <v>4.9950000000000005E-4</v>
      </c>
      <c r="G91" s="875">
        <f>(1.2/100)*B91</f>
        <v>6.0000000000000001E-3</v>
      </c>
      <c r="H91" s="864"/>
      <c r="I91" s="876">
        <v>0.5</v>
      </c>
      <c r="J91" s="898">
        <v>4.0000000000000001E-3</v>
      </c>
      <c r="K91" s="898">
        <v>-3.0000000000000001E-3</v>
      </c>
      <c r="L91" s="877" t="s">
        <v>81</v>
      </c>
      <c r="M91" s="899">
        <f t="shared" ref="M91:M93" si="44">0.5*(MAX(J91:L91)-MIN(J91:L91))</f>
        <v>3.5000000000000001E-3</v>
      </c>
      <c r="N91" s="899">
        <f>(1.2/100)*I91</f>
        <v>6.0000000000000001E-3</v>
      </c>
      <c r="O91" s="864"/>
      <c r="P91" s="876">
        <v>0.10199999999999999</v>
      </c>
      <c r="Q91" s="876">
        <v>-2E-3</v>
      </c>
      <c r="R91" s="877" t="s">
        <v>81</v>
      </c>
      <c r="S91" s="877" t="s">
        <v>81</v>
      </c>
      <c r="T91" s="878">
        <f t="shared" ref="T91:T93" si="45">0.5*(MAX(Q91:S91)-MIN(Q91:S91))</f>
        <v>0</v>
      </c>
      <c r="U91" s="878">
        <f>(1.2/100)*P91</f>
        <v>1.224E-3</v>
      </c>
    </row>
    <row r="92" spans="1:21" x14ac:dyDescent="0.2">
      <c r="A92" s="862"/>
      <c r="B92" s="876">
        <v>1</v>
      </c>
      <c r="C92" s="873">
        <v>-2E-3</v>
      </c>
      <c r="D92" s="873">
        <v>1E-3</v>
      </c>
      <c r="E92" s="874" t="s">
        <v>81</v>
      </c>
      <c r="F92" s="875">
        <f t="shared" si="43"/>
        <v>1.5E-3</v>
      </c>
      <c r="G92" s="875">
        <f>(1.2/100)*B92</f>
        <v>1.2E-2</v>
      </c>
      <c r="H92" s="864"/>
      <c r="I92" s="876">
        <v>1</v>
      </c>
      <c r="J92" s="898">
        <v>5.0000000000000001E-3</v>
      </c>
      <c r="K92" s="898">
        <v>1E-3</v>
      </c>
      <c r="L92" s="877" t="s">
        <v>81</v>
      </c>
      <c r="M92" s="899">
        <f t="shared" si="44"/>
        <v>2E-3</v>
      </c>
      <c r="N92" s="899">
        <f>(1.2/100)*I92</f>
        <v>1.2E-2</v>
      </c>
      <c r="O92" s="864"/>
      <c r="P92" s="876">
        <v>0.5</v>
      </c>
      <c r="Q92" s="876">
        <v>9.9999999999999995E-7</v>
      </c>
      <c r="R92" s="877" t="s">
        <v>81</v>
      </c>
      <c r="S92" s="877" t="s">
        <v>81</v>
      </c>
      <c r="T92" s="878">
        <f t="shared" si="45"/>
        <v>0</v>
      </c>
      <c r="U92" s="878">
        <f>(1.2/100)*P92</f>
        <v>6.0000000000000001E-3</v>
      </c>
    </row>
    <row r="93" spans="1:21" x14ac:dyDescent="0.2">
      <c r="A93" s="862"/>
      <c r="B93" s="876">
        <v>2</v>
      </c>
      <c r="C93" s="873">
        <v>9.9999999999999995E-7</v>
      </c>
      <c r="D93" s="873">
        <v>1.9999999999999999E-6</v>
      </c>
      <c r="E93" s="874" t="s">
        <v>81</v>
      </c>
      <c r="F93" s="875">
        <f t="shared" si="43"/>
        <v>4.9999999999999998E-7</v>
      </c>
      <c r="G93" s="875">
        <f>(1.2/100)*B93</f>
        <v>2.4E-2</v>
      </c>
      <c r="H93" s="864"/>
      <c r="I93" s="876">
        <v>2</v>
      </c>
      <c r="J93" s="898">
        <v>5.0000000000000001E-3</v>
      </c>
      <c r="K93" s="898">
        <v>-1E-3</v>
      </c>
      <c r="L93" s="877" t="s">
        <v>81</v>
      </c>
      <c r="M93" s="899">
        <f t="shared" si="44"/>
        <v>3.0000000000000001E-3</v>
      </c>
      <c r="N93" s="899">
        <f>(1.2/100)*I93</f>
        <v>2.4E-2</v>
      </c>
      <c r="O93" s="864"/>
      <c r="P93" s="890">
        <v>1</v>
      </c>
      <c r="Q93" s="890">
        <v>-1E-3</v>
      </c>
      <c r="R93" s="891" t="s">
        <v>81</v>
      </c>
      <c r="S93" s="877" t="s">
        <v>81</v>
      </c>
      <c r="T93" s="892">
        <f t="shared" si="45"/>
        <v>0</v>
      </c>
      <c r="U93" s="878">
        <f>(1.2/100)*P93</f>
        <v>1.2E-2</v>
      </c>
    </row>
    <row r="94" spans="1:21" x14ac:dyDescent="0.2">
      <c r="A94" s="900"/>
      <c r="B94" s="894"/>
      <c r="C94" s="894"/>
      <c r="D94" s="895"/>
      <c r="E94" s="901"/>
      <c r="F94" s="895"/>
      <c r="H94" s="896"/>
      <c r="I94" s="894"/>
      <c r="J94" s="894"/>
      <c r="K94" s="895"/>
      <c r="L94" s="895"/>
      <c r="M94" s="895"/>
      <c r="O94" s="896"/>
      <c r="P94" s="894"/>
      <c r="Q94" s="894"/>
      <c r="R94" s="895"/>
      <c r="S94" s="895"/>
      <c r="T94" s="895"/>
    </row>
    <row r="95" spans="1:21" x14ac:dyDescent="0.2">
      <c r="A95" s="862" t="s">
        <v>636</v>
      </c>
      <c r="B95" s="886">
        <v>10</v>
      </c>
      <c r="C95" s="886"/>
      <c r="D95" s="886"/>
      <c r="E95" s="886"/>
      <c r="F95" s="886"/>
      <c r="G95" s="886"/>
      <c r="H95" s="864" t="s">
        <v>637</v>
      </c>
      <c r="I95" s="863">
        <v>11</v>
      </c>
      <c r="J95" s="863"/>
      <c r="K95" s="863"/>
      <c r="L95" s="863"/>
      <c r="M95" s="863"/>
      <c r="N95" s="863"/>
      <c r="O95" s="864" t="s">
        <v>638</v>
      </c>
      <c r="P95" s="863">
        <v>12</v>
      </c>
      <c r="Q95" s="863"/>
      <c r="R95" s="863"/>
      <c r="S95" s="863"/>
      <c r="T95" s="863"/>
      <c r="U95" s="863"/>
    </row>
    <row r="96" spans="1:21" x14ac:dyDescent="0.2">
      <c r="A96" s="862"/>
      <c r="B96" s="865" t="s">
        <v>177</v>
      </c>
      <c r="C96" s="865"/>
      <c r="D96" s="865"/>
      <c r="E96" s="865"/>
      <c r="F96" s="865"/>
      <c r="G96" s="865"/>
      <c r="H96" s="864"/>
      <c r="I96" s="866" t="s">
        <v>177</v>
      </c>
      <c r="J96" s="866"/>
      <c r="K96" s="866"/>
      <c r="L96" s="866"/>
      <c r="M96" s="866"/>
      <c r="N96" s="866"/>
      <c r="O96" s="864"/>
      <c r="P96" s="866" t="s">
        <v>177</v>
      </c>
      <c r="Q96" s="866"/>
      <c r="R96" s="866"/>
      <c r="S96" s="866"/>
      <c r="T96" s="866"/>
      <c r="U96" s="866"/>
    </row>
    <row r="97" spans="1:21" x14ac:dyDescent="0.2">
      <c r="A97" s="862"/>
      <c r="B97" s="866" t="s">
        <v>178</v>
      </c>
      <c r="C97" s="866"/>
      <c r="D97" s="866"/>
      <c r="E97" s="866"/>
      <c r="F97" s="866" t="s">
        <v>162</v>
      </c>
      <c r="G97" s="866" t="s">
        <v>158</v>
      </c>
      <c r="H97" s="864"/>
      <c r="I97" s="866" t="str">
        <f>B97</f>
        <v>Setting VAC</v>
      </c>
      <c r="J97" s="866"/>
      <c r="K97" s="866"/>
      <c r="L97" s="866"/>
      <c r="M97" s="866" t="s">
        <v>162</v>
      </c>
      <c r="N97" s="866" t="s">
        <v>158</v>
      </c>
      <c r="O97" s="864"/>
      <c r="P97" s="866" t="str">
        <f>B97</f>
        <v>Setting VAC</v>
      </c>
      <c r="Q97" s="866"/>
      <c r="R97" s="866"/>
      <c r="S97" s="866"/>
      <c r="T97" s="866" t="s">
        <v>162</v>
      </c>
      <c r="U97" s="866" t="s">
        <v>158</v>
      </c>
    </row>
    <row r="98" spans="1:21" x14ac:dyDescent="0.2">
      <c r="A98" s="862"/>
      <c r="B98" s="867" t="s">
        <v>179</v>
      </c>
      <c r="C98" s="869">
        <v>2021</v>
      </c>
      <c r="D98" s="869" t="s">
        <v>81</v>
      </c>
      <c r="E98" s="869" t="s">
        <v>81</v>
      </c>
      <c r="F98" s="866"/>
      <c r="G98" s="866"/>
      <c r="H98" s="864"/>
      <c r="I98" s="867" t="s">
        <v>179</v>
      </c>
      <c r="J98" s="869" t="s">
        <v>81</v>
      </c>
      <c r="K98" s="869" t="s">
        <v>81</v>
      </c>
      <c r="L98" s="869" t="s">
        <v>81</v>
      </c>
      <c r="M98" s="866"/>
      <c r="N98" s="866"/>
      <c r="O98" s="864"/>
      <c r="P98" s="867" t="s">
        <v>179</v>
      </c>
      <c r="Q98" s="869" t="s">
        <v>81</v>
      </c>
      <c r="R98" s="869" t="s">
        <v>81</v>
      </c>
      <c r="S98" s="869" t="s">
        <v>81</v>
      </c>
      <c r="T98" s="866"/>
      <c r="U98" s="866"/>
    </row>
    <row r="99" spans="1:21" x14ac:dyDescent="0.2">
      <c r="A99" s="862"/>
      <c r="B99" s="876">
        <v>150</v>
      </c>
      <c r="C99" s="876">
        <v>-0.05</v>
      </c>
      <c r="D99" s="869" t="s">
        <v>81</v>
      </c>
      <c r="E99" s="877" t="s">
        <v>81</v>
      </c>
      <c r="F99" s="878">
        <f>0.5*(MAX(C99:E99)-MIN(C99:E99))</f>
        <v>0</v>
      </c>
      <c r="G99" s="869" t="s">
        <v>81</v>
      </c>
      <c r="H99" s="864"/>
      <c r="I99" s="876">
        <v>150</v>
      </c>
      <c r="J99" s="876">
        <v>9.9999999999999995E-7</v>
      </c>
      <c r="K99" s="869" t="s">
        <v>81</v>
      </c>
      <c r="L99" s="877" t="s">
        <v>81</v>
      </c>
      <c r="M99" s="878">
        <f>0.5*(MAX(J99:L99)-MIN(J99:L99))</f>
        <v>0</v>
      </c>
      <c r="N99" s="869" t="s">
        <v>81</v>
      </c>
      <c r="O99" s="864"/>
      <c r="P99" s="876">
        <v>150</v>
      </c>
      <c r="Q99" s="876">
        <v>9.9999999999999995E-7</v>
      </c>
      <c r="R99" s="869" t="s">
        <v>81</v>
      </c>
      <c r="S99" s="877" t="s">
        <v>81</v>
      </c>
      <c r="T99" s="878">
        <f>0.5*(MAX(Q99:S99)-MIN(Q99:S99))</f>
        <v>0</v>
      </c>
      <c r="U99" s="869" t="s">
        <v>81</v>
      </c>
    </row>
    <row r="100" spans="1:21" x14ac:dyDescent="0.2">
      <c r="A100" s="862"/>
      <c r="B100" s="876">
        <v>180</v>
      </c>
      <c r="C100" s="876">
        <v>-0.04</v>
      </c>
      <c r="D100" s="877" t="s">
        <v>81</v>
      </c>
      <c r="E100" s="877" t="s">
        <v>81</v>
      </c>
      <c r="F100" s="878">
        <f t="shared" ref="F100:F104" si="46">0.5*(MAX(C100:E100)-MIN(C100:E100))</f>
        <v>0</v>
      </c>
      <c r="G100" s="869" t="s">
        <v>81</v>
      </c>
      <c r="H100" s="864"/>
      <c r="I100" s="876">
        <v>180</v>
      </c>
      <c r="J100" s="876">
        <v>9.9999999999999995E-7</v>
      </c>
      <c r="K100" s="877" t="s">
        <v>81</v>
      </c>
      <c r="L100" s="877" t="s">
        <v>81</v>
      </c>
      <c r="M100" s="878">
        <f t="shared" ref="M100:M104" si="47">0.5*(MAX(J100:L100)-MIN(J100:L100))</f>
        <v>0</v>
      </c>
      <c r="N100" s="877" t="s">
        <v>81</v>
      </c>
      <c r="O100" s="864"/>
      <c r="P100" s="876">
        <v>180</v>
      </c>
      <c r="Q100" s="876">
        <v>9.9999999999999995E-7</v>
      </c>
      <c r="R100" s="877" t="s">
        <v>81</v>
      </c>
      <c r="S100" s="877" t="s">
        <v>81</v>
      </c>
      <c r="T100" s="878">
        <f t="shared" ref="T100:T104" si="48">0.5*(MAX(Q100:S100)-MIN(Q100:S100))</f>
        <v>0</v>
      </c>
      <c r="U100" s="877" t="s">
        <v>81</v>
      </c>
    </row>
    <row r="101" spans="1:21" x14ac:dyDescent="0.2">
      <c r="A101" s="862"/>
      <c r="B101" s="876">
        <v>200</v>
      </c>
      <c r="C101" s="876">
        <v>-0.67</v>
      </c>
      <c r="D101" s="877" t="s">
        <v>81</v>
      </c>
      <c r="E101" s="877" t="s">
        <v>81</v>
      </c>
      <c r="F101" s="878">
        <f t="shared" si="46"/>
        <v>0</v>
      </c>
      <c r="G101" s="869" t="s">
        <v>81</v>
      </c>
      <c r="H101" s="864"/>
      <c r="I101" s="876">
        <v>200</v>
      </c>
      <c r="J101" s="876">
        <v>9.9999999999999995E-7</v>
      </c>
      <c r="K101" s="877" t="s">
        <v>81</v>
      </c>
      <c r="L101" s="877" t="s">
        <v>81</v>
      </c>
      <c r="M101" s="878">
        <f t="shared" si="47"/>
        <v>0</v>
      </c>
      <c r="N101" s="877" t="s">
        <v>81</v>
      </c>
      <c r="O101" s="864"/>
      <c r="P101" s="876">
        <v>200</v>
      </c>
      <c r="Q101" s="876">
        <v>9.9999999999999995E-7</v>
      </c>
      <c r="R101" s="877" t="s">
        <v>81</v>
      </c>
      <c r="S101" s="877" t="s">
        <v>81</v>
      </c>
      <c r="T101" s="878">
        <f t="shared" si="48"/>
        <v>0</v>
      </c>
      <c r="U101" s="877" t="s">
        <v>81</v>
      </c>
    </row>
    <row r="102" spans="1:21" x14ac:dyDescent="0.2">
      <c r="A102" s="862"/>
      <c r="B102" s="876">
        <v>220</v>
      </c>
      <c r="C102" s="876">
        <v>9.9999999999999995E-7</v>
      </c>
      <c r="D102" s="877" t="s">
        <v>81</v>
      </c>
      <c r="E102" s="877" t="s">
        <v>81</v>
      </c>
      <c r="F102" s="878">
        <f t="shared" si="46"/>
        <v>0</v>
      </c>
      <c r="G102" s="869" t="s">
        <v>81</v>
      </c>
      <c r="H102" s="864"/>
      <c r="I102" s="876">
        <v>220</v>
      </c>
      <c r="J102" s="876">
        <v>9.9999999999999995E-7</v>
      </c>
      <c r="K102" s="877" t="s">
        <v>81</v>
      </c>
      <c r="L102" s="877" t="s">
        <v>81</v>
      </c>
      <c r="M102" s="878">
        <f t="shared" si="47"/>
        <v>0</v>
      </c>
      <c r="N102" s="877" t="s">
        <v>81</v>
      </c>
      <c r="O102" s="864"/>
      <c r="P102" s="876">
        <v>220</v>
      </c>
      <c r="Q102" s="876">
        <v>9.9999999999999995E-7</v>
      </c>
      <c r="R102" s="877" t="s">
        <v>81</v>
      </c>
      <c r="S102" s="877" t="s">
        <v>81</v>
      </c>
      <c r="T102" s="878">
        <f t="shared" si="48"/>
        <v>0</v>
      </c>
      <c r="U102" s="877" t="s">
        <v>81</v>
      </c>
    </row>
    <row r="103" spans="1:21" x14ac:dyDescent="0.2">
      <c r="A103" s="862"/>
      <c r="B103" s="876">
        <v>230</v>
      </c>
      <c r="C103" s="876">
        <v>-0.11</v>
      </c>
      <c r="D103" s="877" t="s">
        <v>81</v>
      </c>
      <c r="E103" s="877" t="s">
        <v>81</v>
      </c>
      <c r="F103" s="878">
        <f t="shared" si="46"/>
        <v>0</v>
      </c>
      <c r="G103" s="869" t="s">
        <v>81</v>
      </c>
      <c r="H103" s="864"/>
      <c r="I103" s="876">
        <v>230</v>
      </c>
      <c r="J103" s="876">
        <v>9.9999999999999995E-7</v>
      </c>
      <c r="K103" s="877" t="s">
        <v>81</v>
      </c>
      <c r="L103" s="877" t="s">
        <v>81</v>
      </c>
      <c r="M103" s="878">
        <f t="shared" si="47"/>
        <v>0</v>
      </c>
      <c r="N103" s="877" t="s">
        <v>81</v>
      </c>
      <c r="O103" s="864"/>
      <c r="P103" s="876">
        <v>230</v>
      </c>
      <c r="Q103" s="876">
        <v>9.9999999999999995E-7</v>
      </c>
      <c r="R103" s="877" t="s">
        <v>81</v>
      </c>
      <c r="S103" s="877" t="s">
        <v>81</v>
      </c>
      <c r="T103" s="878">
        <f t="shared" si="48"/>
        <v>0</v>
      </c>
      <c r="U103" s="877" t="s">
        <v>81</v>
      </c>
    </row>
    <row r="104" spans="1:21" x14ac:dyDescent="0.2">
      <c r="A104" s="862"/>
      <c r="B104" s="876">
        <v>250</v>
      </c>
      <c r="C104" s="876">
        <v>-0.11</v>
      </c>
      <c r="D104" s="877" t="s">
        <v>81</v>
      </c>
      <c r="E104" s="877" t="s">
        <v>81</v>
      </c>
      <c r="F104" s="878">
        <f t="shared" si="46"/>
        <v>0</v>
      </c>
      <c r="G104" s="869" t="s">
        <v>81</v>
      </c>
      <c r="H104" s="864"/>
      <c r="I104" s="876">
        <v>250</v>
      </c>
      <c r="J104" s="876">
        <v>9.9999999999999995E-7</v>
      </c>
      <c r="K104" s="877" t="s">
        <v>81</v>
      </c>
      <c r="L104" s="877" t="s">
        <v>81</v>
      </c>
      <c r="M104" s="878">
        <f t="shared" si="47"/>
        <v>0</v>
      </c>
      <c r="N104" s="877" t="s">
        <v>81</v>
      </c>
      <c r="O104" s="864"/>
      <c r="P104" s="876">
        <v>250</v>
      </c>
      <c r="Q104" s="876">
        <v>9.9999999999999995E-7</v>
      </c>
      <c r="R104" s="877" t="s">
        <v>81</v>
      </c>
      <c r="S104" s="877" t="s">
        <v>81</v>
      </c>
      <c r="T104" s="878">
        <f t="shared" si="48"/>
        <v>0</v>
      </c>
      <c r="U104" s="877" t="s">
        <v>81</v>
      </c>
    </row>
    <row r="105" spans="1:21" ht="12.95" customHeight="1" x14ac:dyDescent="0.2">
      <c r="A105" s="862"/>
      <c r="B105" s="881" t="s">
        <v>180</v>
      </c>
      <c r="C105" s="881"/>
      <c r="D105" s="881"/>
      <c r="E105" s="881"/>
      <c r="F105" s="866" t="s">
        <v>162</v>
      </c>
      <c r="G105" s="866" t="s">
        <v>158</v>
      </c>
      <c r="H105" s="864"/>
      <c r="I105" s="881" t="str">
        <f>B105</f>
        <v>Current Leakage</v>
      </c>
      <c r="J105" s="881"/>
      <c r="K105" s="881"/>
      <c r="L105" s="881"/>
      <c r="M105" s="866" t="s">
        <v>162</v>
      </c>
      <c r="N105" s="866" t="s">
        <v>158</v>
      </c>
      <c r="O105" s="864"/>
      <c r="P105" s="881" t="str">
        <f>B105</f>
        <v>Current Leakage</v>
      </c>
      <c r="Q105" s="881"/>
      <c r="R105" s="881"/>
      <c r="S105" s="881"/>
      <c r="T105" s="866" t="s">
        <v>162</v>
      </c>
      <c r="U105" s="866" t="s">
        <v>158</v>
      </c>
    </row>
    <row r="106" spans="1:21" x14ac:dyDescent="0.2">
      <c r="A106" s="862"/>
      <c r="B106" s="867" t="s">
        <v>181</v>
      </c>
      <c r="C106" s="867">
        <f>C98</f>
        <v>2021</v>
      </c>
      <c r="D106" s="867" t="str">
        <f>D98</f>
        <v>-</v>
      </c>
      <c r="E106" s="867" t="str">
        <f>E98</f>
        <v>-</v>
      </c>
      <c r="F106" s="866"/>
      <c r="G106" s="866"/>
      <c r="H106" s="864"/>
      <c r="I106" s="867" t="s">
        <v>181</v>
      </c>
      <c r="J106" s="867" t="str">
        <f>J98</f>
        <v>-</v>
      </c>
      <c r="K106" s="867" t="str">
        <f>K98</f>
        <v>-</v>
      </c>
      <c r="L106" s="867" t="str">
        <f>L98</f>
        <v>-</v>
      </c>
      <c r="M106" s="866"/>
      <c r="N106" s="866"/>
      <c r="O106" s="864"/>
      <c r="P106" s="867" t="s">
        <v>181</v>
      </c>
      <c r="Q106" s="867" t="str">
        <f>Q98</f>
        <v>-</v>
      </c>
      <c r="R106" s="867" t="str">
        <f>R98</f>
        <v>-</v>
      </c>
      <c r="S106" s="867" t="str">
        <f>S98</f>
        <v>-</v>
      </c>
      <c r="T106" s="866"/>
      <c r="U106" s="866"/>
    </row>
    <row r="107" spans="1:21" x14ac:dyDescent="0.2">
      <c r="A107" s="862"/>
      <c r="B107" s="876">
        <v>0</v>
      </c>
      <c r="C107" s="876">
        <v>9.9999999999999995E-7</v>
      </c>
      <c r="D107" s="869" t="s">
        <v>81</v>
      </c>
      <c r="E107" s="877" t="s">
        <v>81</v>
      </c>
      <c r="F107" s="878">
        <f>0.5*(MAX(C107:E107)-MIN(C107:E107))</f>
        <v>0</v>
      </c>
      <c r="G107" s="869" t="s">
        <v>81</v>
      </c>
      <c r="H107" s="864"/>
      <c r="I107" s="876">
        <v>0</v>
      </c>
      <c r="J107" s="876">
        <v>9.9999999999999995E-7</v>
      </c>
      <c r="K107" s="869" t="s">
        <v>81</v>
      </c>
      <c r="L107" s="877" t="s">
        <v>81</v>
      </c>
      <c r="M107" s="878">
        <f>0.5*(MAX(J107:L107)-MIN(J107:L107))</f>
        <v>0</v>
      </c>
      <c r="N107" s="869" t="s">
        <v>81</v>
      </c>
      <c r="O107" s="864"/>
      <c r="P107" s="876">
        <v>0</v>
      </c>
      <c r="Q107" s="876">
        <v>9.9999999999999995E-7</v>
      </c>
      <c r="R107" s="869" t="s">
        <v>81</v>
      </c>
      <c r="S107" s="877" t="s">
        <v>81</v>
      </c>
      <c r="T107" s="878">
        <f>0.5*(MAX(Q107:S107)-MIN(Q107:S107))</f>
        <v>0</v>
      </c>
      <c r="U107" s="869" t="s">
        <v>81</v>
      </c>
    </row>
    <row r="108" spans="1:21" x14ac:dyDescent="0.2">
      <c r="A108" s="862"/>
      <c r="B108" s="876">
        <v>50</v>
      </c>
      <c r="C108" s="876">
        <v>0.4</v>
      </c>
      <c r="D108" s="877" t="s">
        <v>81</v>
      </c>
      <c r="E108" s="877" t="s">
        <v>81</v>
      </c>
      <c r="F108" s="878">
        <f t="shared" ref="F108:F112" si="49">0.5*(MAX(C108:E108)-MIN(C108:E108))</f>
        <v>0</v>
      </c>
      <c r="G108" s="869" t="s">
        <v>81</v>
      </c>
      <c r="H108" s="864"/>
      <c r="I108" s="876">
        <v>50</v>
      </c>
      <c r="J108" s="876">
        <v>9.9999999999999995E-7</v>
      </c>
      <c r="K108" s="877" t="s">
        <v>81</v>
      </c>
      <c r="L108" s="877" t="s">
        <v>81</v>
      </c>
      <c r="M108" s="878">
        <f t="shared" ref="M108:M112" si="50">0.5*(MAX(J108:L108)-MIN(J108:L108))</f>
        <v>0</v>
      </c>
      <c r="N108" s="877" t="s">
        <v>81</v>
      </c>
      <c r="O108" s="864"/>
      <c r="P108" s="876">
        <v>50</v>
      </c>
      <c r="Q108" s="876">
        <v>9.9999999999999995E-7</v>
      </c>
      <c r="R108" s="877" t="s">
        <v>81</v>
      </c>
      <c r="S108" s="877" t="s">
        <v>81</v>
      </c>
      <c r="T108" s="878">
        <f t="shared" ref="T108:T112" si="51">0.5*(MAX(Q108:S108)-MIN(Q108:S108))</f>
        <v>0</v>
      </c>
      <c r="U108" s="877" t="s">
        <v>81</v>
      </c>
    </row>
    <row r="109" spans="1:21" x14ac:dyDescent="0.2">
      <c r="A109" s="862"/>
      <c r="B109" s="876">
        <v>100</v>
      </c>
      <c r="C109" s="876">
        <v>0.4</v>
      </c>
      <c r="D109" s="877" t="s">
        <v>81</v>
      </c>
      <c r="E109" s="877" t="s">
        <v>81</v>
      </c>
      <c r="F109" s="878">
        <f t="shared" si="49"/>
        <v>0</v>
      </c>
      <c r="G109" s="869" t="s">
        <v>81</v>
      </c>
      <c r="H109" s="864"/>
      <c r="I109" s="876">
        <v>100</v>
      </c>
      <c r="J109" s="876">
        <v>9.9999999999999995E-7</v>
      </c>
      <c r="K109" s="877" t="s">
        <v>81</v>
      </c>
      <c r="L109" s="877" t="s">
        <v>81</v>
      </c>
      <c r="M109" s="878">
        <f t="shared" si="50"/>
        <v>0</v>
      </c>
      <c r="N109" s="877" t="s">
        <v>81</v>
      </c>
      <c r="O109" s="864"/>
      <c r="P109" s="876">
        <v>100</v>
      </c>
      <c r="Q109" s="876">
        <v>9.9999999999999995E-7</v>
      </c>
      <c r="R109" s="877" t="s">
        <v>81</v>
      </c>
      <c r="S109" s="877" t="s">
        <v>81</v>
      </c>
      <c r="T109" s="878">
        <f t="shared" si="51"/>
        <v>0</v>
      </c>
      <c r="U109" s="877" t="s">
        <v>81</v>
      </c>
    </row>
    <row r="110" spans="1:21" x14ac:dyDescent="0.2">
      <c r="A110" s="862"/>
      <c r="B110" s="876">
        <v>200</v>
      </c>
      <c r="C110" s="876">
        <v>0.4</v>
      </c>
      <c r="D110" s="877" t="s">
        <v>81</v>
      </c>
      <c r="E110" s="877" t="s">
        <v>81</v>
      </c>
      <c r="F110" s="878">
        <f t="shared" si="49"/>
        <v>0</v>
      </c>
      <c r="G110" s="869" t="s">
        <v>81</v>
      </c>
      <c r="H110" s="864"/>
      <c r="I110" s="876">
        <v>200</v>
      </c>
      <c r="J110" s="876">
        <v>9.9999999999999995E-7</v>
      </c>
      <c r="K110" s="877" t="s">
        <v>81</v>
      </c>
      <c r="L110" s="877" t="s">
        <v>81</v>
      </c>
      <c r="M110" s="878">
        <f t="shared" si="50"/>
        <v>0</v>
      </c>
      <c r="N110" s="877" t="s">
        <v>81</v>
      </c>
      <c r="O110" s="864"/>
      <c r="P110" s="876">
        <v>200</v>
      </c>
      <c r="Q110" s="876">
        <v>9.9999999999999995E-7</v>
      </c>
      <c r="R110" s="877" t="s">
        <v>81</v>
      </c>
      <c r="S110" s="877" t="s">
        <v>81</v>
      </c>
      <c r="T110" s="878">
        <f t="shared" si="51"/>
        <v>0</v>
      </c>
      <c r="U110" s="877" t="s">
        <v>81</v>
      </c>
    </row>
    <row r="111" spans="1:21" x14ac:dyDescent="0.2">
      <c r="A111" s="862"/>
      <c r="B111" s="876">
        <v>500</v>
      </c>
      <c r="C111" s="876">
        <v>1.5</v>
      </c>
      <c r="D111" s="877" t="s">
        <v>81</v>
      </c>
      <c r="E111" s="877" t="s">
        <v>81</v>
      </c>
      <c r="F111" s="878">
        <f t="shared" si="49"/>
        <v>0</v>
      </c>
      <c r="G111" s="869" t="s">
        <v>81</v>
      </c>
      <c r="H111" s="864"/>
      <c r="I111" s="876">
        <v>500</v>
      </c>
      <c r="J111" s="876">
        <v>9.9999999999999995E-7</v>
      </c>
      <c r="K111" s="877" t="s">
        <v>81</v>
      </c>
      <c r="L111" s="877" t="s">
        <v>81</v>
      </c>
      <c r="M111" s="878">
        <f t="shared" si="50"/>
        <v>0</v>
      </c>
      <c r="N111" s="877" t="s">
        <v>81</v>
      </c>
      <c r="O111" s="864"/>
      <c r="P111" s="876">
        <v>500</v>
      </c>
      <c r="Q111" s="876">
        <v>9.9999999999999995E-7</v>
      </c>
      <c r="R111" s="877" t="s">
        <v>81</v>
      </c>
      <c r="S111" s="877" t="s">
        <v>81</v>
      </c>
      <c r="T111" s="878">
        <f t="shared" si="51"/>
        <v>0</v>
      </c>
      <c r="U111" s="877" t="s">
        <v>81</v>
      </c>
    </row>
    <row r="112" spans="1:21" x14ac:dyDescent="0.2">
      <c r="A112" s="862"/>
      <c r="B112" s="876">
        <v>1000</v>
      </c>
      <c r="C112" s="876">
        <v>2</v>
      </c>
      <c r="D112" s="877" t="s">
        <v>81</v>
      </c>
      <c r="E112" s="877" t="s">
        <v>81</v>
      </c>
      <c r="F112" s="878">
        <f t="shared" si="49"/>
        <v>0</v>
      </c>
      <c r="G112" s="869" t="s">
        <v>81</v>
      </c>
      <c r="H112" s="864"/>
      <c r="I112" s="876">
        <v>1000</v>
      </c>
      <c r="J112" s="876">
        <v>9.9999999999999995E-7</v>
      </c>
      <c r="K112" s="877" t="s">
        <v>81</v>
      </c>
      <c r="L112" s="877" t="s">
        <v>81</v>
      </c>
      <c r="M112" s="878">
        <f t="shared" si="50"/>
        <v>0</v>
      </c>
      <c r="N112" s="877" t="s">
        <v>81</v>
      </c>
      <c r="O112" s="864"/>
      <c r="P112" s="876">
        <v>1000</v>
      </c>
      <c r="Q112" s="876">
        <v>9.9999999999999995E-7</v>
      </c>
      <c r="R112" s="877" t="s">
        <v>81</v>
      </c>
      <c r="S112" s="877" t="s">
        <v>81</v>
      </c>
      <c r="T112" s="878">
        <f t="shared" si="51"/>
        <v>0</v>
      </c>
      <c r="U112" s="877" t="s">
        <v>81</v>
      </c>
    </row>
    <row r="113" spans="1:21" x14ac:dyDescent="0.2">
      <c r="A113" s="862"/>
      <c r="B113" s="881" t="s">
        <v>182</v>
      </c>
      <c r="C113" s="881"/>
      <c r="D113" s="881"/>
      <c r="E113" s="881"/>
      <c r="F113" s="866" t="s">
        <v>162</v>
      </c>
      <c r="G113" s="866" t="s">
        <v>158</v>
      </c>
      <c r="H113" s="864"/>
      <c r="I113" s="881" t="s">
        <v>182</v>
      </c>
      <c r="J113" s="881"/>
      <c r="K113" s="881"/>
      <c r="L113" s="881"/>
      <c r="M113" s="866" t="s">
        <v>162</v>
      </c>
      <c r="N113" s="866" t="s">
        <v>158</v>
      </c>
      <c r="O113" s="864"/>
      <c r="P113" s="881" t="str">
        <f>B113</f>
        <v>Main-PE</v>
      </c>
      <c r="Q113" s="881"/>
      <c r="R113" s="881"/>
      <c r="S113" s="881"/>
      <c r="T113" s="866" t="s">
        <v>162</v>
      </c>
      <c r="U113" s="866" t="s">
        <v>158</v>
      </c>
    </row>
    <row r="114" spans="1:21" x14ac:dyDescent="0.2">
      <c r="A114" s="862"/>
      <c r="B114" s="867" t="s">
        <v>633</v>
      </c>
      <c r="C114" s="867">
        <f>C98</f>
        <v>2021</v>
      </c>
      <c r="D114" s="867" t="str">
        <f>D98</f>
        <v>-</v>
      </c>
      <c r="E114" s="867" t="str">
        <f>E98</f>
        <v>-</v>
      </c>
      <c r="F114" s="866"/>
      <c r="G114" s="866"/>
      <c r="H114" s="864"/>
      <c r="I114" s="867" t="s">
        <v>633</v>
      </c>
      <c r="J114" s="867" t="str">
        <f>J98</f>
        <v>-</v>
      </c>
      <c r="K114" s="867" t="str">
        <f>K98</f>
        <v>-</v>
      </c>
      <c r="L114" s="867" t="str">
        <f>L98</f>
        <v>-</v>
      </c>
      <c r="M114" s="866"/>
      <c r="N114" s="866"/>
      <c r="O114" s="864"/>
      <c r="P114" s="867" t="s">
        <v>633</v>
      </c>
      <c r="Q114" s="867" t="str">
        <f>Q98</f>
        <v>-</v>
      </c>
      <c r="R114" s="867" t="str">
        <f>R98</f>
        <v>-</v>
      </c>
      <c r="S114" s="867" t="str">
        <f>S98</f>
        <v>-</v>
      </c>
      <c r="T114" s="866"/>
      <c r="U114" s="866"/>
    </row>
    <row r="115" spans="1:21" x14ac:dyDescent="0.2">
      <c r="A115" s="862"/>
      <c r="B115" s="876">
        <v>10</v>
      </c>
      <c r="C115" s="876">
        <v>9.9999999999999995E-7</v>
      </c>
      <c r="D115" s="877" t="s">
        <v>81</v>
      </c>
      <c r="E115" s="877" t="s">
        <v>81</v>
      </c>
      <c r="F115" s="878">
        <f>0.5*(MAX(C115:E115)-MIN(C115:E115))</f>
        <v>0</v>
      </c>
      <c r="G115" s="877" t="s">
        <v>81</v>
      </c>
      <c r="H115" s="864"/>
      <c r="I115" s="876">
        <v>10</v>
      </c>
      <c r="J115" s="876">
        <v>9.9999999999999995E-7</v>
      </c>
      <c r="K115" s="877" t="s">
        <v>81</v>
      </c>
      <c r="L115" s="877" t="s">
        <v>81</v>
      </c>
      <c r="M115" s="878">
        <f>0.5*(MAX(J115:L115)-MIN(J115:L115))</f>
        <v>0</v>
      </c>
      <c r="N115" s="877" t="s">
        <v>81</v>
      </c>
      <c r="O115" s="864"/>
      <c r="P115" s="876">
        <v>10</v>
      </c>
      <c r="Q115" s="876">
        <v>9.9999999999999995E-7</v>
      </c>
      <c r="R115" s="877" t="s">
        <v>81</v>
      </c>
      <c r="S115" s="877" t="s">
        <v>81</v>
      </c>
      <c r="T115" s="878">
        <f>0.5*(MAX(Q115:S115)-MIN(Q115:S115))</f>
        <v>0</v>
      </c>
      <c r="U115" s="877" t="s">
        <v>81</v>
      </c>
    </row>
    <row r="116" spans="1:21" x14ac:dyDescent="0.2">
      <c r="A116" s="862"/>
      <c r="B116" s="876">
        <v>20</v>
      </c>
      <c r="C116" s="876">
        <v>0.1</v>
      </c>
      <c r="D116" s="877" t="s">
        <v>81</v>
      </c>
      <c r="E116" s="877" t="s">
        <v>81</v>
      </c>
      <c r="F116" s="878">
        <f t="shared" ref="F116:F118" si="52">0.5*(MAX(C116:E116)-MIN(C116:E116))</f>
        <v>0</v>
      </c>
      <c r="G116" s="877" t="s">
        <v>81</v>
      </c>
      <c r="H116" s="864"/>
      <c r="I116" s="876">
        <v>20</v>
      </c>
      <c r="J116" s="876">
        <v>9.9999999999999995E-7</v>
      </c>
      <c r="K116" s="877" t="s">
        <v>81</v>
      </c>
      <c r="L116" s="877" t="s">
        <v>81</v>
      </c>
      <c r="M116" s="878">
        <f t="shared" ref="M116:M118" si="53">0.5*(MAX(J116:L116)-MIN(J116:L116))</f>
        <v>0</v>
      </c>
      <c r="N116" s="877" t="s">
        <v>81</v>
      </c>
      <c r="O116" s="864"/>
      <c r="P116" s="876">
        <v>20</v>
      </c>
      <c r="Q116" s="876">
        <v>9.9999999999999995E-7</v>
      </c>
      <c r="R116" s="877" t="s">
        <v>81</v>
      </c>
      <c r="S116" s="877" t="s">
        <v>81</v>
      </c>
      <c r="T116" s="878">
        <f t="shared" ref="T116:T118" si="54">0.5*(MAX(Q116:S116)-MIN(Q116:S116))</f>
        <v>0</v>
      </c>
      <c r="U116" s="877" t="s">
        <v>81</v>
      </c>
    </row>
    <row r="117" spans="1:21" x14ac:dyDescent="0.2">
      <c r="A117" s="862"/>
      <c r="B117" s="876">
        <v>50</v>
      </c>
      <c r="C117" s="876">
        <v>0.4</v>
      </c>
      <c r="D117" s="877" t="s">
        <v>81</v>
      </c>
      <c r="E117" s="877" t="s">
        <v>81</v>
      </c>
      <c r="F117" s="878">
        <f t="shared" si="52"/>
        <v>0</v>
      </c>
      <c r="G117" s="877" t="s">
        <v>81</v>
      </c>
      <c r="H117" s="864"/>
      <c r="I117" s="876">
        <v>50</v>
      </c>
      <c r="J117" s="876">
        <v>9.9999999999999995E-7</v>
      </c>
      <c r="K117" s="877" t="s">
        <v>81</v>
      </c>
      <c r="L117" s="877" t="s">
        <v>81</v>
      </c>
      <c r="M117" s="878">
        <f t="shared" si="53"/>
        <v>0</v>
      </c>
      <c r="N117" s="877" t="s">
        <v>81</v>
      </c>
      <c r="O117" s="864"/>
      <c r="P117" s="876">
        <v>50</v>
      </c>
      <c r="Q117" s="876">
        <v>9.9999999999999995E-7</v>
      </c>
      <c r="R117" s="877" t="s">
        <v>81</v>
      </c>
      <c r="S117" s="877" t="s">
        <v>81</v>
      </c>
      <c r="T117" s="878">
        <f t="shared" si="54"/>
        <v>0</v>
      </c>
      <c r="U117" s="877" t="s">
        <v>81</v>
      </c>
    </row>
    <row r="118" spans="1:21" x14ac:dyDescent="0.2">
      <c r="A118" s="862"/>
      <c r="B118" s="876">
        <v>100</v>
      </c>
      <c r="C118" s="876">
        <v>1.4</v>
      </c>
      <c r="D118" s="877" t="s">
        <v>81</v>
      </c>
      <c r="E118" s="877" t="s">
        <v>81</v>
      </c>
      <c r="F118" s="878">
        <f t="shared" si="52"/>
        <v>0</v>
      </c>
      <c r="G118" s="877" t="s">
        <v>81</v>
      </c>
      <c r="H118" s="864"/>
      <c r="I118" s="876">
        <v>100</v>
      </c>
      <c r="J118" s="876">
        <v>9.9999999999999995E-7</v>
      </c>
      <c r="K118" s="877" t="s">
        <v>81</v>
      </c>
      <c r="L118" s="877" t="s">
        <v>81</v>
      </c>
      <c r="M118" s="878">
        <f t="shared" si="53"/>
        <v>0</v>
      </c>
      <c r="N118" s="877" t="s">
        <v>81</v>
      </c>
      <c r="O118" s="864"/>
      <c r="P118" s="876">
        <v>100</v>
      </c>
      <c r="Q118" s="876">
        <v>9.9999999999999995E-7</v>
      </c>
      <c r="R118" s="877" t="s">
        <v>81</v>
      </c>
      <c r="S118" s="877" t="s">
        <v>81</v>
      </c>
      <c r="T118" s="878">
        <f t="shared" si="54"/>
        <v>0</v>
      </c>
      <c r="U118" s="877" t="s">
        <v>81</v>
      </c>
    </row>
    <row r="119" spans="1:21" ht="12.95" customHeight="1" x14ac:dyDescent="0.2">
      <c r="A119" s="862"/>
      <c r="B119" s="881" t="s">
        <v>183</v>
      </c>
      <c r="C119" s="881"/>
      <c r="D119" s="881"/>
      <c r="E119" s="881"/>
      <c r="F119" s="866" t="s">
        <v>162</v>
      </c>
      <c r="G119" s="866" t="s">
        <v>158</v>
      </c>
      <c r="H119" s="864"/>
      <c r="I119" s="881" t="s">
        <v>183</v>
      </c>
      <c r="J119" s="881"/>
      <c r="K119" s="881"/>
      <c r="L119" s="881"/>
      <c r="M119" s="866" t="s">
        <v>162</v>
      </c>
      <c r="N119" s="866" t="s">
        <v>158</v>
      </c>
      <c r="O119" s="864"/>
      <c r="P119" s="881" t="str">
        <f>B119</f>
        <v>Resistance</v>
      </c>
      <c r="Q119" s="881"/>
      <c r="R119" s="881"/>
      <c r="S119" s="881"/>
      <c r="T119" s="866" t="s">
        <v>162</v>
      </c>
      <c r="U119" s="866" t="s">
        <v>158</v>
      </c>
    </row>
    <row r="120" spans="1:21" x14ac:dyDescent="0.2">
      <c r="A120" s="862"/>
      <c r="B120" s="867" t="s">
        <v>634</v>
      </c>
      <c r="C120" s="867">
        <f>C98</f>
        <v>2021</v>
      </c>
      <c r="D120" s="867" t="str">
        <f>D98</f>
        <v>-</v>
      </c>
      <c r="E120" s="867" t="str">
        <f>E98</f>
        <v>-</v>
      </c>
      <c r="F120" s="866"/>
      <c r="G120" s="866"/>
      <c r="H120" s="864"/>
      <c r="I120" s="867" t="s">
        <v>634</v>
      </c>
      <c r="J120" s="867" t="str">
        <f>J98</f>
        <v>-</v>
      </c>
      <c r="K120" s="867" t="str">
        <f>K98</f>
        <v>-</v>
      </c>
      <c r="L120" s="867" t="str">
        <f>L98</f>
        <v>-</v>
      </c>
      <c r="M120" s="866"/>
      <c r="N120" s="866"/>
      <c r="O120" s="864"/>
      <c r="P120" s="867" t="s">
        <v>634</v>
      </c>
      <c r="Q120" s="867" t="str">
        <f>Q98</f>
        <v>-</v>
      </c>
      <c r="R120" s="867" t="str">
        <f>R98</f>
        <v>-</v>
      </c>
      <c r="S120" s="867" t="str">
        <f>S98</f>
        <v>-</v>
      </c>
      <c r="T120" s="866"/>
      <c r="U120" s="866"/>
    </row>
    <row r="121" spans="1:21" x14ac:dyDescent="0.2">
      <c r="A121" s="862"/>
      <c r="B121" s="876">
        <v>0</v>
      </c>
      <c r="C121" s="876">
        <v>9.9999999999999995E-7</v>
      </c>
      <c r="D121" s="877" t="s">
        <v>81</v>
      </c>
      <c r="E121" s="877" t="s">
        <v>81</v>
      </c>
      <c r="F121" s="878">
        <f>0.5*(MAX(C121:E121)-MIN(C121:E121))</f>
        <v>0</v>
      </c>
      <c r="G121" s="877" t="s">
        <v>81</v>
      </c>
      <c r="H121" s="864"/>
      <c r="I121" s="876">
        <v>0.01</v>
      </c>
      <c r="J121" s="876">
        <v>9.9999999999999995E-7</v>
      </c>
      <c r="K121" s="877" t="s">
        <v>81</v>
      </c>
      <c r="L121" s="877" t="s">
        <v>81</v>
      </c>
      <c r="M121" s="878">
        <f>0.5*(MAX(J121:L121)-MIN(J121:L121))</f>
        <v>0</v>
      </c>
      <c r="N121" s="877" t="s">
        <v>81</v>
      </c>
      <c r="O121" s="864"/>
      <c r="P121" s="876">
        <v>0.01</v>
      </c>
      <c r="Q121" s="876">
        <v>9.9999999999999995E-7</v>
      </c>
      <c r="R121" s="877" t="s">
        <v>81</v>
      </c>
      <c r="S121" s="877" t="s">
        <v>81</v>
      </c>
      <c r="T121" s="878">
        <f>0.5*(MAX(Q121:S121)-MIN(Q121:S121))</f>
        <v>0</v>
      </c>
      <c r="U121" s="877" t="s">
        <v>81</v>
      </c>
    </row>
    <row r="122" spans="1:21" x14ac:dyDescent="0.2">
      <c r="A122" s="862"/>
      <c r="B122" s="876">
        <v>0.1</v>
      </c>
      <c r="C122" s="876">
        <v>-2E-3</v>
      </c>
      <c r="D122" s="877" t="s">
        <v>81</v>
      </c>
      <c r="E122" s="877" t="s">
        <v>81</v>
      </c>
      <c r="F122" s="878">
        <f t="shared" ref="F122:F124" si="55">0.5*(MAX(C122:E122)-MIN(C122:E122))</f>
        <v>0</v>
      </c>
      <c r="G122" s="877" t="s">
        <v>81</v>
      </c>
      <c r="H122" s="864"/>
      <c r="I122" s="876">
        <v>0.1</v>
      </c>
      <c r="J122" s="876">
        <v>9.9999999999999995E-7</v>
      </c>
      <c r="K122" s="877" t="s">
        <v>81</v>
      </c>
      <c r="L122" s="877" t="s">
        <v>81</v>
      </c>
      <c r="M122" s="878">
        <f t="shared" ref="M122:M124" si="56">0.5*(MAX(J122:L122)-MIN(J122:L122))</f>
        <v>0</v>
      </c>
      <c r="N122" s="877" t="s">
        <v>81</v>
      </c>
      <c r="O122" s="864"/>
      <c r="P122" s="876">
        <v>0.1</v>
      </c>
      <c r="Q122" s="876">
        <v>9.9999999999999995E-7</v>
      </c>
      <c r="R122" s="877" t="s">
        <v>81</v>
      </c>
      <c r="S122" s="877" t="s">
        <v>81</v>
      </c>
      <c r="T122" s="878">
        <f t="shared" ref="T122:T124" si="57">0.5*(MAX(Q122:S122)-MIN(Q122:S122))</f>
        <v>0</v>
      </c>
      <c r="U122" s="877" t="s">
        <v>81</v>
      </c>
    </row>
    <row r="123" spans="1:21" x14ac:dyDescent="0.2">
      <c r="A123" s="862"/>
      <c r="B123" s="876">
        <v>1</v>
      </c>
      <c r="C123" s="876">
        <v>-8.0000000000000002E-3</v>
      </c>
      <c r="D123" s="877" t="s">
        <v>81</v>
      </c>
      <c r="E123" s="877" t="s">
        <v>81</v>
      </c>
      <c r="F123" s="878">
        <f t="shared" si="55"/>
        <v>0</v>
      </c>
      <c r="G123" s="877" t="s">
        <v>81</v>
      </c>
      <c r="H123" s="864"/>
      <c r="I123" s="876">
        <v>1</v>
      </c>
      <c r="J123" s="876">
        <v>9.9999999999999995E-7</v>
      </c>
      <c r="K123" s="877" t="s">
        <v>81</v>
      </c>
      <c r="L123" s="877" t="s">
        <v>81</v>
      </c>
      <c r="M123" s="878">
        <f t="shared" si="56"/>
        <v>0</v>
      </c>
      <c r="N123" s="877" t="s">
        <v>81</v>
      </c>
      <c r="O123" s="864"/>
      <c r="P123" s="876">
        <v>1</v>
      </c>
      <c r="Q123" s="876">
        <v>9.9999999999999995E-7</v>
      </c>
      <c r="R123" s="877" t="s">
        <v>81</v>
      </c>
      <c r="S123" s="877" t="s">
        <v>81</v>
      </c>
      <c r="T123" s="878">
        <f t="shared" si="57"/>
        <v>0</v>
      </c>
      <c r="U123" s="877" t="s">
        <v>81</v>
      </c>
    </row>
    <row r="124" spans="1:21" x14ac:dyDescent="0.2">
      <c r="A124" s="862"/>
      <c r="B124" s="876">
        <v>2</v>
      </c>
      <c r="C124" s="876">
        <v>-7.0000000000000001E-3</v>
      </c>
      <c r="D124" s="877" t="s">
        <v>81</v>
      </c>
      <c r="E124" s="877" t="s">
        <v>81</v>
      </c>
      <c r="F124" s="878">
        <f t="shared" si="55"/>
        <v>0</v>
      </c>
      <c r="G124" s="877" t="s">
        <v>81</v>
      </c>
      <c r="H124" s="864"/>
      <c r="I124" s="876">
        <v>2</v>
      </c>
      <c r="J124" s="876">
        <v>9.9999999999999995E-7</v>
      </c>
      <c r="K124" s="877" t="s">
        <v>81</v>
      </c>
      <c r="L124" s="877" t="s">
        <v>81</v>
      </c>
      <c r="M124" s="878">
        <f t="shared" si="56"/>
        <v>0</v>
      </c>
      <c r="N124" s="877" t="s">
        <v>81</v>
      </c>
      <c r="O124" s="864"/>
      <c r="P124" s="876">
        <v>2</v>
      </c>
      <c r="Q124" s="876">
        <v>9.9999999999999995E-7</v>
      </c>
      <c r="R124" s="877" t="s">
        <v>81</v>
      </c>
      <c r="S124" s="877" t="s">
        <v>81</v>
      </c>
      <c r="T124" s="878">
        <f t="shared" si="57"/>
        <v>0</v>
      </c>
      <c r="U124" s="877" t="s">
        <v>81</v>
      </c>
    </row>
    <row r="125" spans="1:21" x14ac:dyDescent="0.2">
      <c r="A125" s="902"/>
      <c r="B125" s="903"/>
      <c r="C125" s="903"/>
      <c r="D125" s="903"/>
      <c r="E125" s="903"/>
      <c r="F125" s="903"/>
      <c r="G125" s="903"/>
      <c r="H125" s="903"/>
      <c r="I125" s="903"/>
      <c r="J125" s="903"/>
      <c r="K125" s="903"/>
      <c r="L125" s="903"/>
      <c r="M125" s="903"/>
      <c r="N125" s="903"/>
      <c r="O125" s="903"/>
      <c r="P125" s="903"/>
      <c r="Q125" s="903"/>
      <c r="R125" s="903"/>
      <c r="S125" s="903"/>
      <c r="T125" s="903"/>
      <c r="U125" s="903"/>
    </row>
    <row r="126" spans="1:21" x14ac:dyDescent="0.2">
      <c r="A126" s="902"/>
      <c r="B126" s="903"/>
      <c r="C126" s="903"/>
      <c r="D126" s="903"/>
      <c r="E126" s="903"/>
      <c r="F126" s="903"/>
      <c r="G126" s="903"/>
      <c r="H126" s="903"/>
      <c r="I126" s="903"/>
      <c r="J126" s="903"/>
      <c r="K126" s="903"/>
      <c r="L126" s="903"/>
      <c r="M126" s="903"/>
      <c r="N126" s="903"/>
      <c r="O126" s="903"/>
      <c r="P126" s="903"/>
      <c r="Q126" s="903"/>
      <c r="R126" s="903"/>
      <c r="S126" s="903"/>
      <c r="T126" s="903"/>
      <c r="U126" s="903"/>
    </row>
    <row r="127" spans="1:21" x14ac:dyDescent="0.2">
      <c r="A127" s="904"/>
      <c r="B127" s="894"/>
      <c r="C127" s="894"/>
    </row>
    <row r="128" spans="1:21" x14ac:dyDescent="0.2">
      <c r="A128" s="905" t="s">
        <v>639</v>
      </c>
      <c r="B128" s="906"/>
      <c r="C128" s="907" t="s">
        <v>177</v>
      </c>
      <c r="D128" s="907"/>
      <c r="E128" s="907"/>
      <c r="F128" s="907"/>
      <c r="G128" s="907"/>
      <c r="H128" s="907"/>
      <c r="J128" s="905" t="str">
        <f>A128</f>
        <v>No. Urut</v>
      </c>
      <c r="K128" s="906"/>
      <c r="L128" s="908" t="s">
        <v>177</v>
      </c>
      <c r="M128" s="909"/>
      <c r="N128" s="909"/>
      <c r="O128" s="910"/>
      <c r="P128" s="911"/>
      <c r="Q128" s="911"/>
    </row>
    <row r="129" spans="1:17" ht="12.95" customHeight="1" x14ac:dyDescent="0.2">
      <c r="A129" s="905"/>
      <c r="B129" s="906"/>
      <c r="C129" s="912" t="str">
        <f>B4</f>
        <v>Setting VAC</v>
      </c>
      <c r="D129" s="912"/>
      <c r="E129" s="912"/>
      <c r="F129" s="912"/>
      <c r="G129" s="913" t="s">
        <v>162</v>
      </c>
      <c r="H129" s="913" t="s">
        <v>158</v>
      </c>
      <c r="J129" s="905"/>
      <c r="K129" s="906"/>
      <c r="L129" s="862" t="str">
        <f>B12</f>
        <v>Current Leakage</v>
      </c>
      <c r="M129" s="862"/>
      <c r="N129" s="862"/>
      <c r="O129" s="862"/>
      <c r="P129" s="913" t="s">
        <v>162</v>
      </c>
      <c r="Q129" s="913" t="s">
        <v>158</v>
      </c>
    </row>
    <row r="130" spans="1:17" x14ac:dyDescent="0.2">
      <c r="A130" s="905"/>
      <c r="B130" s="906"/>
      <c r="C130" s="913" t="s">
        <v>179</v>
      </c>
      <c r="D130" s="913"/>
      <c r="E130" s="913"/>
      <c r="F130" s="882"/>
      <c r="G130" s="913"/>
      <c r="H130" s="913"/>
      <c r="J130" s="905"/>
      <c r="K130" s="906"/>
      <c r="L130" s="913" t="s">
        <v>181</v>
      </c>
      <c r="M130" s="913"/>
      <c r="N130" s="913"/>
      <c r="O130" s="882"/>
      <c r="P130" s="913"/>
      <c r="Q130" s="913"/>
    </row>
    <row r="131" spans="1:17" x14ac:dyDescent="0.2">
      <c r="A131" s="905" t="s">
        <v>48</v>
      </c>
      <c r="B131" s="913">
        <v>1</v>
      </c>
      <c r="C131" s="913">
        <f t="shared" ref="C131:H131" si="58">B6</f>
        <v>150</v>
      </c>
      <c r="D131" s="913">
        <f t="shared" si="58"/>
        <v>0.31</v>
      </c>
      <c r="E131" s="913">
        <f t="shared" si="58"/>
        <v>0.76</v>
      </c>
      <c r="F131" s="913" t="str">
        <f t="shared" si="58"/>
        <v>-</v>
      </c>
      <c r="G131" s="913">
        <f t="shared" si="58"/>
        <v>0.22500000000000001</v>
      </c>
      <c r="H131" s="913">
        <f t="shared" si="58"/>
        <v>1.8</v>
      </c>
      <c r="J131" s="905" t="s">
        <v>48</v>
      </c>
      <c r="K131" s="913">
        <v>1</v>
      </c>
      <c r="L131" s="914">
        <f t="shared" ref="L131:Q131" si="59">B14</f>
        <v>0</v>
      </c>
      <c r="M131" s="914">
        <f t="shared" si="59"/>
        <v>9.9999999999999995E-7</v>
      </c>
      <c r="N131" s="914">
        <f t="shared" si="59"/>
        <v>9.9999999999999995E-7</v>
      </c>
      <c r="O131" s="914" t="str">
        <f t="shared" si="59"/>
        <v>-</v>
      </c>
      <c r="P131" s="914">
        <f t="shared" si="59"/>
        <v>9.9999999999999995E-7</v>
      </c>
      <c r="Q131" s="914">
        <f t="shared" si="59"/>
        <v>9.9999999999999995E-7</v>
      </c>
    </row>
    <row r="132" spans="1:17" x14ac:dyDescent="0.2">
      <c r="A132" s="905"/>
      <c r="B132" s="913">
        <v>2</v>
      </c>
      <c r="C132" s="913">
        <f t="shared" ref="C132:H132" si="60">I6</f>
        <v>150</v>
      </c>
      <c r="D132" s="913">
        <f t="shared" si="60"/>
        <v>0.15</v>
      </c>
      <c r="E132" s="913">
        <f t="shared" si="60"/>
        <v>0.23</v>
      </c>
      <c r="F132" s="913" t="str">
        <f t="shared" si="60"/>
        <v>-</v>
      </c>
      <c r="G132" s="913">
        <f t="shared" si="60"/>
        <v>4.0000000000000008E-2</v>
      </c>
      <c r="H132" s="913">
        <f t="shared" si="60"/>
        <v>1.8</v>
      </c>
      <c r="J132" s="905"/>
      <c r="K132" s="913">
        <v>2</v>
      </c>
      <c r="L132" s="914">
        <f t="shared" ref="L132:Q132" si="61">I14</f>
        <v>0</v>
      </c>
      <c r="M132" s="914">
        <f t="shared" si="61"/>
        <v>9.9999999999999995E-7</v>
      </c>
      <c r="N132" s="914">
        <f t="shared" si="61"/>
        <v>9.9999999999999995E-7</v>
      </c>
      <c r="O132" s="914" t="str">
        <f t="shared" si="61"/>
        <v>-</v>
      </c>
      <c r="P132" s="914">
        <f t="shared" si="61"/>
        <v>9.9999999999999995E-7</v>
      </c>
      <c r="Q132" s="914">
        <f t="shared" si="61"/>
        <v>9.9999999999999995E-7</v>
      </c>
    </row>
    <row r="133" spans="1:17" x14ac:dyDescent="0.2">
      <c r="A133" s="905"/>
      <c r="B133" s="913">
        <v>3</v>
      </c>
      <c r="C133" s="913">
        <f t="shared" ref="C133:H133" si="62">P6</f>
        <v>150</v>
      </c>
      <c r="D133" s="913">
        <f t="shared" si="62"/>
        <v>-1.43</v>
      </c>
      <c r="E133" s="913">
        <f t="shared" si="62"/>
        <v>-1.6</v>
      </c>
      <c r="F133" s="913">
        <f t="shared" si="62"/>
        <v>-7.0000000000000007E-2</v>
      </c>
      <c r="G133" s="913">
        <f t="shared" si="62"/>
        <v>0.76500000000000001</v>
      </c>
      <c r="H133" s="913">
        <f t="shared" si="62"/>
        <v>1.8</v>
      </c>
      <c r="J133" s="905"/>
      <c r="K133" s="913">
        <v>3</v>
      </c>
      <c r="L133" s="914">
        <f t="shared" ref="L133:Q133" si="63">P14</f>
        <v>9.9999999999999995E-7</v>
      </c>
      <c r="M133" s="914">
        <f t="shared" si="63"/>
        <v>9.9999999999999995E-7</v>
      </c>
      <c r="N133" s="914">
        <f t="shared" si="63"/>
        <v>9.9999999999999995E-7</v>
      </c>
      <c r="O133" s="914">
        <f t="shared" si="63"/>
        <v>9.9999999999999995E-7</v>
      </c>
      <c r="P133" s="914">
        <f t="shared" si="63"/>
        <v>9.9999999999999995E-7</v>
      </c>
      <c r="Q133" s="914">
        <f t="shared" si="63"/>
        <v>5.8999999999999999E-9</v>
      </c>
    </row>
    <row r="134" spans="1:17" x14ac:dyDescent="0.2">
      <c r="A134" s="905"/>
      <c r="B134" s="913">
        <v>4</v>
      </c>
      <c r="C134" s="913">
        <f t="shared" ref="C134:H134" si="64">B37</f>
        <v>150</v>
      </c>
      <c r="D134" s="913">
        <f t="shared" si="64"/>
        <v>-0.05</v>
      </c>
      <c r="E134" s="913">
        <f t="shared" si="64"/>
        <v>0.11</v>
      </c>
      <c r="F134" s="913" t="str">
        <f t="shared" si="64"/>
        <v>-</v>
      </c>
      <c r="G134" s="913">
        <f t="shared" si="64"/>
        <v>0.08</v>
      </c>
      <c r="H134" s="913">
        <f t="shared" si="64"/>
        <v>1.8</v>
      </c>
      <c r="J134" s="905"/>
      <c r="K134" s="913">
        <v>4</v>
      </c>
      <c r="L134" s="914">
        <f t="shared" ref="L134:Q134" si="65">B45</f>
        <v>0</v>
      </c>
      <c r="M134" s="914">
        <f t="shared" si="65"/>
        <v>9.9999999999999995E-7</v>
      </c>
      <c r="N134" s="914">
        <f t="shared" si="65"/>
        <v>1.9999999999999999E-6</v>
      </c>
      <c r="O134" s="914" t="str">
        <f t="shared" si="65"/>
        <v>-</v>
      </c>
      <c r="P134" s="914">
        <f t="shared" si="65"/>
        <v>4.9999999999999998E-7</v>
      </c>
      <c r="Q134" s="914">
        <f t="shared" si="65"/>
        <v>9.9999999999999995E-7</v>
      </c>
    </row>
    <row r="135" spans="1:17" x14ac:dyDescent="0.2">
      <c r="A135" s="905"/>
      <c r="B135" s="913">
        <v>5</v>
      </c>
      <c r="C135" s="913">
        <f t="shared" ref="C135:H135" si="66">I37</f>
        <v>150</v>
      </c>
      <c r="D135" s="913">
        <f t="shared" si="66"/>
        <v>0.25</v>
      </c>
      <c r="E135" s="913">
        <f t="shared" si="66"/>
        <v>0.02</v>
      </c>
      <c r="F135" s="913" t="str">
        <f t="shared" si="66"/>
        <v>-</v>
      </c>
      <c r="G135" s="913">
        <f t="shared" si="66"/>
        <v>0.115</v>
      </c>
      <c r="H135" s="913">
        <f t="shared" si="66"/>
        <v>1.8</v>
      </c>
      <c r="J135" s="905"/>
      <c r="K135" s="913">
        <v>5</v>
      </c>
      <c r="L135" s="914">
        <f t="shared" ref="L135:Q135" si="67">I45</f>
        <v>0</v>
      </c>
      <c r="M135" s="914">
        <f t="shared" si="67"/>
        <v>9.9999999999999995E-7</v>
      </c>
      <c r="N135" s="914">
        <f t="shared" si="67"/>
        <v>9.9999999999999995E-7</v>
      </c>
      <c r="O135" s="914" t="str">
        <f t="shared" si="67"/>
        <v>-</v>
      </c>
      <c r="P135" s="914">
        <f t="shared" si="67"/>
        <v>0</v>
      </c>
      <c r="Q135" s="914">
        <f t="shared" si="67"/>
        <v>0</v>
      </c>
    </row>
    <row r="136" spans="1:17" x14ac:dyDescent="0.2">
      <c r="A136" s="905"/>
      <c r="B136" s="913">
        <v>6</v>
      </c>
      <c r="C136" s="913">
        <f t="shared" ref="C136:H136" si="68">P37</f>
        <v>150</v>
      </c>
      <c r="D136" s="913">
        <f t="shared" si="68"/>
        <v>-0.15</v>
      </c>
      <c r="E136" s="913">
        <f t="shared" si="68"/>
        <v>0.03</v>
      </c>
      <c r="F136" s="913" t="str">
        <f t="shared" si="68"/>
        <v>-</v>
      </c>
      <c r="G136" s="913">
        <f t="shared" si="68"/>
        <v>0.09</v>
      </c>
      <c r="H136" s="913">
        <f t="shared" si="68"/>
        <v>1.8</v>
      </c>
      <c r="J136" s="905"/>
      <c r="K136" s="913">
        <v>6</v>
      </c>
      <c r="L136" s="914">
        <f t="shared" ref="L136:Q136" si="69">P45</f>
        <v>0</v>
      </c>
      <c r="M136" s="914">
        <f t="shared" si="69"/>
        <v>9.9999999999999995E-7</v>
      </c>
      <c r="N136" s="914">
        <f t="shared" si="69"/>
        <v>9.9999999999999995E-7</v>
      </c>
      <c r="O136" s="914" t="str">
        <f t="shared" si="69"/>
        <v>-</v>
      </c>
      <c r="P136" s="914">
        <f t="shared" si="69"/>
        <v>0</v>
      </c>
      <c r="Q136" s="914">
        <f t="shared" si="69"/>
        <v>0.28999999999999998</v>
      </c>
    </row>
    <row r="137" spans="1:17" x14ac:dyDescent="0.2">
      <c r="A137" s="905"/>
      <c r="B137" s="913">
        <v>7</v>
      </c>
      <c r="C137" s="913">
        <f t="shared" ref="C137:H137" si="70">B68</f>
        <v>150.21</v>
      </c>
      <c r="D137" s="913">
        <f t="shared" si="70"/>
        <v>0.21</v>
      </c>
      <c r="E137" s="913">
        <f t="shared" si="70"/>
        <v>0.27</v>
      </c>
      <c r="F137" s="913" t="str">
        <f t="shared" si="70"/>
        <v>-</v>
      </c>
      <c r="G137" s="913">
        <f t="shared" si="70"/>
        <v>3.0000000000000013E-2</v>
      </c>
      <c r="H137" s="913">
        <f t="shared" si="70"/>
        <v>1.8025200000000001</v>
      </c>
      <c r="J137" s="905"/>
      <c r="K137" s="913">
        <v>7</v>
      </c>
      <c r="L137" s="914">
        <f t="shared" ref="L137:Q137" si="71">B76</f>
        <v>0</v>
      </c>
      <c r="M137" s="914">
        <f t="shared" si="71"/>
        <v>9.9999999999999995E-7</v>
      </c>
      <c r="N137" s="914">
        <f t="shared" si="71"/>
        <v>1.9999999999999999E-6</v>
      </c>
      <c r="O137" s="914" t="str">
        <f t="shared" si="71"/>
        <v>-</v>
      </c>
      <c r="P137" s="914">
        <f t="shared" si="71"/>
        <v>4.9999999999999998E-7</v>
      </c>
      <c r="Q137" s="914">
        <f t="shared" si="71"/>
        <v>0.3</v>
      </c>
    </row>
    <row r="138" spans="1:17" x14ac:dyDescent="0.2">
      <c r="A138" s="905"/>
      <c r="B138" s="913">
        <v>8</v>
      </c>
      <c r="C138" s="913">
        <f t="shared" ref="C138:H138" si="72">I68</f>
        <v>150</v>
      </c>
      <c r="D138" s="913">
        <f t="shared" si="72"/>
        <v>-0.17</v>
      </c>
      <c r="E138" s="913">
        <f t="shared" si="72"/>
        <v>-0.24</v>
      </c>
      <c r="F138" s="913" t="str">
        <f t="shared" si="72"/>
        <v>-</v>
      </c>
      <c r="G138" s="913">
        <f t="shared" si="72"/>
        <v>3.4999999999999989E-2</v>
      </c>
      <c r="H138" s="913">
        <f t="shared" si="72"/>
        <v>1.8</v>
      </c>
      <c r="J138" s="905"/>
      <c r="K138" s="913">
        <v>8</v>
      </c>
      <c r="L138" s="914">
        <f t="shared" ref="L138:Q138" si="73">I76</f>
        <v>0</v>
      </c>
      <c r="M138" s="914">
        <f t="shared" si="73"/>
        <v>9.9999999999999995E-7</v>
      </c>
      <c r="N138" s="914">
        <f t="shared" si="73"/>
        <v>9.9999999999999995E-7</v>
      </c>
      <c r="O138" s="914" t="str">
        <f t="shared" si="73"/>
        <v>-</v>
      </c>
      <c r="P138" s="914">
        <f t="shared" si="73"/>
        <v>0</v>
      </c>
      <c r="Q138" s="914">
        <f t="shared" si="73"/>
        <v>0</v>
      </c>
    </row>
    <row r="139" spans="1:17" x14ac:dyDescent="0.2">
      <c r="A139" s="905"/>
      <c r="B139" s="913">
        <v>9</v>
      </c>
      <c r="C139" s="913">
        <f t="shared" ref="C139:H139" si="74">P68</f>
        <v>149.83000000000001</v>
      </c>
      <c r="D139" s="913">
        <f t="shared" si="74"/>
        <v>-0.17</v>
      </c>
      <c r="E139" s="913" t="str">
        <f t="shared" si="74"/>
        <v>-</v>
      </c>
      <c r="F139" s="913" t="str">
        <f t="shared" si="74"/>
        <v>-</v>
      </c>
      <c r="G139" s="913">
        <f t="shared" si="74"/>
        <v>0</v>
      </c>
      <c r="H139" s="913">
        <f t="shared" si="74"/>
        <v>1.7979600000000002</v>
      </c>
      <c r="J139" s="905"/>
      <c r="K139" s="913">
        <v>9</v>
      </c>
      <c r="L139" s="914">
        <f t="shared" ref="L139:Q139" si="75">P76</f>
        <v>0</v>
      </c>
      <c r="M139" s="914">
        <f t="shared" si="75"/>
        <v>9.9999999999999995E-7</v>
      </c>
      <c r="N139" s="914" t="str">
        <f t="shared" si="75"/>
        <v>-</v>
      </c>
      <c r="O139" s="914" t="str">
        <f t="shared" si="75"/>
        <v>-</v>
      </c>
      <c r="P139" s="914">
        <f t="shared" si="75"/>
        <v>0</v>
      </c>
      <c r="Q139" s="914">
        <f t="shared" si="75"/>
        <v>0.12</v>
      </c>
    </row>
    <row r="140" spans="1:17" x14ac:dyDescent="0.2">
      <c r="A140" s="905"/>
      <c r="B140" s="913">
        <v>10</v>
      </c>
      <c r="C140" s="913">
        <f>B99</f>
        <v>150</v>
      </c>
      <c r="D140" s="913">
        <f t="shared" ref="D140:F140" si="76">C99</f>
        <v>-0.05</v>
      </c>
      <c r="E140" s="913" t="str">
        <f t="shared" si="76"/>
        <v>-</v>
      </c>
      <c r="F140" s="913" t="str">
        <f t="shared" si="76"/>
        <v>-</v>
      </c>
      <c r="G140" s="913">
        <f>F99</f>
        <v>0</v>
      </c>
      <c r="H140" s="913" t="str">
        <f>G99</f>
        <v>-</v>
      </c>
      <c r="J140" s="905"/>
      <c r="K140" s="913">
        <v>10</v>
      </c>
      <c r="L140" s="914">
        <f t="shared" ref="L140:Q140" si="77">B107</f>
        <v>0</v>
      </c>
      <c r="M140" s="914">
        <f t="shared" si="77"/>
        <v>9.9999999999999995E-7</v>
      </c>
      <c r="N140" s="914" t="str">
        <f t="shared" si="77"/>
        <v>-</v>
      </c>
      <c r="O140" s="914" t="str">
        <f t="shared" si="77"/>
        <v>-</v>
      </c>
      <c r="P140" s="914">
        <f t="shared" si="77"/>
        <v>0</v>
      </c>
      <c r="Q140" s="914" t="str">
        <f t="shared" si="77"/>
        <v>-</v>
      </c>
    </row>
    <row r="141" spans="1:17" x14ac:dyDescent="0.2">
      <c r="A141" s="905"/>
      <c r="B141" s="913">
        <v>11</v>
      </c>
      <c r="C141" s="913">
        <f>I99</f>
        <v>150</v>
      </c>
      <c r="D141" s="913">
        <f t="shared" ref="D141:F141" si="78">J99</f>
        <v>9.9999999999999995E-7</v>
      </c>
      <c r="E141" s="913" t="str">
        <f t="shared" si="78"/>
        <v>-</v>
      </c>
      <c r="F141" s="913" t="str">
        <f t="shared" si="78"/>
        <v>-</v>
      </c>
      <c r="G141" s="913">
        <f>M99</f>
        <v>0</v>
      </c>
      <c r="H141" s="913" t="str">
        <f>N99</f>
        <v>-</v>
      </c>
      <c r="J141" s="905"/>
      <c r="K141" s="913">
        <v>11</v>
      </c>
      <c r="L141" s="914">
        <f t="shared" ref="L141:Q141" si="79">I107</f>
        <v>0</v>
      </c>
      <c r="M141" s="914">
        <f t="shared" si="79"/>
        <v>9.9999999999999995E-7</v>
      </c>
      <c r="N141" s="914" t="str">
        <f t="shared" si="79"/>
        <v>-</v>
      </c>
      <c r="O141" s="914" t="str">
        <f t="shared" si="79"/>
        <v>-</v>
      </c>
      <c r="P141" s="914">
        <f t="shared" si="79"/>
        <v>0</v>
      </c>
      <c r="Q141" s="914" t="str">
        <f t="shared" si="79"/>
        <v>-</v>
      </c>
    </row>
    <row r="142" spans="1:17" x14ac:dyDescent="0.2">
      <c r="A142" s="905"/>
      <c r="B142" s="913">
        <v>12</v>
      </c>
      <c r="C142" s="913">
        <f>P99</f>
        <v>150</v>
      </c>
      <c r="D142" s="913">
        <f t="shared" ref="D142:F142" si="80">Q99</f>
        <v>9.9999999999999995E-7</v>
      </c>
      <c r="E142" s="913" t="str">
        <f t="shared" si="80"/>
        <v>-</v>
      </c>
      <c r="F142" s="913" t="str">
        <f t="shared" si="80"/>
        <v>-</v>
      </c>
      <c r="G142" s="913">
        <f>T99</f>
        <v>0</v>
      </c>
      <c r="H142" s="913" t="str">
        <f>U99</f>
        <v>-</v>
      </c>
      <c r="J142" s="905"/>
      <c r="K142" s="913">
        <v>12</v>
      </c>
      <c r="L142" s="914">
        <f t="shared" ref="L142:Q142" si="81">P107</f>
        <v>0</v>
      </c>
      <c r="M142" s="914">
        <f t="shared" si="81"/>
        <v>9.9999999999999995E-7</v>
      </c>
      <c r="N142" s="914" t="str">
        <f t="shared" si="81"/>
        <v>-</v>
      </c>
      <c r="O142" s="914" t="str">
        <f t="shared" si="81"/>
        <v>-</v>
      </c>
      <c r="P142" s="914">
        <f t="shared" si="81"/>
        <v>0</v>
      </c>
      <c r="Q142" s="914" t="str">
        <f t="shared" si="81"/>
        <v>-</v>
      </c>
    </row>
    <row r="143" spans="1:17" s="871" customFormat="1" x14ac:dyDescent="0.2">
      <c r="A143" s="915"/>
      <c r="B143" s="915"/>
      <c r="C143" s="915"/>
      <c r="D143" s="915"/>
      <c r="E143" s="915"/>
      <c r="F143" s="916"/>
      <c r="G143" s="915"/>
      <c r="H143" s="915"/>
      <c r="J143" s="915"/>
      <c r="K143" s="915"/>
      <c r="L143" s="917"/>
      <c r="M143" s="917"/>
      <c r="N143" s="917"/>
      <c r="O143" s="916"/>
      <c r="P143" s="917"/>
      <c r="Q143" s="917"/>
    </row>
    <row r="144" spans="1:17" x14ac:dyDescent="0.2">
      <c r="A144" s="905" t="s">
        <v>49</v>
      </c>
      <c r="B144" s="913">
        <v>1</v>
      </c>
      <c r="C144" s="913">
        <f t="shared" ref="C144:H144" si="82">B7</f>
        <v>180</v>
      </c>
      <c r="D144" s="913">
        <f t="shared" si="82"/>
        <v>0.1</v>
      </c>
      <c r="E144" s="913">
        <f t="shared" si="82"/>
        <v>-0.03</v>
      </c>
      <c r="F144" s="913" t="str">
        <f t="shared" si="82"/>
        <v>-</v>
      </c>
      <c r="G144" s="913">
        <f t="shared" si="82"/>
        <v>6.5000000000000002E-2</v>
      </c>
      <c r="H144" s="913">
        <f t="shared" si="82"/>
        <v>2.16</v>
      </c>
      <c r="J144" s="905" t="s">
        <v>49</v>
      </c>
      <c r="K144" s="913">
        <v>1</v>
      </c>
      <c r="L144" s="913">
        <f t="shared" ref="L144:Q144" si="83">B15</f>
        <v>50</v>
      </c>
      <c r="M144" s="913">
        <f t="shared" si="83"/>
        <v>0.1</v>
      </c>
      <c r="N144" s="913">
        <f t="shared" si="83"/>
        <v>-0.06</v>
      </c>
      <c r="O144" s="913" t="str">
        <f t="shared" si="83"/>
        <v>-</v>
      </c>
      <c r="P144" s="913">
        <f t="shared" si="83"/>
        <v>0.08</v>
      </c>
      <c r="Q144" s="913">
        <f t="shared" si="83"/>
        <v>0.29499999999999998</v>
      </c>
    </row>
    <row r="145" spans="1:17" x14ac:dyDescent="0.2">
      <c r="A145" s="905"/>
      <c r="B145" s="913">
        <v>2</v>
      </c>
      <c r="C145" s="913">
        <f t="shared" ref="C145:H145" si="84">I7</f>
        <v>180</v>
      </c>
      <c r="D145" s="913">
        <f t="shared" si="84"/>
        <v>0.12</v>
      </c>
      <c r="E145" s="913">
        <f t="shared" si="84"/>
        <v>-0.06</v>
      </c>
      <c r="F145" s="913" t="str">
        <f t="shared" si="84"/>
        <v>-</v>
      </c>
      <c r="G145" s="913">
        <f t="shared" si="84"/>
        <v>0.09</v>
      </c>
      <c r="H145" s="913">
        <f t="shared" si="84"/>
        <v>2.16</v>
      </c>
      <c r="J145" s="905"/>
      <c r="K145" s="913">
        <v>2</v>
      </c>
      <c r="L145" s="913">
        <f t="shared" ref="L145:Q145" si="85">I15</f>
        <v>50</v>
      </c>
      <c r="M145" s="913">
        <f t="shared" si="85"/>
        <v>-0.08</v>
      </c>
      <c r="N145" s="913">
        <f t="shared" si="85"/>
        <v>0.1</v>
      </c>
      <c r="O145" s="913" t="str">
        <f t="shared" si="85"/>
        <v>-</v>
      </c>
      <c r="P145" s="913">
        <f t="shared" si="85"/>
        <v>0.09</v>
      </c>
      <c r="Q145" s="913">
        <f t="shared" si="85"/>
        <v>0.29499999999999998</v>
      </c>
    </row>
    <row r="146" spans="1:17" x14ac:dyDescent="0.2">
      <c r="A146" s="905"/>
      <c r="B146" s="913">
        <v>3</v>
      </c>
      <c r="C146" s="913">
        <f t="shared" ref="C146:H146" si="86">P7</f>
        <v>180</v>
      </c>
      <c r="D146" s="913">
        <f t="shared" si="86"/>
        <v>-1.81</v>
      </c>
      <c r="E146" s="913">
        <f t="shared" si="86"/>
        <v>-1.9</v>
      </c>
      <c r="F146" s="913">
        <f t="shared" si="86"/>
        <v>-0.13</v>
      </c>
      <c r="G146" s="913">
        <f t="shared" si="86"/>
        <v>0.88500000000000001</v>
      </c>
      <c r="H146" s="913">
        <f t="shared" si="86"/>
        <v>2.16</v>
      </c>
      <c r="J146" s="905"/>
      <c r="K146" s="913">
        <v>3</v>
      </c>
      <c r="L146" s="913">
        <f t="shared" ref="L146:Q146" si="87">P15</f>
        <v>50</v>
      </c>
      <c r="M146" s="913">
        <f t="shared" si="87"/>
        <v>9.1</v>
      </c>
      <c r="N146" s="913">
        <f t="shared" si="87"/>
        <v>-0.62</v>
      </c>
      <c r="O146" s="913">
        <f t="shared" si="87"/>
        <v>2</v>
      </c>
      <c r="P146" s="913">
        <f t="shared" si="87"/>
        <v>4.8599999999999994</v>
      </c>
      <c r="Q146" s="913">
        <f t="shared" si="87"/>
        <v>0.29499999999999998</v>
      </c>
    </row>
    <row r="147" spans="1:17" x14ac:dyDescent="0.2">
      <c r="A147" s="905"/>
      <c r="B147" s="913">
        <v>4</v>
      </c>
      <c r="C147" s="913">
        <f t="shared" ref="C147:H147" si="88">B38</f>
        <v>180</v>
      </c>
      <c r="D147" s="913">
        <f t="shared" si="88"/>
        <v>-0.04</v>
      </c>
      <c r="E147" s="913">
        <f t="shared" si="88"/>
        <v>0.03</v>
      </c>
      <c r="F147" s="913" t="str">
        <f t="shared" si="88"/>
        <v>-</v>
      </c>
      <c r="G147" s="913">
        <f t="shared" si="88"/>
        <v>3.5000000000000003E-2</v>
      </c>
      <c r="H147" s="913">
        <f t="shared" si="88"/>
        <v>2.16</v>
      </c>
      <c r="J147" s="905"/>
      <c r="K147" s="913">
        <v>4</v>
      </c>
      <c r="L147" s="913">
        <f t="shared" ref="L147:Q147" si="89">B46</f>
        <v>50</v>
      </c>
      <c r="M147" s="913">
        <f t="shared" si="89"/>
        <v>-0.3</v>
      </c>
      <c r="N147" s="913">
        <f t="shared" si="89"/>
        <v>-0.28999999999999998</v>
      </c>
      <c r="O147" s="913" t="str">
        <f t="shared" si="89"/>
        <v>-</v>
      </c>
      <c r="P147" s="913">
        <f t="shared" si="89"/>
        <v>5.0000000000000044E-3</v>
      </c>
      <c r="Q147" s="913">
        <f t="shared" si="89"/>
        <v>0.29499999999999998</v>
      </c>
    </row>
    <row r="148" spans="1:17" x14ac:dyDescent="0.2">
      <c r="A148" s="905"/>
      <c r="B148" s="913">
        <v>5</v>
      </c>
      <c r="C148" s="913">
        <f t="shared" ref="C148:H148" si="90">I38</f>
        <v>180</v>
      </c>
      <c r="D148" s="913">
        <f t="shared" si="90"/>
        <v>0.09</v>
      </c>
      <c r="E148" s="913">
        <f t="shared" si="90"/>
        <v>0.1</v>
      </c>
      <c r="F148" s="913" t="str">
        <f t="shared" si="90"/>
        <v>-</v>
      </c>
      <c r="G148" s="913">
        <f t="shared" si="90"/>
        <v>5.0000000000000044E-3</v>
      </c>
      <c r="H148" s="913">
        <f t="shared" si="90"/>
        <v>2.16</v>
      </c>
      <c r="J148" s="905"/>
      <c r="K148" s="913">
        <v>5</v>
      </c>
      <c r="L148" s="913">
        <f t="shared" ref="L148:Q148" si="91">I46</f>
        <v>50</v>
      </c>
      <c r="M148" s="913">
        <f t="shared" si="91"/>
        <v>0.3</v>
      </c>
      <c r="N148" s="913">
        <f t="shared" si="91"/>
        <v>-0.33</v>
      </c>
      <c r="O148" s="913" t="str">
        <f t="shared" si="91"/>
        <v>-</v>
      </c>
      <c r="P148" s="913">
        <f t="shared" si="91"/>
        <v>0.315</v>
      </c>
      <c r="Q148" s="913">
        <f t="shared" si="91"/>
        <v>0.28999999999999998</v>
      </c>
    </row>
    <row r="149" spans="1:17" x14ac:dyDescent="0.2">
      <c r="A149" s="905"/>
      <c r="B149" s="913">
        <v>6</v>
      </c>
      <c r="C149" s="913">
        <f t="shared" ref="C149:H149" si="92">P38</f>
        <v>180</v>
      </c>
      <c r="D149" s="913">
        <f t="shared" si="92"/>
        <v>-0.11</v>
      </c>
      <c r="E149" s="913">
        <f t="shared" si="92"/>
        <v>9.9999999999999995E-7</v>
      </c>
      <c r="F149" s="913" t="str">
        <f t="shared" si="92"/>
        <v>-</v>
      </c>
      <c r="G149" s="913">
        <f t="shared" si="92"/>
        <v>5.5000500000000001E-2</v>
      </c>
      <c r="H149" s="913">
        <f t="shared" si="92"/>
        <v>2.16</v>
      </c>
      <c r="J149" s="905"/>
      <c r="K149" s="913">
        <v>6</v>
      </c>
      <c r="L149" s="913">
        <f t="shared" ref="L149:Q149" si="93">P46</f>
        <v>50</v>
      </c>
      <c r="M149" s="913">
        <f t="shared" si="93"/>
        <v>0.02</v>
      </c>
      <c r="N149" s="913">
        <f t="shared" si="93"/>
        <v>-0.1</v>
      </c>
      <c r="O149" s="913" t="str">
        <f t="shared" si="93"/>
        <v>-</v>
      </c>
      <c r="P149" s="913">
        <f t="shared" si="93"/>
        <v>6.0000000000000005E-2</v>
      </c>
      <c r="Q149" s="913">
        <f t="shared" si="93"/>
        <v>0.28999999999999998</v>
      </c>
    </row>
    <row r="150" spans="1:17" x14ac:dyDescent="0.2">
      <c r="A150" s="905"/>
      <c r="B150" s="913">
        <v>7</v>
      </c>
      <c r="C150" s="913">
        <f t="shared" ref="C150:H150" si="94">B69</f>
        <v>180.33</v>
      </c>
      <c r="D150" s="913">
        <f t="shared" si="94"/>
        <v>0.33</v>
      </c>
      <c r="E150" s="913">
        <f t="shared" si="94"/>
        <v>0.37</v>
      </c>
      <c r="F150" s="913" t="str">
        <f t="shared" si="94"/>
        <v>-</v>
      </c>
      <c r="G150" s="913">
        <f t="shared" si="94"/>
        <v>1.999999999999999E-2</v>
      </c>
      <c r="H150" s="913">
        <f t="shared" si="94"/>
        <v>2.1639600000000003</v>
      </c>
      <c r="J150" s="905"/>
      <c r="K150" s="913">
        <v>7</v>
      </c>
      <c r="L150" s="913">
        <f t="shared" ref="L150:Q150" si="95">B77</f>
        <v>50</v>
      </c>
      <c r="M150" s="913">
        <f t="shared" si="95"/>
        <v>1.7</v>
      </c>
      <c r="N150" s="913">
        <f t="shared" si="95"/>
        <v>2.1</v>
      </c>
      <c r="O150" s="913" t="str">
        <f t="shared" si="95"/>
        <v>-</v>
      </c>
      <c r="P150" s="913">
        <f t="shared" si="95"/>
        <v>0.20000000000000007</v>
      </c>
      <c r="Q150" s="913">
        <f t="shared" si="95"/>
        <v>0.29499999999999998</v>
      </c>
    </row>
    <row r="151" spans="1:17" x14ac:dyDescent="0.2">
      <c r="A151" s="905"/>
      <c r="B151" s="913">
        <v>8</v>
      </c>
      <c r="C151" s="913">
        <f t="shared" ref="C151:H151" si="96">I69</f>
        <v>180</v>
      </c>
      <c r="D151" s="913">
        <f t="shared" si="96"/>
        <v>-0.39</v>
      </c>
      <c r="E151" s="913">
        <f t="shared" si="96"/>
        <v>-0.14000000000000001</v>
      </c>
      <c r="F151" s="913" t="str">
        <f t="shared" si="96"/>
        <v>-</v>
      </c>
      <c r="G151" s="913">
        <f t="shared" si="96"/>
        <v>0.125</v>
      </c>
      <c r="H151" s="913">
        <f t="shared" si="96"/>
        <v>2.16</v>
      </c>
      <c r="J151" s="905"/>
      <c r="K151" s="913">
        <v>8</v>
      </c>
      <c r="L151" s="913">
        <f t="shared" ref="L151:Q151" si="97">I77</f>
        <v>20</v>
      </c>
      <c r="M151" s="913">
        <f t="shared" si="97"/>
        <v>6.6</v>
      </c>
      <c r="N151" s="913">
        <f t="shared" si="97"/>
        <v>0.9</v>
      </c>
      <c r="O151" s="913" t="str">
        <f t="shared" si="97"/>
        <v>-</v>
      </c>
      <c r="P151" s="913">
        <f t="shared" si="97"/>
        <v>2.8499999999999996</v>
      </c>
      <c r="Q151" s="913">
        <f t="shared" si="97"/>
        <v>0.11799999999999999</v>
      </c>
    </row>
    <row r="152" spans="1:17" x14ac:dyDescent="0.2">
      <c r="A152" s="905"/>
      <c r="B152" s="913">
        <v>9</v>
      </c>
      <c r="C152" s="913">
        <f t="shared" ref="C152:H152" si="98">P69</f>
        <v>179.78</v>
      </c>
      <c r="D152" s="913">
        <f t="shared" si="98"/>
        <v>-0.22</v>
      </c>
      <c r="E152" s="913" t="str">
        <f t="shared" si="98"/>
        <v>-</v>
      </c>
      <c r="F152" s="913" t="str">
        <f t="shared" si="98"/>
        <v>-</v>
      </c>
      <c r="G152" s="913">
        <f t="shared" si="98"/>
        <v>0</v>
      </c>
      <c r="H152" s="913">
        <f t="shared" si="98"/>
        <v>2.1573600000000002</v>
      </c>
      <c r="J152" s="905"/>
      <c r="K152" s="913">
        <v>9</v>
      </c>
      <c r="L152" s="913">
        <f t="shared" ref="L152:Q152" si="99">P77</f>
        <v>20.8</v>
      </c>
      <c r="M152" s="913">
        <f t="shared" si="99"/>
        <v>0.8</v>
      </c>
      <c r="N152" s="913" t="str">
        <f t="shared" si="99"/>
        <v>-</v>
      </c>
      <c r="O152" s="913" t="str">
        <f t="shared" si="99"/>
        <v>-</v>
      </c>
      <c r="P152" s="913">
        <f t="shared" si="99"/>
        <v>0</v>
      </c>
      <c r="Q152" s="913">
        <f t="shared" si="99"/>
        <v>0.12272</v>
      </c>
    </row>
    <row r="153" spans="1:17" x14ac:dyDescent="0.2">
      <c r="A153" s="905"/>
      <c r="B153" s="913">
        <v>10</v>
      </c>
      <c r="C153" s="913">
        <f>B100</f>
        <v>180</v>
      </c>
      <c r="D153" s="913">
        <f t="shared" ref="D153:F153" si="100">C100</f>
        <v>-0.04</v>
      </c>
      <c r="E153" s="913" t="str">
        <f t="shared" si="100"/>
        <v>-</v>
      </c>
      <c r="F153" s="913" t="str">
        <f t="shared" si="100"/>
        <v>-</v>
      </c>
      <c r="G153" s="913">
        <f>F100</f>
        <v>0</v>
      </c>
      <c r="H153" s="913" t="str">
        <f>G100</f>
        <v>-</v>
      </c>
      <c r="J153" s="905"/>
      <c r="K153" s="913">
        <v>10</v>
      </c>
      <c r="L153" s="913">
        <f t="shared" ref="L153:Q153" si="101">B108</f>
        <v>50</v>
      </c>
      <c r="M153" s="913">
        <f t="shared" si="101"/>
        <v>0.4</v>
      </c>
      <c r="N153" s="913" t="str">
        <f t="shared" si="101"/>
        <v>-</v>
      </c>
      <c r="O153" s="913" t="str">
        <f t="shared" si="101"/>
        <v>-</v>
      </c>
      <c r="P153" s="913">
        <f t="shared" si="101"/>
        <v>0</v>
      </c>
      <c r="Q153" s="913" t="str">
        <f t="shared" si="101"/>
        <v>-</v>
      </c>
    </row>
    <row r="154" spans="1:17" x14ac:dyDescent="0.2">
      <c r="A154" s="905"/>
      <c r="B154" s="913">
        <v>11</v>
      </c>
      <c r="C154" s="913">
        <f>I100</f>
        <v>180</v>
      </c>
      <c r="D154" s="913">
        <f t="shared" ref="D154:F154" si="102">J100</f>
        <v>9.9999999999999995E-7</v>
      </c>
      <c r="E154" s="913" t="str">
        <f t="shared" si="102"/>
        <v>-</v>
      </c>
      <c r="F154" s="913" t="str">
        <f t="shared" si="102"/>
        <v>-</v>
      </c>
      <c r="G154" s="913">
        <f>M100</f>
        <v>0</v>
      </c>
      <c r="H154" s="913" t="str">
        <f>N100</f>
        <v>-</v>
      </c>
      <c r="J154" s="905"/>
      <c r="K154" s="913">
        <v>11</v>
      </c>
      <c r="L154" s="913">
        <f t="shared" ref="L154:Q154" si="103">I108</f>
        <v>50</v>
      </c>
      <c r="M154" s="913">
        <f t="shared" si="103"/>
        <v>9.9999999999999995E-7</v>
      </c>
      <c r="N154" s="913" t="str">
        <f t="shared" si="103"/>
        <v>-</v>
      </c>
      <c r="O154" s="913" t="str">
        <f t="shared" si="103"/>
        <v>-</v>
      </c>
      <c r="P154" s="913">
        <f t="shared" si="103"/>
        <v>0</v>
      </c>
      <c r="Q154" s="913" t="str">
        <f t="shared" si="103"/>
        <v>-</v>
      </c>
    </row>
    <row r="155" spans="1:17" x14ac:dyDescent="0.2">
      <c r="A155" s="905"/>
      <c r="B155" s="913">
        <v>12</v>
      </c>
      <c r="C155" s="913">
        <f>P100</f>
        <v>180</v>
      </c>
      <c r="D155" s="913">
        <f t="shared" ref="D155:F155" si="104">Q100</f>
        <v>9.9999999999999995E-7</v>
      </c>
      <c r="E155" s="913" t="str">
        <f t="shared" si="104"/>
        <v>-</v>
      </c>
      <c r="F155" s="913" t="str">
        <f t="shared" si="104"/>
        <v>-</v>
      </c>
      <c r="G155" s="913">
        <f>T100</f>
        <v>0</v>
      </c>
      <c r="H155" s="913" t="str">
        <f>U100</f>
        <v>-</v>
      </c>
      <c r="J155" s="905"/>
      <c r="K155" s="913">
        <v>12</v>
      </c>
      <c r="L155" s="913">
        <f t="shared" ref="L155:Q155" si="105">P108</f>
        <v>50</v>
      </c>
      <c r="M155" s="913">
        <f t="shared" si="105"/>
        <v>9.9999999999999995E-7</v>
      </c>
      <c r="N155" s="913" t="str">
        <f t="shared" si="105"/>
        <v>-</v>
      </c>
      <c r="O155" s="913" t="str">
        <f t="shared" si="105"/>
        <v>-</v>
      </c>
      <c r="P155" s="913">
        <f t="shared" si="105"/>
        <v>0</v>
      </c>
      <c r="Q155" s="913" t="str">
        <f t="shared" si="105"/>
        <v>-</v>
      </c>
    </row>
    <row r="156" spans="1:17" s="871" customFormat="1" x14ac:dyDescent="0.2">
      <c r="A156" s="915"/>
      <c r="B156" s="915"/>
      <c r="C156" s="915"/>
      <c r="D156" s="915"/>
      <c r="E156" s="915"/>
      <c r="F156" s="916"/>
      <c r="G156" s="915"/>
      <c r="H156" s="915"/>
      <c r="J156" s="915"/>
      <c r="K156" s="915"/>
      <c r="L156" s="915"/>
      <c r="M156" s="915"/>
      <c r="N156" s="915"/>
      <c r="O156" s="916"/>
      <c r="P156" s="915"/>
      <c r="Q156" s="915"/>
    </row>
    <row r="157" spans="1:17" x14ac:dyDescent="0.2">
      <c r="A157" s="905" t="s">
        <v>50</v>
      </c>
      <c r="B157" s="913">
        <v>1</v>
      </c>
      <c r="C157" s="913">
        <f t="shared" ref="C157:H157" si="106">B8</f>
        <v>200</v>
      </c>
      <c r="D157" s="913">
        <f t="shared" si="106"/>
        <v>-0.04</v>
      </c>
      <c r="E157" s="913">
        <f t="shared" si="106"/>
        <v>-0.16</v>
      </c>
      <c r="F157" s="913" t="str">
        <f t="shared" si="106"/>
        <v>-</v>
      </c>
      <c r="G157" s="913">
        <f t="shared" si="106"/>
        <v>0.06</v>
      </c>
      <c r="H157" s="913">
        <f t="shared" si="106"/>
        <v>2.4</v>
      </c>
      <c r="J157" s="905" t="s">
        <v>50</v>
      </c>
      <c r="K157" s="913">
        <v>1</v>
      </c>
      <c r="L157" s="913">
        <f t="shared" ref="L157:Q157" si="107">B16</f>
        <v>100</v>
      </c>
      <c r="M157" s="913">
        <f t="shared" si="107"/>
        <v>0.2</v>
      </c>
      <c r="N157" s="913">
        <f t="shared" si="107"/>
        <v>-0.06</v>
      </c>
      <c r="O157" s="913" t="str">
        <f t="shared" si="107"/>
        <v>-</v>
      </c>
      <c r="P157" s="913">
        <f t="shared" si="107"/>
        <v>0.13</v>
      </c>
      <c r="Q157" s="913">
        <f t="shared" si="107"/>
        <v>0.59</v>
      </c>
    </row>
    <row r="158" spans="1:17" x14ac:dyDescent="0.2">
      <c r="A158" s="905"/>
      <c r="B158" s="913">
        <v>2</v>
      </c>
      <c r="C158" s="913">
        <f t="shared" ref="C158:H158" si="108">I8</f>
        <v>200</v>
      </c>
      <c r="D158" s="913">
        <f t="shared" si="108"/>
        <v>0.06</v>
      </c>
      <c r="E158" s="913">
        <f t="shared" si="108"/>
        <v>-0.18</v>
      </c>
      <c r="F158" s="913" t="str">
        <f t="shared" si="108"/>
        <v>-</v>
      </c>
      <c r="G158" s="913">
        <f t="shared" si="108"/>
        <v>0.12</v>
      </c>
      <c r="H158" s="913">
        <f t="shared" si="108"/>
        <v>2.4</v>
      </c>
      <c r="J158" s="905"/>
      <c r="K158" s="913">
        <v>2</v>
      </c>
      <c r="L158" s="913">
        <f t="shared" ref="L158:Q158" si="109">I16</f>
        <v>100</v>
      </c>
      <c r="M158" s="913">
        <f t="shared" si="109"/>
        <v>-7.0000000000000007E-2</v>
      </c>
      <c r="N158" s="913">
        <f t="shared" si="109"/>
        <v>2.2000000000000002</v>
      </c>
      <c r="O158" s="913" t="str">
        <f t="shared" si="109"/>
        <v>-</v>
      </c>
      <c r="P158" s="913">
        <f t="shared" si="109"/>
        <v>1.135</v>
      </c>
      <c r="Q158" s="913">
        <f t="shared" si="109"/>
        <v>0.59</v>
      </c>
    </row>
    <row r="159" spans="1:17" x14ac:dyDescent="0.2">
      <c r="A159" s="905"/>
      <c r="B159" s="913">
        <v>3</v>
      </c>
      <c r="C159" s="913">
        <f t="shared" ref="C159:H159" si="110">P8</f>
        <v>200</v>
      </c>
      <c r="D159" s="913">
        <f t="shared" si="110"/>
        <v>-2.0499999999999998</v>
      </c>
      <c r="E159" s="913">
        <f t="shared" si="110"/>
        <v>-2.14</v>
      </c>
      <c r="F159" s="913">
        <f t="shared" si="110"/>
        <v>-0.26</v>
      </c>
      <c r="G159" s="913">
        <f t="shared" si="110"/>
        <v>0.94000000000000006</v>
      </c>
      <c r="H159" s="913">
        <f t="shared" si="110"/>
        <v>2.4</v>
      </c>
      <c r="J159" s="905"/>
      <c r="K159" s="913">
        <v>3</v>
      </c>
      <c r="L159" s="913">
        <f t="shared" ref="L159:Q159" si="111">P16</f>
        <v>100</v>
      </c>
      <c r="M159" s="913">
        <f t="shared" si="111"/>
        <v>6</v>
      </c>
      <c r="N159" s="913">
        <f t="shared" si="111"/>
        <v>-0.22</v>
      </c>
      <c r="O159" s="913">
        <f t="shared" si="111"/>
        <v>2</v>
      </c>
      <c r="P159" s="913">
        <f t="shared" si="111"/>
        <v>3.11</v>
      </c>
      <c r="Q159" s="913">
        <f t="shared" si="111"/>
        <v>0.59</v>
      </c>
    </row>
    <row r="160" spans="1:17" x14ac:dyDescent="0.2">
      <c r="A160" s="905"/>
      <c r="B160" s="913">
        <v>4</v>
      </c>
      <c r="C160" s="913">
        <f t="shared" ref="C160:H160" si="112">B39</f>
        <v>200</v>
      </c>
      <c r="D160" s="913">
        <f t="shared" si="112"/>
        <v>-0.67</v>
      </c>
      <c r="E160" s="913">
        <f t="shared" si="112"/>
        <v>0.05</v>
      </c>
      <c r="F160" s="913" t="str">
        <f t="shared" si="112"/>
        <v>-</v>
      </c>
      <c r="G160" s="913">
        <f t="shared" si="112"/>
        <v>0.36000000000000004</v>
      </c>
      <c r="H160" s="913">
        <f t="shared" si="112"/>
        <v>2.4</v>
      </c>
      <c r="J160" s="905"/>
      <c r="K160" s="913">
        <v>4</v>
      </c>
      <c r="L160" s="913">
        <f t="shared" ref="L160:Q160" si="113">B47</f>
        <v>100</v>
      </c>
      <c r="M160" s="913">
        <f t="shared" si="113"/>
        <v>-0.4</v>
      </c>
      <c r="N160" s="913">
        <f t="shared" si="113"/>
        <v>-0.35</v>
      </c>
      <c r="O160" s="913" t="str">
        <f t="shared" si="113"/>
        <v>-</v>
      </c>
      <c r="P160" s="913">
        <f t="shared" si="113"/>
        <v>2.5000000000000022E-2</v>
      </c>
      <c r="Q160" s="913">
        <f t="shared" si="113"/>
        <v>0.59</v>
      </c>
    </row>
    <row r="161" spans="1:17" x14ac:dyDescent="0.2">
      <c r="A161" s="905"/>
      <c r="B161" s="913">
        <v>5</v>
      </c>
      <c r="C161" s="913">
        <f t="shared" ref="C161:H161" si="114">I39</f>
        <v>200</v>
      </c>
      <c r="D161" s="913">
        <f t="shared" si="114"/>
        <v>0.18</v>
      </c>
      <c r="E161" s="913">
        <f t="shared" si="114"/>
        <v>-0.03</v>
      </c>
      <c r="F161" s="913" t="str">
        <f t="shared" si="114"/>
        <v>-</v>
      </c>
      <c r="G161" s="913">
        <f t="shared" si="114"/>
        <v>0.105</v>
      </c>
      <c r="H161" s="913">
        <f t="shared" si="114"/>
        <v>2.4</v>
      </c>
      <c r="J161" s="905"/>
      <c r="K161" s="913">
        <v>5</v>
      </c>
      <c r="L161" s="913">
        <f t="shared" ref="L161:Q161" si="115">I47</f>
        <v>100</v>
      </c>
      <c r="M161" s="913">
        <f t="shared" si="115"/>
        <v>-0.1</v>
      </c>
      <c r="N161" s="913">
        <f t="shared" si="115"/>
        <v>-0.42</v>
      </c>
      <c r="O161" s="913" t="str">
        <f t="shared" si="115"/>
        <v>-</v>
      </c>
      <c r="P161" s="913">
        <f t="shared" si="115"/>
        <v>0.15999999999999998</v>
      </c>
      <c r="Q161" s="913">
        <f t="shared" si="115"/>
        <v>0.57999999999999996</v>
      </c>
    </row>
    <row r="162" spans="1:17" x14ac:dyDescent="0.2">
      <c r="A162" s="905"/>
      <c r="B162" s="913">
        <v>6</v>
      </c>
      <c r="C162" s="913">
        <f t="shared" ref="C162:H162" si="116">P39</f>
        <v>200</v>
      </c>
      <c r="D162" s="913">
        <f t="shared" si="116"/>
        <v>-0.1</v>
      </c>
      <c r="E162" s="913">
        <f t="shared" si="116"/>
        <v>0.05</v>
      </c>
      <c r="F162" s="913" t="str">
        <f t="shared" si="116"/>
        <v>-</v>
      </c>
      <c r="G162" s="913">
        <f t="shared" si="116"/>
        <v>7.5000000000000011E-2</v>
      </c>
      <c r="H162" s="913">
        <f t="shared" si="116"/>
        <v>2.4</v>
      </c>
      <c r="J162" s="905"/>
      <c r="K162" s="913">
        <v>6</v>
      </c>
      <c r="L162" s="913">
        <f t="shared" ref="L162:Q162" si="117">P47</f>
        <v>100</v>
      </c>
      <c r="M162" s="913">
        <f t="shared" si="117"/>
        <v>0.22</v>
      </c>
      <c r="N162" s="913">
        <f t="shared" si="117"/>
        <v>-0.2</v>
      </c>
      <c r="O162" s="913" t="str">
        <f t="shared" si="117"/>
        <v>-</v>
      </c>
      <c r="P162" s="913">
        <f t="shared" si="117"/>
        <v>0.21000000000000002</v>
      </c>
      <c r="Q162" s="913">
        <f t="shared" si="117"/>
        <v>0.57999999999999996</v>
      </c>
    </row>
    <row r="163" spans="1:17" x14ac:dyDescent="0.2">
      <c r="A163" s="905"/>
      <c r="B163" s="913">
        <v>7</v>
      </c>
      <c r="C163" s="913">
        <f t="shared" ref="C163:H163" si="118">B70</f>
        <v>200.35</v>
      </c>
      <c r="D163" s="913">
        <f t="shared" si="118"/>
        <v>0.34</v>
      </c>
      <c r="E163" s="913">
        <f t="shared" si="118"/>
        <v>0.4</v>
      </c>
      <c r="F163" s="913" t="str">
        <f t="shared" si="118"/>
        <v>-</v>
      </c>
      <c r="G163" s="913">
        <f t="shared" si="118"/>
        <v>0.03</v>
      </c>
      <c r="H163" s="913">
        <f t="shared" si="118"/>
        <v>2.4041999999999999</v>
      </c>
      <c r="J163" s="905"/>
      <c r="K163" s="913">
        <v>7</v>
      </c>
      <c r="L163" s="913">
        <f t="shared" ref="L163:Q163" si="119">B78</f>
        <v>100</v>
      </c>
      <c r="M163" s="913">
        <f t="shared" si="119"/>
        <v>1.7</v>
      </c>
      <c r="N163" s="913">
        <f t="shared" si="119"/>
        <v>2.2000000000000002</v>
      </c>
      <c r="O163" s="913" t="str">
        <f t="shared" si="119"/>
        <v>-</v>
      </c>
      <c r="P163" s="913">
        <f t="shared" si="119"/>
        <v>0.25000000000000011</v>
      </c>
      <c r="Q163" s="913">
        <f t="shared" si="119"/>
        <v>0.59</v>
      </c>
    </row>
    <row r="164" spans="1:17" x14ac:dyDescent="0.2">
      <c r="A164" s="905"/>
      <c r="B164" s="913">
        <v>8</v>
      </c>
      <c r="C164" s="913">
        <f t="shared" ref="C164:H164" si="120">I70</f>
        <v>200</v>
      </c>
      <c r="D164" s="913">
        <f t="shared" si="120"/>
        <v>-0.23</v>
      </c>
      <c r="E164" s="913">
        <f t="shared" si="120"/>
        <v>-0.33</v>
      </c>
      <c r="F164" s="913" t="str">
        <f t="shared" si="120"/>
        <v>-</v>
      </c>
      <c r="G164" s="913">
        <f t="shared" si="120"/>
        <v>0.05</v>
      </c>
      <c r="H164" s="913">
        <f t="shared" si="120"/>
        <v>2.4</v>
      </c>
      <c r="J164" s="905"/>
      <c r="K164" s="913">
        <v>8</v>
      </c>
      <c r="L164" s="913">
        <f t="shared" ref="L164:Q164" si="121">I78</f>
        <v>50</v>
      </c>
      <c r="M164" s="913">
        <f t="shared" si="121"/>
        <v>5</v>
      </c>
      <c r="N164" s="913">
        <f t="shared" si="121"/>
        <v>2.1</v>
      </c>
      <c r="O164" s="913" t="str">
        <f t="shared" si="121"/>
        <v>-</v>
      </c>
      <c r="P164" s="913">
        <f t="shared" si="121"/>
        <v>1.45</v>
      </c>
      <c r="Q164" s="913">
        <f t="shared" si="121"/>
        <v>0.29499999999999998</v>
      </c>
    </row>
    <row r="165" spans="1:17" x14ac:dyDescent="0.2">
      <c r="A165" s="905"/>
      <c r="B165" s="913">
        <v>9</v>
      </c>
      <c r="C165" s="913">
        <f t="shared" ref="C165:H165" si="122">P70</f>
        <v>199.67</v>
      </c>
      <c r="D165" s="913">
        <f t="shared" si="122"/>
        <v>-0.33</v>
      </c>
      <c r="E165" s="913" t="str">
        <f t="shared" si="122"/>
        <v>-</v>
      </c>
      <c r="F165" s="913" t="str">
        <f t="shared" si="122"/>
        <v>-</v>
      </c>
      <c r="G165" s="913">
        <f t="shared" si="122"/>
        <v>0</v>
      </c>
      <c r="H165" s="913">
        <f t="shared" si="122"/>
        <v>2.3960399999999997</v>
      </c>
      <c r="J165" s="905"/>
      <c r="K165" s="913">
        <v>9</v>
      </c>
      <c r="L165" s="913">
        <f t="shared" ref="L165:Q165" si="123">P78</f>
        <v>51.7</v>
      </c>
      <c r="M165" s="913">
        <f t="shared" si="123"/>
        <v>1.7</v>
      </c>
      <c r="N165" s="913" t="str">
        <f t="shared" si="123"/>
        <v>-</v>
      </c>
      <c r="O165" s="913" t="str">
        <f t="shared" si="123"/>
        <v>-</v>
      </c>
      <c r="P165" s="913">
        <f t="shared" si="123"/>
        <v>0</v>
      </c>
      <c r="Q165" s="913">
        <f t="shared" si="123"/>
        <v>0.30503000000000002</v>
      </c>
    </row>
    <row r="166" spans="1:17" x14ac:dyDescent="0.2">
      <c r="A166" s="905"/>
      <c r="B166" s="913">
        <v>10</v>
      </c>
      <c r="C166" s="913">
        <f>B101</f>
        <v>200</v>
      </c>
      <c r="D166" s="913">
        <f t="shared" ref="D166:F166" si="124">C101</f>
        <v>-0.67</v>
      </c>
      <c r="E166" s="913" t="str">
        <f t="shared" si="124"/>
        <v>-</v>
      </c>
      <c r="F166" s="913" t="str">
        <f t="shared" si="124"/>
        <v>-</v>
      </c>
      <c r="G166" s="913">
        <f>F101</f>
        <v>0</v>
      </c>
      <c r="H166" s="913" t="str">
        <f>G101</f>
        <v>-</v>
      </c>
      <c r="J166" s="905"/>
      <c r="K166" s="913">
        <v>10</v>
      </c>
      <c r="L166" s="913">
        <f t="shared" ref="L166:Q166" si="125">B109</f>
        <v>100</v>
      </c>
      <c r="M166" s="913">
        <f t="shared" si="125"/>
        <v>0.4</v>
      </c>
      <c r="N166" s="913" t="str">
        <f t="shared" si="125"/>
        <v>-</v>
      </c>
      <c r="O166" s="913" t="str">
        <f t="shared" si="125"/>
        <v>-</v>
      </c>
      <c r="P166" s="913">
        <f t="shared" si="125"/>
        <v>0</v>
      </c>
      <c r="Q166" s="913" t="str">
        <f t="shared" si="125"/>
        <v>-</v>
      </c>
    </row>
    <row r="167" spans="1:17" x14ac:dyDescent="0.2">
      <c r="A167" s="905"/>
      <c r="B167" s="913">
        <v>11</v>
      </c>
      <c r="C167" s="913">
        <f>I101</f>
        <v>200</v>
      </c>
      <c r="D167" s="913">
        <f t="shared" ref="D167:F167" si="126">J101</f>
        <v>9.9999999999999995E-7</v>
      </c>
      <c r="E167" s="913" t="str">
        <f t="shared" si="126"/>
        <v>-</v>
      </c>
      <c r="F167" s="913" t="str">
        <f t="shared" si="126"/>
        <v>-</v>
      </c>
      <c r="G167" s="913">
        <f>M101</f>
        <v>0</v>
      </c>
      <c r="H167" s="913" t="str">
        <f>N101</f>
        <v>-</v>
      </c>
      <c r="J167" s="905"/>
      <c r="K167" s="913">
        <v>11</v>
      </c>
      <c r="L167" s="913">
        <f t="shared" ref="L167:Q167" si="127">I109</f>
        <v>100</v>
      </c>
      <c r="M167" s="913">
        <f t="shared" si="127"/>
        <v>9.9999999999999995E-7</v>
      </c>
      <c r="N167" s="913" t="str">
        <f t="shared" si="127"/>
        <v>-</v>
      </c>
      <c r="O167" s="913" t="str">
        <f t="shared" si="127"/>
        <v>-</v>
      </c>
      <c r="P167" s="913">
        <f t="shared" si="127"/>
        <v>0</v>
      </c>
      <c r="Q167" s="913" t="str">
        <f t="shared" si="127"/>
        <v>-</v>
      </c>
    </row>
    <row r="168" spans="1:17" x14ac:dyDescent="0.2">
      <c r="A168" s="905"/>
      <c r="B168" s="913">
        <v>12</v>
      </c>
      <c r="C168" s="913">
        <f>P101</f>
        <v>200</v>
      </c>
      <c r="D168" s="913">
        <f t="shared" ref="D168:F168" si="128">Q101</f>
        <v>9.9999999999999995E-7</v>
      </c>
      <c r="E168" s="913" t="str">
        <f t="shared" si="128"/>
        <v>-</v>
      </c>
      <c r="F168" s="913" t="str">
        <f t="shared" si="128"/>
        <v>-</v>
      </c>
      <c r="G168" s="913">
        <f>T101</f>
        <v>0</v>
      </c>
      <c r="H168" s="913" t="str">
        <f>U101</f>
        <v>-</v>
      </c>
      <c r="J168" s="905"/>
      <c r="K168" s="913">
        <v>12</v>
      </c>
      <c r="L168" s="913">
        <f t="shared" ref="L168:Q168" si="129">P109</f>
        <v>100</v>
      </c>
      <c r="M168" s="913">
        <f t="shared" si="129"/>
        <v>9.9999999999999995E-7</v>
      </c>
      <c r="N168" s="913" t="str">
        <f t="shared" si="129"/>
        <v>-</v>
      </c>
      <c r="O168" s="913" t="str">
        <f t="shared" si="129"/>
        <v>-</v>
      </c>
      <c r="P168" s="913">
        <f t="shared" si="129"/>
        <v>0</v>
      </c>
      <c r="Q168" s="913" t="str">
        <f t="shared" si="129"/>
        <v>-</v>
      </c>
    </row>
    <row r="169" spans="1:17" s="871" customFormat="1" x14ac:dyDescent="0.2">
      <c r="A169" s="915"/>
      <c r="B169" s="915"/>
      <c r="C169" s="915"/>
      <c r="D169" s="915"/>
      <c r="E169" s="915"/>
      <c r="F169" s="916"/>
      <c r="G169" s="915"/>
      <c r="H169" s="915"/>
      <c r="J169" s="915"/>
      <c r="K169" s="915"/>
      <c r="L169" s="915"/>
      <c r="M169" s="915"/>
      <c r="N169" s="915"/>
      <c r="O169" s="916"/>
      <c r="P169" s="915"/>
      <c r="Q169" s="915"/>
    </row>
    <row r="170" spans="1:17" x14ac:dyDescent="0.2">
      <c r="A170" s="905" t="s">
        <v>51</v>
      </c>
      <c r="B170" s="913">
        <v>1</v>
      </c>
      <c r="C170" s="913">
        <f t="shared" ref="C170:H170" si="130">B9</f>
        <v>220</v>
      </c>
      <c r="D170" s="913">
        <f t="shared" si="130"/>
        <v>-0.28000000000000003</v>
      </c>
      <c r="E170" s="913">
        <f t="shared" si="130"/>
        <v>-0.18</v>
      </c>
      <c r="F170" s="913" t="str">
        <f t="shared" si="130"/>
        <v>-</v>
      </c>
      <c r="G170" s="913">
        <f t="shared" si="130"/>
        <v>5.0000000000000017E-2</v>
      </c>
      <c r="H170" s="913">
        <f t="shared" si="130"/>
        <v>2.64</v>
      </c>
      <c r="J170" s="905" t="s">
        <v>51</v>
      </c>
      <c r="K170" s="913">
        <v>1</v>
      </c>
      <c r="L170" s="913">
        <f t="shared" ref="L170:Q170" si="131">B17</f>
        <v>200</v>
      </c>
      <c r="M170" s="913">
        <f t="shared" si="131"/>
        <v>0.4</v>
      </c>
      <c r="N170" s="913">
        <f t="shared" si="131"/>
        <v>9.9999999999999995E-7</v>
      </c>
      <c r="O170" s="913" t="str">
        <f t="shared" si="131"/>
        <v>-</v>
      </c>
      <c r="P170" s="913">
        <f t="shared" si="131"/>
        <v>0.19999950000000002</v>
      </c>
      <c r="Q170" s="913">
        <f t="shared" si="131"/>
        <v>1.18</v>
      </c>
    </row>
    <row r="171" spans="1:17" x14ac:dyDescent="0.2">
      <c r="A171" s="905"/>
      <c r="B171" s="913">
        <v>2</v>
      </c>
      <c r="C171" s="913">
        <f t="shared" ref="C171:H171" si="132">I9</f>
        <v>220</v>
      </c>
      <c r="D171" s="913">
        <f t="shared" si="132"/>
        <v>0.05</v>
      </c>
      <c r="E171" s="913">
        <f t="shared" si="132"/>
        <v>-0.03</v>
      </c>
      <c r="F171" s="913" t="str">
        <f t="shared" si="132"/>
        <v>-</v>
      </c>
      <c r="G171" s="913">
        <f t="shared" si="132"/>
        <v>0.04</v>
      </c>
      <c r="H171" s="913">
        <f t="shared" si="132"/>
        <v>2.64</v>
      </c>
      <c r="J171" s="905"/>
      <c r="K171" s="913">
        <v>2</v>
      </c>
      <c r="L171" s="913">
        <f t="shared" ref="L171:Q171" si="133">I17</f>
        <v>200</v>
      </c>
      <c r="M171" s="913">
        <f t="shared" si="133"/>
        <v>-0.1</v>
      </c>
      <c r="N171" s="913">
        <f t="shared" si="133"/>
        <v>3.3</v>
      </c>
      <c r="O171" s="913" t="str">
        <f t="shared" si="133"/>
        <v>-</v>
      </c>
      <c r="P171" s="913">
        <f t="shared" si="133"/>
        <v>1.7</v>
      </c>
      <c r="Q171" s="913">
        <f t="shared" si="133"/>
        <v>1.18</v>
      </c>
    </row>
    <row r="172" spans="1:17" x14ac:dyDescent="0.2">
      <c r="A172" s="905"/>
      <c r="B172" s="913">
        <v>3</v>
      </c>
      <c r="C172" s="913">
        <f t="shared" ref="C172:H172" si="134">P9</f>
        <v>220</v>
      </c>
      <c r="D172" s="913">
        <f t="shared" si="134"/>
        <v>-2.29</v>
      </c>
      <c r="E172" s="913">
        <f t="shared" si="134"/>
        <v>-3.44</v>
      </c>
      <c r="F172" s="913">
        <f t="shared" si="134"/>
        <v>-0.28999999999999998</v>
      </c>
      <c r="G172" s="913">
        <f t="shared" si="134"/>
        <v>1.575</v>
      </c>
      <c r="H172" s="913">
        <f t="shared" si="134"/>
        <v>2.64</v>
      </c>
      <c r="J172" s="905"/>
      <c r="K172" s="913">
        <v>3</v>
      </c>
      <c r="L172" s="913">
        <f t="shared" ref="L172:Q172" si="135">P17</f>
        <v>200</v>
      </c>
      <c r="M172" s="913">
        <f t="shared" si="135"/>
        <v>-3.6</v>
      </c>
      <c r="N172" s="913">
        <f t="shared" si="135"/>
        <v>-0.1</v>
      </c>
      <c r="O172" s="913">
        <f t="shared" si="135"/>
        <v>3.6</v>
      </c>
      <c r="P172" s="913">
        <f t="shared" si="135"/>
        <v>3.6</v>
      </c>
      <c r="Q172" s="913">
        <f t="shared" si="135"/>
        <v>1.18</v>
      </c>
    </row>
    <row r="173" spans="1:17" x14ac:dyDescent="0.2">
      <c r="A173" s="905"/>
      <c r="B173" s="913">
        <v>4</v>
      </c>
      <c r="C173" s="913">
        <f t="shared" ref="C173:H173" si="136">B40</f>
        <v>220</v>
      </c>
      <c r="D173" s="913">
        <f t="shared" si="136"/>
        <v>9.9999999999999995E-7</v>
      </c>
      <c r="E173" s="913">
        <f t="shared" si="136"/>
        <v>0.1</v>
      </c>
      <c r="F173" s="913" t="str">
        <f t="shared" si="136"/>
        <v>-</v>
      </c>
      <c r="G173" s="913">
        <f t="shared" si="136"/>
        <v>4.9999500000000002E-2</v>
      </c>
      <c r="H173" s="913">
        <f t="shared" si="136"/>
        <v>2.64</v>
      </c>
      <c r="J173" s="905"/>
      <c r="K173" s="913">
        <v>4</v>
      </c>
      <c r="L173" s="913">
        <f t="shared" ref="L173:Q173" si="137">B48</f>
        <v>200</v>
      </c>
      <c r="M173" s="913">
        <f t="shared" si="137"/>
        <v>0.3</v>
      </c>
      <c r="N173" s="913">
        <f t="shared" si="137"/>
        <v>0.8</v>
      </c>
      <c r="O173" s="913" t="str">
        <f t="shared" si="137"/>
        <v>-</v>
      </c>
      <c r="P173" s="913">
        <f t="shared" si="137"/>
        <v>0.25</v>
      </c>
      <c r="Q173" s="913">
        <f t="shared" si="137"/>
        <v>1.18</v>
      </c>
    </row>
    <row r="174" spans="1:17" x14ac:dyDescent="0.2">
      <c r="A174" s="905"/>
      <c r="B174" s="913">
        <v>5</v>
      </c>
      <c r="C174" s="913">
        <f t="shared" ref="C174:H174" si="138">I40</f>
        <v>220</v>
      </c>
      <c r="D174" s="913">
        <f t="shared" si="138"/>
        <v>0.56000000000000005</v>
      </c>
      <c r="E174" s="913">
        <f t="shared" si="138"/>
        <v>0.38</v>
      </c>
      <c r="F174" s="913" t="str">
        <f t="shared" si="138"/>
        <v>-</v>
      </c>
      <c r="G174" s="913">
        <f t="shared" si="138"/>
        <v>9.0000000000000024E-2</v>
      </c>
      <c r="H174" s="913">
        <f t="shared" si="138"/>
        <v>2.64</v>
      </c>
      <c r="J174" s="905"/>
      <c r="K174" s="913">
        <v>5</v>
      </c>
      <c r="L174" s="913">
        <f t="shared" ref="L174:Q174" si="139">I48</f>
        <v>200</v>
      </c>
      <c r="M174" s="913">
        <f t="shared" si="139"/>
        <v>1.3</v>
      </c>
      <c r="N174" s="913">
        <f t="shared" si="139"/>
        <v>1.3</v>
      </c>
      <c r="O174" s="913" t="str">
        <f t="shared" si="139"/>
        <v>-</v>
      </c>
      <c r="P174" s="913">
        <f t="shared" si="139"/>
        <v>0</v>
      </c>
      <c r="Q174" s="913">
        <f t="shared" si="139"/>
        <v>1.1599999999999999</v>
      </c>
    </row>
    <row r="175" spans="1:17" x14ac:dyDescent="0.2">
      <c r="A175" s="905"/>
      <c r="B175" s="913">
        <v>6</v>
      </c>
      <c r="C175" s="913">
        <f t="shared" ref="C175:H175" si="140">P40</f>
        <v>220</v>
      </c>
      <c r="D175" s="913">
        <f t="shared" si="140"/>
        <v>-0.13</v>
      </c>
      <c r="E175" s="913">
        <f t="shared" si="140"/>
        <v>0.05</v>
      </c>
      <c r="F175" s="913" t="str">
        <f t="shared" si="140"/>
        <v>-</v>
      </c>
      <c r="G175" s="913">
        <f t="shared" si="140"/>
        <v>0.09</v>
      </c>
      <c r="H175" s="913">
        <f t="shared" si="140"/>
        <v>2.64</v>
      </c>
      <c r="J175" s="905"/>
      <c r="K175" s="913">
        <v>6</v>
      </c>
      <c r="L175" s="913">
        <f t="shared" ref="L175:Q175" si="141">P48</f>
        <v>200</v>
      </c>
      <c r="M175" s="913">
        <f t="shared" si="141"/>
        <v>0.8</v>
      </c>
      <c r="N175" s="913">
        <f t="shared" si="141"/>
        <v>0.8</v>
      </c>
      <c r="O175" s="913" t="str">
        <f t="shared" si="141"/>
        <v>-</v>
      </c>
      <c r="P175" s="913">
        <f t="shared" si="141"/>
        <v>0</v>
      </c>
      <c r="Q175" s="913">
        <f t="shared" si="141"/>
        <v>1.1599999999999999</v>
      </c>
    </row>
    <row r="176" spans="1:17" x14ac:dyDescent="0.2">
      <c r="A176" s="905"/>
      <c r="B176" s="913">
        <v>7</v>
      </c>
      <c r="C176" s="913">
        <f t="shared" ref="C176:H176" si="142">B71</f>
        <v>220.37</v>
      </c>
      <c r="D176" s="913">
        <f t="shared" si="142"/>
        <v>0.37</v>
      </c>
      <c r="E176" s="913">
        <f t="shared" si="142"/>
        <v>0.38</v>
      </c>
      <c r="F176" s="913" t="str">
        <f t="shared" si="142"/>
        <v>-</v>
      </c>
      <c r="G176" s="913">
        <f t="shared" si="142"/>
        <v>5.0000000000000044E-3</v>
      </c>
      <c r="H176" s="913">
        <f t="shared" si="142"/>
        <v>2.6444399999999999</v>
      </c>
      <c r="J176" s="905"/>
      <c r="K176" s="913">
        <v>7</v>
      </c>
      <c r="L176" s="913">
        <f t="shared" ref="L176:Q176" si="143">B79</f>
        <v>200.4</v>
      </c>
      <c r="M176" s="913">
        <f t="shared" si="143"/>
        <v>0.4</v>
      </c>
      <c r="N176" s="913">
        <f t="shared" si="143"/>
        <v>2.4</v>
      </c>
      <c r="O176" s="913" t="str">
        <f t="shared" si="143"/>
        <v>-</v>
      </c>
      <c r="P176" s="913">
        <f t="shared" si="143"/>
        <v>1</v>
      </c>
      <c r="Q176" s="913">
        <f t="shared" si="143"/>
        <v>1.1823600000000001</v>
      </c>
    </row>
    <row r="177" spans="1:17" x14ac:dyDescent="0.2">
      <c r="A177" s="905"/>
      <c r="B177" s="913">
        <v>8</v>
      </c>
      <c r="C177" s="913">
        <f t="shared" ref="C177:H177" si="144">I71</f>
        <v>220</v>
      </c>
      <c r="D177" s="913">
        <f t="shared" si="144"/>
        <v>-0.16</v>
      </c>
      <c r="E177" s="913">
        <f t="shared" si="144"/>
        <v>-0.45</v>
      </c>
      <c r="F177" s="913" t="str">
        <f t="shared" si="144"/>
        <v>-</v>
      </c>
      <c r="G177" s="913">
        <f t="shared" si="144"/>
        <v>0.14500000000000002</v>
      </c>
      <c r="H177" s="913">
        <f t="shared" si="144"/>
        <v>2.64</v>
      </c>
      <c r="J177" s="905"/>
      <c r="K177" s="913">
        <v>8</v>
      </c>
      <c r="L177" s="913">
        <f t="shared" ref="L177:Q177" si="145">I79</f>
        <v>200</v>
      </c>
      <c r="M177" s="913">
        <f t="shared" si="145"/>
        <v>-8.1999999999999993</v>
      </c>
      <c r="N177" s="913">
        <f t="shared" si="145"/>
        <v>3.7</v>
      </c>
      <c r="O177" s="913" t="str">
        <f t="shared" si="145"/>
        <v>-</v>
      </c>
      <c r="P177" s="913">
        <f t="shared" si="145"/>
        <v>5.9499999999999993</v>
      </c>
      <c r="Q177" s="913">
        <f t="shared" si="145"/>
        <v>1.18</v>
      </c>
    </row>
    <row r="178" spans="1:17" x14ac:dyDescent="0.2">
      <c r="A178" s="905"/>
      <c r="B178" s="913">
        <v>9</v>
      </c>
      <c r="C178" s="913">
        <f t="shared" ref="C178:H178" si="146">P71</f>
        <v>219.61</v>
      </c>
      <c r="D178" s="913">
        <f t="shared" si="146"/>
        <v>-0.39</v>
      </c>
      <c r="E178" s="913" t="str">
        <f t="shared" si="146"/>
        <v>-</v>
      </c>
      <c r="F178" s="913" t="str">
        <f t="shared" si="146"/>
        <v>-</v>
      </c>
      <c r="G178" s="913">
        <f t="shared" si="146"/>
        <v>0</v>
      </c>
      <c r="H178" s="913">
        <f t="shared" si="146"/>
        <v>2.6353200000000001</v>
      </c>
      <c r="J178" s="905"/>
      <c r="K178" s="913">
        <v>9</v>
      </c>
      <c r="L178" s="913">
        <f t="shared" ref="L178:Q178" si="147">P79</f>
        <v>103.4</v>
      </c>
      <c r="M178" s="913">
        <f t="shared" si="147"/>
        <v>3.4</v>
      </c>
      <c r="N178" s="913" t="str">
        <f t="shared" si="147"/>
        <v>-</v>
      </c>
      <c r="O178" s="913" t="str">
        <f t="shared" si="147"/>
        <v>-</v>
      </c>
      <c r="P178" s="913">
        <f t="shared" si="147"/>
        <v>0</v>
      </c>
      <c r="Q178" s="913">
        <f t="shared" si="147"/>
        <v>0.61006000000000005</v>
      </c>
    </row>
    <row r="179" spans="1:17" x14ac:dyDescent="0.2">
      <c r="A179" s="905"/>
      <c r="B179" s="913">
        <v>10</v>
      </c>
      <c r="C179" s="913">
        <f>B102</f>
        <v>220</v>
      </c>
      <c r="D179" s="913">
        <f t="shared" ref="D179:F179" si="148">C102</f>
        <v>9.9999999999999995E-7</v>
      </c>
      <c r="E179" s="913" t="str">
        <f t="shared" si="148"/>
        <v>-</v>
      </c>
      <c r="F179" s="913" t="str">
        <f t="shared" si="148"/>
        <v>-</v>
      </c>
      <c r="G179" s="913">
        <f>F102</f>
        <v>0</v>
      </c>
      <c r="H179" s="913" t="str">
        <f>G102</f>
        <v>-</v>
      </c>
      <c r="J179" s="905"/>
      <c r="K179" s="913">
        <v>10</v>
      </c>
      <c r="L179" s="913">
        <f t="shared" ref="L179:Q179" si="149">B110</f>
        <v>200</v>
      </c>
      <c r="M179" s="913">
        <f t="shared" si="149"/>
        <v>0.4</v>
      </c>
      <c r="N179" s="913" t="str">
        <f t="shared" si="149"/>
        <v>-</v>
      </c>
      <c r="O179" s="913" t="str">
        <f t="shared" si="149"/>
        <v>-</v>
      </c>
      <c r="P179" s="913">
        <f t="shared" si="149"/>
        <v>0</v>
      </c>
      <c r="Q179" s="913" t="str">
        <f t="shared" si="149"/>
        <v>-</v>
      </c>
    </row>
    <row r="180" spans="1:17" x14ac:dyDescent="0.2">
      <c r="A180" s="905"/>
      <c r="B180" s="913">
        <v>11</v>
      </c>
      <c r="C180" s="913">
        <f>I102</f>
        <v>220</v>
      </c>
      <c r="D180" s="913">
        <f t="shared" ref="D180:F180" si="150">J102</f>
        <v>9.9999999999999995E-7</v>
      </c>
      <c r="E180" s="913" t="str">
        <f t="shared" si="150"/>
        <v>-</v>
      </c>
      <c r="F180" s="913" t="str">
        <f t="shared" si="150"/>
        <v>-</v>
      </c>
      <c r="G180" s="913">
        <f>M102</f>
        <v>0</v>
      </c>
      <c r="H180" s="913" t="str">
        <f>N102</f>
        <v>-</v>
      </c>
      <c r="J180" s="905"/>
      <c r="K180" s="913">
        <v>11</v>
      </c>
      <c r="L180" s="913">
        <f t="shared" ref="L180:Q180" si="151">I110</f>
        <v>200</v>
      </c>
      <c r="M180" s="913">
        <f t="shared" si="151"/>
        <v>9.9999999999999995E-7</v>
      </c>
      <c r="N180" s="913" t="str">
        <f t="shared" si="151"/>
        <v>-</v>
      </c>
      <c r="O180" s="913" t="str">
        <f t="shared" si="151"/>
        <v>-</v>
      </c>
      <c r="P180" s="913">
        <f t="shared" si="151"/>
        <v>0</v>
      </c>
      <c r="Q180" s="913" t="str">
        <f t="shared" si="151"/>
        <v>-</v>
      </c>
    </row>
    <row r="181" spans="1:17" x14ac:dyDescent="0.2">
      <c r="A181" s="905"/>
      <c r="B181" s="913">
        <v>12</v>
      </c>
      <c r="C181" s="913">
        <f>P102</f>
        <v>220</v>
      </c>
      <c r="D181" s="913">
        <f t="shared" ref="D181:F181" si="152">Q102</f>
        <v>9.9999999999999995E-7</v>
      </c>
      <c r="E181" s="913" t="str">
        <f t="shared" si="152"/>
        <v>-</v>
      </c>
      <c r="F181" s="913" t="str">
        <f t="shared" si="152"/>
        <v>-</v>
      </c>
      <c r="G181" s="913">
        <f>T102</f>
        <v>0</v>
      </c>
      <c r="H181" s="913" t="str">
        <f>U102</f>
        <v>-</v>
      </c>
      <c r="J181" s="905"/>
      <c r="K181" s="913">
        <v>12</v>
      </c>
      <c r="L181" s="913">
        <f t="shared" ref="L181:Q181" si="153">P110</f>
        <v>200</v>
      </c>
      <c r="M181" s="913">
        <f t="shared" si="153"/>
        <v>9.9999999999999995E-7</v>
      </c>
      <c r="N181" s="913" t="str">
        <f t="shared" si="153"/>
        <v>-</v>
      </c>
      <c r="O181" s="913" t="str">
        <f t="shared" si="153"/>
        <v>-</v>
      </c>
      <c r="P181" s="913">
        <f t="shared" si="153"/>
        <v>0</v>
      </c>
      <c r="Q181" s="913" t="str">
        <f t="shared" si="153"/>
        <v>-</v>
      </c>
    </row>
    <row r="182" spans="1:17" s="871" customFormat="1" x14ac:dyDescent="0.2">
      <c r="A182" s="915"/>
      <c r="B182" s="915"/>
      <c r="C182" s="915"/>
      <c r="D182" s="915"/>
      <c r="E182" s="915"/>
      <c r="F182" s="916"/>
      <c r="G182" s="915"/>
      <c r="H182" s="915"/>
      <c r="J182" s="915"/>
      <c r="K182" s="915"/>
      <c r="L182" s="915"/>
      <c r="M182" s="915"/>
      <c r="N182" s="915"/>
      <c r="O182" s="916"/>
      <c r="P182" s="915"/>
      <c r="Q182" s="915"/>
    </row>
    <row r="183" spans="1:17" x14ac:dyDescent="0.2">
      <c r="A183" s="905" t="s">
        <v>52</v>
      </c>
      <c r="B183" s="913">
        <v>1</v>
      </c>
      <c r="C183" s="913">
        <f t="shared" ref="C183:G183" si="154">B10</f>
        <v>230</v>
      </c>
      <c r="D183" s="913">
        <f t="shared" si="154"/>
        <v>-0.2</v>
      </c>
      <c r="E183" s="913">
        <f t="shared" si="154"/>
        <v>-0.26</v>
      </c>
      <c r="F183" s="913" t="str">
        <f t="shared" si="154"/>
        <v>-</v>
      </c>
      <c r="G183" s="913">
        <f t="shared" si="154"/>
        <v>0.03</v>
      </c>
      <c r="H183" s="913">
        <f>G10</f>
        <v>2.7600000000000002</v>
      </c>
      <c r="J183" s="905" t="s">
        <v>52</v>
      </c>
      <c r="K183" s="913">
        <v>1</v>
      </c>
      <c r="L183" s="913">
        <f t="shared" ref="L183:Q183" si="155">B18</f>
        <v>500</v>
      </c>
      <c r="M183" s="913">
        <f t="shared" si="155"/>
        <v>3.8</v>
      </c>
      <c r="N183" s="913">
        <f t="shared" si="155"/>
        <v>-0.9</v>
      </c>
      <c r="O183" s="913" t="str">
        <f t="shared" si="155"/>
        <v>-</v>
      </c>
      <c r="P183" s="913">
        <f t="shared" si="155"/>
        <v>2.35</v>
      </c>
      <c r="Q183" s="913">
        <f t="shared" si="155"/>
        <v>2.9499999999999997</v>
      </c>
    </row>
    <row r="184" spans="1:17" x14ac:dyDescent="0.2">
      <c r="A184" s="905"/>
      <c r="B184" s="913">
        <v>2</v>
      </c>
      <c r="C184" s="913">
        <f t="shared" ref="C184:H184" si="156">I10</f>
        <v>230</v>
      </c>
      <c r="D184" s="913">
        <f t="shared" si="156"/>
        <v>9.9999999999999995E-7</v>
      </c>
      <c r="E184" s="913">
        <f t="shared" si="156"/>
        <v>0.05</v>
      </c>
      <c r="F184" s="913" t="str">
        <f t="shared" si="156"/>
        <v>-</v>
      </c>
      <c r="G184" s="913">
        <f t="shared" si="156"/>
        <v>2.4999500000000001E-2</v>
      </c>
      <c r="H184" s="913">
        <f t="shared" si="156"/>
        <v>2.7600000000000002</v>
      </c>
      <c r="J184" s="905"/>
      <c r="K184" s="913">
        <v>2</v>
      </c>
      <c r="L184" s="913">
        <f t="shared" ref="L184:Q184" si="157">I18</f>
        <v>500</v>
      </c>
      <c r="M184" s="913">
        <f t="shared" si="157"/>
        <v>0.8</v>
      </c>
      <c r="N184" s="913">
        <f t="shared" si="157"/>
        <v>2</v>
      </c>
      <c r="O184" s="913" t="str">
        <f t="shared" si="157"/>
        <v>-</v>
      </c>
      <c r="P184" s="913">
        <f t="shared" si="157"/>
        <v>0.6</v>
      </c>
      <c r="Q184" s="913">
        <f t="shared" si="157"/>
        <v>2.9499999999999997</v>
      </c>
    </row>
    <row r="185" spans="1:17" x14ac:dyDescent="0.2">
      <c r="A185" s="905"/>
      <c r="B185" s="913">
        <v>3</v>
      </c>
      <c r="C185" s="913">
        <f t="shared" ref="C185:H185" si="158">P10</f>
        <v>230</v>
      </c>
      <c r="D185" s="913">
        <f t="shared" si="158"/>
        <v>-11.79</v>
      </c>
      <c r="E185" s="913">
        <f t="shared" si="158"/>
        <v>-2.52</v>
      </c>
      <c r="F185" s="913">
        <f t="shared" si="158"/>
        <v>-0.23</v>
      </c>
      <c r="G185" s="913">
        <f t="shared" si="158"/>
        <v>5.7799999999999994</v>
      </c>
      <c r="H185" s="913">
        <f t="shared" si="158"/>
        <v>2.7600000000000002</v>
      </c>
      <c r="J185" s="905"/>
      <c r="K185" s="913">
        <v>3</v>
      </c>
      <c r="L185" s="913">
        <f t="shared" ref="L185:Q185" si="159">P18</f>
        <v>500</v>
      </c>
      <c r="M185" s="913">
        <f t="shared" si="159"/>
        <v>-18.8</v>
      </c>
      <c r="N185" s="913">
        <f t="shared" si="159"/>
        <v>-1.1000000000000001</v>
      </c>
      <c r="O185" s="913">
        <f t="shared" si="159"/>
        <v>2.9</v>
      </c>
      <c r="P185" s="913">
        <f t="shared" si="159"/>
        <v>10.85</v>
      </c>
      <c r="Q185" s="913">
        <f t="shared" si="159"/>
        <v>2.9499999999999997</v>
      </c>
    </row>
    <row r="186" spans="1:17" x14ac:dyDescent="0.2">
      <c r="A186" s="905"/>
      <c r="B186" s="913">
        <v>4</v>
      </c>
      <c r="C186" s="913">
        <f t="shared" ref="C186:H186" si="160">B41</f>
        <v>230</v>
      </c>
      <c r="D186" s="913">
        <f t="shared" si="160"/>
        <v>-0.11</v>
      </c>
      <c r="E186" s="913">
        <f t="shared" si="160"/>
        <v>1.1100000000000001</v>
      </c>
      <c r="F186" s="913" t="str">
        <f t="shared" si="160"/>
        <v>-</v>
      </c>
      <c r="G186" s="913">
        <f t="shared" si="160"/>
        <v>0.6100000000000001</v>
      </c>
      <c r="H186" s="913">
        <f t="shared" si="160"/>
        <v>2.7600000000000002</v>
      </c>
      <c r="J186" s="905"/>
      <c r="K186" s="913">
        <v>4</v>
      </c>
      <c r="L186" s="913">
        <f t="shared" ref="L186:Q186" si="161">B49</f>
        <v>500</v>
      </c>
      <c r="M186" s="913">
        <f t="shared" si="161"/>
        <v>0.2</v>
      </c>
      <c r="N186" s="913">
        <f t="shared" si="161"/>
        <v>1.2</v>
      </c>
      <c r="O186" s="913" t="str">
        <f t="shared" si="161"/>
        <v>-</v>
      </c>
      <c r="P186" s="913">
        <f t="shared" si="161"/>
        <v>0.5</v>
      </c>
      <c r="Q186" s="913">
        <f t="shared" si="161"/>
        <v>2.9499999999999997</v>
      </c>
    </row>
    <row r="187" spans="1:17" x14ac:dyDescent="0.2">
      <c r="A187" s="905"/>
      <c r="B187" s="913">
        <v>5</v>
      </c>
      <c r="C187" s="913">
        <f t="shared" ref="C187:H187" si="162">I41</f>
        <v>230</v>
      </c>
      <c r="D187" s="913">
        <f t="shared" si="162"/>
        <v>0.73</v>
      </c>
      <c r="E187" s="913">
        <f t="shared" si="162"/>
        <v>-0.16</v>
      </c>
      <c r="F187" s="913" t="str">
        <f t="shared" si="162"/>
        <v>-</v>
      </c>
      <c r="G187" s="913">
        <f t="shared" si="162"/>
        <v>0.44500000000000001</v>
      </c>
      <c r="H187" s="913">
        <f t="shared" si="162"/>
        <v>2.7600000000000002</v>
      </c>
      <c r="J187" s="905"/>
      <c r="K187" s="913">
        <v>5</v>
      </c>
      <c r="L187" s="913">
        <f t="shared" ref="L187:Q187" si="163">I49</f>
        <v>500</v>
      </c>
      <c r="M187" s="913">
        <f t="shared" si="163"/>
        <v>0.7</v>
      </c>
      <c r="N187" s="913">
        <f t="shared" si="163"/>
        <v>0.7</v>
      </c>
      <c r="O187" s="913" t="str">
        <f t="shared" si="163"/>
        <v>-</v>
      </c>
      <c r="P187" s="913">
        <f t="shared" si="163"/>
        <v>0</v>
      </c>
      <c r="Q187" s="913">
        <f t="shared" si="163"/>
        <v>2.9</v>
      </c>
    </row>
    <row r="188" spans="1:17" x14ac:dyDescent="0.2">
      <c r="A188" s="905"/>
      <c r="B188" s="913">
        <v>6</v>
      </c>
      <c r="C188" s="913">
        <f t="shared" ref="C188:H188" si="164">P41</f>
        <v>230</v>
      </c>
      <c r="D188" s="913">
        <f t="shared" si="164"/>
        <v>-0.15</v>
      </c>
      <c r="E188" s="913">
        <f t="shared" si="164"/>
        <v>-0.05</v>
      </c>
      <c r="F188" s="913" t="str">
        <f t="shared" si="164"/>
        <v>-</v>
      </c>
      <c r="G188" s="913">
        <f t="shared" si="164"/>
        <v>4.9999999999999996E-2</v>
      </c>
      <c r="H188" s="913">
        <f t="shared" si="164"/>
        <v>2.7600000000000002</v>
      </c>
      <c r="J188" s="905"/>
      <c r="K188" s="913">
        <v>6</v>
      </c>
      <c r="L188" s="913">
        <f t="shared" ref="L188:Q188" si="165">P49</f>
        <v>500</v>
      </c>
      <c r="M188" s="913">
        <f t="shared" si="165"/>
        <v>1.1000000000000001</v>
      </c>
      <c r="N188" s="913">
        <f t="shared" si="165"/>
        <v>0.6</v>
      </c>
      <c r="O188" s="913" t="str">
        <f t="shared" si="165"/>
        <v>-</v>
      </c>
      <c r="P188" s="913">
        <f t="shared" si="165"/>
        <v>0.25000000000000006</v>
      </c>
      <c r="Q188" s="913">
        <f t="shared" si="165"/>
        <v>2.9</v>
      </c>
    </row>
    <row r="189" spans="1:17" x14ac:dyDescent="0.2">
      <c r="A189" s="905"/>
      <c r="B189" s="913">
        <v>7</v>
      </c>
      <c r="C189" s="913">
        <f t="shared" ref="C189:H189" si="166">B72</f>
        <v>230.47</v>
      </c>
      <c r="D189" s="913">
        <f t="shared" si="166"/>
        <v>0.47</v>
      </c>
      <c r="E189" s="913">
        <f t="shared" si="166"/>
        <v>0.4</v>
      </c>
      <c r="F189" s="913" t="str">
        <f t="shared" si="166"/>
        <v>-</v>
      </c>
      <c r="G189" s="913">
        <f t="shared" si="166"/>
        <v>3.4999999999999976E-2</v>
      </c>
      <c r="H189" s="913">
        <f t="shared" si="166"/>
        <v>2.7656399999999999</v>
      </c>
      <c r="J189" s="905"/>
      <c r="K189" s="913">
        <v>7</v>
      </c>
      <c r="L189" s="913">
        <f t="shared" ref="L189:Q189" si="167">B80</f>
        <v>500</v>
      </c>
      <c r="M189" s="913">
        <f t="shared" si="167"/>
        <v>3</v>
      </c>
      <c r="N189" s="913">
        <f t="shared" si="167"/>
        <v>3.3</v>
      </c>
      <c r="O189" s="913" t="str">
        <f t="shared" si="167"/>
        <v>-</v>
      </c>
      <c r="P189" s="913">
        <f t="shared" si="167"/>
        <v>0.14999999999999991</v>
      </c>
      <c r="Q189" s="913">
        <f t="shared" si="167"/>
        <v>2.9499999999999997</v>
      </c>
    </row>
    <row r="190" spans="1:17" x14ac:dyDescent="0.2">
      <c r="A190" s="905"/>
      <c r="B190" s="913">
        <v>8</v>
      </c>
      <c r="C190" s="913">
        <f t="shared" ref="C190:H190" si="168">I72</f>
        <v>230</v>
      </c>
      <c r="D190" s="913">
        <f t="shared" si="168"/>
        <v>-0.15</v>
      </c>
      <c r="E190" s="913">
        <f t="shared" si="168"/>
        <v>-0.54</v>
      </c>
      <c r="F190" s="913" t="str">
        <f t="shared" si="168"/>
        <v>-</v>
      </c>
      <c r="G190" s="913">
        <f t="shared" si="168"/>
        <v>0.19500000000000001</v>
      </c>
      <c r="H190" s="913">
        <f t="shared" si="168"/>
        <v>2.7600000000000002</v>
      </c>
      <c r="J190" s="905"/>
      <c r="K190" s="913">
        <v>8</v>
      </c>
      <c r="L190" s="913">
        <f t="shared" ref="L190:Q190" si="169">I80</f>
        <v>500</v>
      </c>
      <c r="M190" s="913">
        <f t="shared" si="169"/>
        <v>-31.8</v>
      </c>
      <c r="N190" s="913">
        <f t="shared" si="169"/>
        <v>8.3000000000000007</v>
      </c>
      <c r="O190" s="913" t="str">
        <f t="shared" si="169"/>
        <v>-</v>
      </c>
      <c r="P190" s="913">
        <f t="shared" si="169"/>
        <v>20.05</v>
      </c>
      <c r="Q190" s="913">
        <f t="shared" si="169"/>
        <v>2.9499999999999997</v>
      </c>
    </row>
    <row r="191" spans="1:17" x14ac:dyDescent="0.2">
      <c r="A191" s="905"/>
      <c r="B191" s="913">
        <v>9</v>
      </c>
      <c r="C191" s="913">
        <f t="shared" ref="C191:H191" si="170">P72</f>
        <v>229.61</v>
      </c>
      <c r="D191" s="913">
        <f t="shared" si="170"/>
        <v>-0.39</v>
      </c>
      <c r="E191" s="913" t="str">
        <f t="shared" si="170"/>
        <v>-</v>
      </c>
      <c r="F191" s="913" t="str">
        <f t="shared" si="170"/>
        <v>-</v>
      </c>
      <c r="G191" s="913">
        <f t="shared" si="170"/>
        <v>0</v>
      </c>
      <c r="H191" s="913">
        <f t="shared" si="170"/>
        <v>2.7553200000000002</v>
      </c>
      <c r="J191" s="905"/>
      <c r="K191" s="913">
        <v>9</v>
      </c>
      <c r="L191" s="913">
        <f t="shared" ref="L191:Q191" si="171">P80</f>
        <v>507.2</v>
      </c>
      <c r="M191" s="913">
        <f t="shared" si="171"/>
        <v>7.2</v>
      </c>
      <c r="N191" s="913" t="str">
        <f t="shared" si="171"/>
        <v>-</v>
      </c>
      <c r="O191" s="913" t="str">
        <f t="shared" si="171"/>
        <v>-</v>
      </c>
      <c r="P191" s="913">
        <f t="shared" si="171"/>
        <v>0</v>
      </c>
      <c r="Q191" s="913">
        <f t="shared" si="171"/>
        <v>2.99248</v>
      </c>
    </row>
    <row r="192" spans="1:17" x14ac:dyDescent="0.2">
      <c r="A192" s="905"/>
      <c r="B192" s="913">
        <v>10</v>
      </c>
      <c r="C192" s="913">
        <f>B103</f>
        <v>230</v>
      </c>
      <c r="D192" s="913">
        <f t="shared" ref="D192:F192" si="172">C103</f>
        <v>-0.11</v>
      </c>
      <c r="E192" s="913" t="str">
        <f t="shared" si="172"/>
        <v>-</v>
      </c>
      <c r="F192" s="913" t="str">
        <f t="shared" si="172"/>
        <v>-</v>
      </c>
      <c r="G192" s="913">
        <f>F103</f>
        <v>0</v>
      </c>
      <c r="H192" s="913" t="str">
        <f>G103</f>
        <v>-</v>
      </c>
      <c r="J192" s="905"/>
      <c r="K192" s="913">
        <v>10</v>
      </c>
      <c r="L192" s="913">
        <f t="shared" ref="L192:Q192" si="173">B111</f>
        <v>500</v>
      </c>
      <c r="M192" s="913">
        <f t="shared" si="173"/>
        <v>1.5</v>
      </c>
      <c r="N192" s="913" t="str">
        <f t="shared" si="173"/>
        <v>-</v>
      </c>
      <c r="O192" s="913" t="str">
        <f t="shared" si="173"/>
        <v>-</v>
      </c>
      <c r="P192" s="913">
        <f t="shared" si="173"/>
        <v>0</v>
      </c>
      <c r="Q192" s="913" t="str">
        <f t="shared" si="173"/>
        <v>-</v>
      </c>
    </row>
    <row r="193" spans="1:17" x14ac:dyDescent="0.2">
      <c r="A193" s="905"/>
      <c r="B193" s="913">
        <v>11</v>
      </c>
      <c r="C193" s="913">
        <f>I103</f>
        <v>230</v>
      </c>
      <c r="D193" s="913">
        <f t="shared" ref="D193:F193" si="174">J103</f>
        <v>9.9999999999999995E-7</v>
      </c>
      <c r="E193" s="913" t="str">
        <f t="shared" si="174"/>
        <v>-</v>
      </c>
      <c r="F193" s="913" t="str">
        <f t="shared" si="174"/>
        <v>-</v>
      </c>
      <c r="G193" s="913">
        <f>M103</f>
        <v>0</v>
      </c>
      <c r="H193" s="913" t="str">
        <f>N103</f>
        <v>-</v>
      </c>
      <c r="J193" s="905"/>
      <c r="K193" s="913">
        <v>11</v>
      </c>
      <c r="L193" s="913">
        <f t="shared" ref="L193:Q193" si="175">I111</f>
        <v>500</v>
      </c>
      <c r="M193" s="913">
        <f t="shared" si="175"/>
        <v>9.9999999999999995E-7</v>
      </c>
      <c r="N193" s="913" t="str">
        <f t="shared" si="175"/>
        <v>-</v>
      </c>
      <c r="O193" s="913" t="str">
        <f t="shared" si="175"/>
        <v>-</v>
      </c>
      <c r="P193" s="913">
        <f t="shared" si="175"/>
        <v>0</v>
      </c>
      <c r="Q193" s="913" t="str">
        <f t="shared" si="175"/>
        <v>-</v>
      </c>
    </row>
    <row r="194" spans="1:17" x14ac:dyDescent="0.2">
      <c r="A194" s="905"/>
      <c r="B194" s="913">
        <v>12</v>
      </c>
      <c r="C194" s="913">
        <f>P103</f>
        <v>230</v>
      </c>
      <c r="D194" s="913">
        <f t="shared" ref="D194:F194" si="176">Q103</f>
        <v>9.9999999999999995E-7</v>
      </c>
      <c r="E194" s="913" t="str">
        <f t="shared" si="176"/>
        <v>-</v>
      </c>
      <c r="F194" s="913" t="str">
        <f t="shared" si="176"/>
        <v>-</v>
      </c>
      <c r="G194" s="913">
        <f>T103</f>
        <v>0</v>
      </c>
      <c r="H194" s="913" t="str">
        <f>U103</f>
        <v>-</v>
      </c>
      <c r="J194" s="905"/>
      <c r="K194" s="913">
        <v>12</v>
      </c>
      <c r="L194" s="913">
        <f t="shared" ref="L194:Q194" si="177">P111</f>
        <v>500</v>
      </c>
      <c r="M194" s="913">
        <f t="shared" si="177"/>
        <v>9.9999999999999995E-7</v>
      </c>
      <c r="N194" s="913" t="str">
        <f t="shared" si="177"/>
        <v>-</v>
      </c>
      <c r="O194" s="913" t="str">
        <f t="shared" si="177"/>
        <v>-</v>
      </c>
      <c r="P194" s="913">
        <f t="shared" si="177"/>
        <v>0</v>
      </c>
      <c r="Q194" s="913" t="str">
        <f t="shared" si="177"/>
        <v>-</v>
      </c>
    </row>
    <row r="195" spans="1:17" s="871" customFormat="1" x14ac:dyDescent="0.2">
      <c r="A195" s="915"/>
      <c r="B195" s="915"/>
      <c r="C195" s="915"/>
      <c r="D195" s="915"/>
      <c r="E195" s="915"/>
      <c r="F195" s="916"/>
      <c r="G195" s="915"/>
      <c r="H195" s="915"/>
      <c r="J195" s="915"/>
      <c r="K195" s="915"/>
      <c r="L195" s="915"/>
      <c r="M195" s="915"/>
      <c r="N195" s="915"/>
      <c r="O195" s="916"/>
      <c r="P195" s="915"/>
      <c r="Q195" s="915"/>
    </row>
    <row r="196" spans="1:17" x14ac:dyDescent="0.2">
      <c r="A196" s="905" t="s">
        <v>194</v>
      </c>
      <c r="B196" s="913">
        <v>1</v>
      </c>
      <c r="C196" s="913">
        <f t="shared" ref="C196:H196" si="178">B11</f>
        <v>250</v>
      </c>
      <c r="D196" s="913">
        <f t="shared" si="178"/>
        <v>-0.32</v>
      </c>
      <c r="E196" s="913">
        <f t="shared" si="178"/>
        <v>9.9999999999999995E-7</v>
      </c>
      <c r="F196" s="913" t="str">
        <f t="shared" si="178"/>
        <v>-</v>
      </c>
      <c r="G196" s="913">
        <f t="shared" si="178"/>
        <v>0.16000049999999999</v>
      </c>
      <c r="H196" s="913">
        <f t="shared" si="178"/>
        <v>3</v>
      </c>
      <c r="J196" s="905" t="s">
        <v>194</v>
      </c>
      <c r="K196" s="913">
        <v>1</v>
      </c>
      <c r="L196" s="913">
        <f t="shared" ref="L196:Q196" si="179">B19</f>
        <v>1000</v>
      </c>
      <c r="M196" s="913">
        <f t="shared" si="179"/>
        <v>9.9999999999999995E-7</v>
      </c>
      <c r="N196" s="913">
        <f t="shared" si="179"/>
        <v>1.9999999999999999E-6</v>
      </c>
      <c r="O196" s="913" t="str">
        <f t="shared" si="179"/>
        <v>-</v>
      </c>
      <c r="P196" s="913">
        <f t="shared" si="179"/>
        <v>4.9999999999999998E-7</v>
      </c>
      <c r="Q196" s="913">
        <f t="shared" si="179"/>
        <v>5.8999999999999995</v>
      </c>
    </row>
    <row r="197" spans="1:17" x14ac:dyDescent="0.2">
      <c r="A197" s="905"/>
      <c r="B197" s="913">
        <v>2</v>
      </c>
      <c r="C197" s="913">
        <f t="shared" ref="C197:H197" si="180">I11</f>
        <v>250</v>
      </c>
      <c r="D197" s="913">
        <f t="shared" si="180"/>
        <v>9.9999999999999995E-7</v>
      </c>
      <c r="E197" s="913">
        <f t="shared" si="180"/>
        <v>9.9999999999999995E-7</v>
      </c>
      <c r="F197" s="913" t="str">
        <f t="shared" si="180"/>
        <v>-</v>
      </c>
      <c r="G197" s="913">
        <f t="shared" si="180"/>
        <v>0</v>
      </c>
      <c r="H197" s="913">
        <f t="shared" si="180"/>
        <v>2.76</v>
      </c>
      <c r="J197" s="905"/>
      <c r="K197" s="913">
        <v>2</v>
      </c>
      <c r="L197" s="913">
        <f t="shared" ref="L197:Q197" si="181">I19</f>
        <v>1000</v>
      </c>
      <c r="M197" s="913">
        <f t="shared" si="181"/>
        <v>9.9999999999999995E-7</v>
      </c>
      <c r="N197" s="913">
        <f t="shared" si="181"/>
        <v>9.9999999999999995E-7</v>
      </c>
      <c r="O197" s="913" t="str">
        <f t="shared" si="181"/>
        <v>-</v>
      </c>
      <c r="P197" s="913">
        <f t="shared" si="181"/>
        <v>0</v>
      </c>
      <c r="Q197" s="913">
        <f t="shared" si="181"/>
        <v>2.95</v>
      </c>
    </row>
    <row r="198" spans="1:17" x14ac:dyDescent="0.2">
      <c r="A198" s="905"/>
      <c r="B198" s="913">
        <v>3</v>
      </c>
      <c r="C198" s="913">
        <f t="shared" ref="C198:H198" si="182">P11</f>
        <v>250</v>
      </c>
      <c r="D198" s="913">
        <f t="shared" si="182"/>
        <v>9.9999999999999995E-7</v>
      </c>
      <c r="E198" s="913">
        <f t="shared" si="182"/>
        <v>9.9999999999999995E-7</v>
      </c>
      <c r="F198" s="913">
        <f t="shared" si="182"/>
        <v>9.9999999999999995E-7</v>
      </c>
      <c r="G198" s="913">
        <f t="shared" si="182"/>
        <v>0</v>
      </c>
      <c r="H198" s="913">
        <f t="shared" si="182"/>
        <v>3</v>
      </c>
      <c r="J198" s="905"/>
      <c r="K198" s="913">
        <v>3</v>
      </c>
      <c r="L198" s="913">
        <f t="shared" ref="L198:Q198" si="183">P19</f>
        <v>1000</v>
      </c>
      <c r="M198" s="913">
        <f t="shared" si="183"/>
        <v>-47</v>
      </c>
      <c r="N198" s="913">
        <f t="shared" si="183"/>
        <v>3</v>
      </c>
      <c r="O198" s="913">
        <f t="shared" si="183"/>
        <v>3</v>
      </c>
      <c r="P198" s="913">
        <f t="shared" si="183"/>
        <v>25</v>
      </c>
      <c r="Q198" s="913">
        <f t="shared" si="183"/>
        <v>5.8999999999999995</v>
      </c>
    </row>
    <row r="199" spans="1:17" x14ac:dyDescent="0.2">
      <c r="A199" s="905"/>
      <c r="B199" s="913">
        <v>4</v>
      </c>
      <c r="C199" s="913">
        <f t="shared" ref="C199:H199" si="184">B42</f>
        <v>250</v>
      </c>
      <c r="D199" s="913">
        <f t="shared" si="184"/>
        <v>9.9999999999999995E-7</v>
      </c>
      <c r="E199" s="913">
        <f t="shared" si="184"/>
        <v>3.9999999999999998E-6</v>
      </c>
      <c r="F199" s="913" t="str">
        <f t="shared" si="184"/>
        <v>-</v>
      </c>
      <c r="G199" s="913">
        <f t="shared" si="184"/>
        <v>1.5E-6</v>
      </c>
      <c r="H199" s="913">
        <f t="shared" si="184"/>
        <v>2.76</v>
      </c>
      <c r="J199" s="905"/>
      <c r="K199" s="913">
        <v>4</v>
      </c>
      <c r="L199" s="913">
        <f t="shared" ref="L199:Q199" si="185">B50</f>
        <v>1000</v>
      </c>
      <c r="M199" s="913">
        <f t="shared" si="185"/>
        <v>2</v>
      </c>
      <c r="N199" s="913">
        <f t="shared" si="185"/>
        <v>1.99</v>
      </c>
      <c r="O199" s="913" t="str">
        <f t="shared" si="185"/>
        <v>-</v>
      </c>
      <c r="P199" s="913">
        <f t="shared" si="185"/>
        <v>5.0000000000000044E-3</v>
      </c>
      <c r="Q199" s="913">
        <f t="shared" si="185"/>
        <v>5.8999999999999995</v>
      </c>
    </row>
    <row r="200" spans="1:17" x14ac:dyDescent="0.2">
      <c r="A200" s="905"/>
      <c r="B200" s="913">
        <v>5</v>
      </c>
      <c r="C200" s="913">
        <f t="shared" ref="C200:H200" si="186">I42</f>
        <v>250</v>
      </c>
      <c r="D200" s="913">
        <f t="shared" si="186"/>
        <v>9.9999999999999995E-7</v>
      </c>
      <c r="E200" s="913">
        <f t="shared" si="186"/>
        <v>9.9999999999999995E-7</v>
      </c>
      <c r="F200" s="913" t="str">
        <f t="shared" si="186"/>
        <v>-</v>
      </c>
      <c r="G200" s="913">
        <f t="shared" si="186"/>
        <v>0</v>
      </c>
      <c r="H200" s="913">
        <f t="shared" si="186"/>
        <v>2.76</v>
      </c>
      <c r="J200" s="905"/>
      <c r="K200" s="913">
        <v>5</v>
      </c>
      <c r="L200" s="913">
        <f t="shared" ref="L200:Q200" si="187">I50</f>
        <v>850</v>
      </c>
      <c r="M200" s="913">
        <f t="shared" si="187"/>
        <v>9.9999999999999995E-7</v>
      </c>
      <c r="N200" s="913">
        <f t="shared" si="187"/>
        <v>9.9999999999999995E-7</v>
      </c>
      <c r="O200" s="913" t="str">
        <f t="shared" si="187"/>
        <v>-</v>
      </c>
      <c r="P200" s="913">
        <f t="shared" si="187"/>
        <v>0</v>
      </c>
      <c r="Q200" s="913">
        <f t="shared" si="187"/>
        <v>2.9</v>
      </c>
    </row>
    <row r="201" spans="1:17" x14ac:dyDescent="0.2">
      <c r="A201" s="905"/>
      <c r="B201" s="913">
        <v>6</v>
      </c>
      <c r="C201" s="913">
        <f t="shared" ref="C201:H201" si="188">P42</f>
        <v>250</v>
      </c>
      <c r="D201" s="913">
        <f t="shared" si="188"/>
        <v>9.9999999999999995E-7</v>
      </c>
      <c r="E201" s="913">
        <f t="shared" si="188"/>
        <v>9.9999999999999995E-7</v>
      </c>
      <c r="F201" s="913" t="str">
        <f t="shared" si="188"/>
        <v>-</v>
      </c>
      <c r="G201" s="913">
        <f t="shared" si="188"/>
        <v>0</v>
      </c>
      <c r="H201" s="913">
        <f t="shared" si="188"/>
        <v>0</v>
      </c>
      <c r="J201" s="905"/>
      <c r="K201" s="913">
        <v>6</v>
      </c>
      <c r="L201" s="913">
        <f t="shared" ref="L201:Q201" si="189">P50</f>
        <v>1000</v>
      </c>
      <c r="M201" s="913">
        <f t="shared" si="189"/>
        <v>9.9999999999999995E-7</v>
      </c>
      <c r="N201" s="913">
        <f t="shared" si="189"/>
        <v>9.9999999999999995E-7</v>
      </c>
      <c r="O201" s="913" t="str">
        <f t="shared" si="189"/>
        <v>-</v>
      </c>
      <c r="P201" s="913">
        <f t="shared" si="189"/>
        <v>0</v>
      </c>
      <c r="Q201" s="913">
        <f t="shared" si="189"/>
        <v>2.9</v>
      </c>
    </row>
    <row r="202" spans="1:17" x14ac:dyDescent="0.2">
      <c r="A202" s="905"/>
      <c r="B202" s="913">
        <v>7</v>
      </c>
      <c r="C202" s="913">
        <f t="shared" ref="C202:H202" si="190">B73</f>
        <v>240.38</v>
      </c>
      <c r="D202" s="913">
        <f t="shared" si="190"/>
        <v>0.38</v>
      </c>
      <c r="E202" s="913">
        <f t="shared" si="190"/>
        <v>9.9999999999999995E-7</v>
      </c>
      <c r="F202" s="913" t="str">
        <f t="shared" si="190"/>
        <v>-</v>
      </c>
      <c r="G202" s="913">
        <f t="shared" si="190"/>
        <v>0.18999950000000002</v>
      </c>
      <c r="H202" s="913">
        <f t="shared" si="190"/>
        <v>2.88456</v>
      </c>
      <c r="J202" s="905"/>
      <c r="K202" s="913">
        <v>7</v>
      </c>
      <c r="L202" s="913">
        <f t="shared" ref="L202:Q202" si="191">B81</f>
        <v>1000</v>
      </c>
      <c r="M202" s="913">
        <f t="shared" si="191"/>
        <v>9.9999999999999995E-7</v>
      </c>
      <c r="N202" s="913">
        <f t="shared" si="191"/>
        <v>1.9999999999999999E-6</v>
      </c>
      <c r="O202" s="913" t="str">
        <f t="shared" si="191"/>
        <v>-</v>
      </c>
      <c r="P202" s="913">
        <f t="shared" si="191"/>
        <v>4.9999999999999998E-7</v>
      </c>
      <c r="Q202" s="913">
        <f t="shared" si="191"/>
        <v>2.95</v>
      </c>
    </row>
    <row r="203" spans="1:17" x14ac:dyDescent="0.2">
      <c r="A203" s="905"/>
      <c r="B203" s="913">
        <v>8</v>
      </c>
      <c r="C203" s="913">
        <f t="shared" ref="C203:H203" si="192">I73</f>
        <v>250</v>
      </c>
      <c r="D203" s="913">
        <f t="shared" si="192"/>
        <v>9.9999999999999995E-7</v>
      </c>
      <c r="E203" s="913">
        <f t="shared" si="192"/>
        <v>-0.49</v>
      </c>
      <c r="F203" s="913" t="str">
        <f t="shared" si="192"/>
        <v>-</v>
      </c>
      <c r="G203" s="913">
        <f t="shared" si="192"/>
        <v>0.24500049999999998</v>
      </c>
      <c r="H203" s="913">
        <f t="shared" si="192"/>
        <v>3</v>
      </c>
      <c r="J203" s="905"/>
      <c r="K203" s="913">
        <v>8</v>
      </c>
      <c r="L203" s="913">
        <f t="shared" ref="L203:Q203" si="193">I81</f>
        <v>1000</v>
      </c>
      <c r="M203" s="913">
        <f t="shared" si="193"/>
        <v>-74</v>
      </c>
      <c r="N203" s="913">
        <f t="shared" si="193"/>
        <v>9.9999999999999995E-7</v>
      </c>
      <c r="O203" s="913" t="str">
        <f t="shared" si="193"/>
        <v>-</v>
      </c>
      <c r="P203" s="913">
        <f t="shared" si="193"/>
        <v>37.000000499999999</v>
      </c>
      <c r="Q203" s="913">
        <f t="shared" si="193"/>
        <v>5.8999999999999995</v>
      </c>
    </row>
    <row r="204" spans="1:17" x14ac:dyDescent="0.2">
      <c r="A204" s="905"/>
      <c r="B204" s="913">
        <v>9</v>
      </c>
      <c r="C204" s="913">
        <f t="shared" ref="C204:H204" si="194">P73</f>
        <v>239.61</v>
      </c>
      <c r="D204" s="913">
        <f t="shared" si="194"/>
        <v>-0.39</v>
      </c>
      <c r="E204" s="913" t="str">
        <f t="shared" si="194"/>
        <v>-</v>
      </c>
      <c r="F204" s="913" t="str">
        <f t="shared" si="194"/>
        <v>-</v>
      </c>
      <c r="G204" s="913">
        <f t="shared" si="194"/>
        <v>0</v>
      </c>
      <c r="H204" s="913">
        <f t="shared" si="194"/>
        <v>2.8753200000000003</v>
      </c>
      <c r="J204" s="905"/>
      <c r="K204" s="913">
        <v>9</v>
      </c>
      <c r="L204" s="913">
        <f t="shared" ref="L204:Q204" si="195">P81</f>
        <v>920</v>
      </c>
      <c r="M204" s="913">
        <f t="shared" si="195"/>
        <v>9.9999999999999995E-7</v>
      </c>
      <c r="N204" s="913" t="str">
        <f t="shared" si="195"/>
        <v>-</v>
      </c>
      <c r="O204" s="913" t="str">
        <f t="shared" si="195"/>
        <v>-</v>
      </c>
      <c r="P204" s="913">
        <f t="shared" si="195"/>
        <v>0</v>
      </c>
      <c r="Q204" s="913">
        <f t="shared" si="195"/>
        <v>2.99</v>
      </c>
    </row>
    <row r="205" spans="1:17" x14ac:dyDescent="0.2">
      <c r="A205" s="905"/>
      <c r="B205" s="913">
        <v>10</v>
      </c>
      <c r="C205" s="913">
        <f>B104</f>
        <v>250</v>
      </c>
      <c r="D205" s="913">
        <f t="shared" ref="D205:F205" si="196">C104</f>
        <v>-0.11</v>
      </c>
      <c r="E205" s="913" t="str">
        <f t="shared" si="196"/>
        <v>-</v>
      </c>
      <c r="F205" s="913" t="str">
        <f t="shared" si="196"/>
        <v>-</v>
      </c>
      <c r="G205" s="913">
        <f>F104</f>
        <v>0</v>
      </c>
      <c r="H205" s="913" t="str">
        <f>G104</f>
        <v>-</v>
      </c>
      <c r="J205" s="905"/>
      <c r="K205" s="913">
        <v>10</v>
      </c>
      <c r="L205" s="913">
        <f t="shared" ref="L205:Q205" si="197">B112</f>
        <v>1000</v>
      </c>
      <c r="M205" s="913">
        <f t="shared" si="197"/>
        <v>2</v>
      </c>
      <c r="N205" s="913" t="str">
        <f t="shared" si="197"/>
        <v>-</v>
      </c>
      <c r="O205" s="913" t="str">
        <f t="shared" si="197"/>
        <v>-</v>
      </c>
      <c r="P205" s="913">
        <f t="shared" si="197"/>
        <v>0</v>
      </c>
      <c r="Q205" s="913" t="str">
        <f t="shared" si="197"/>
        <v>-</v>
      </c>
    </row>
    <row r="206" spans="1:17" x14ac:dyDescent="0.2">
      <c r="A206" s="905"/>
      <c r="B206" s="913">
        <v>11</v>
      </c>
      <c r="C206" s="913">
        <f>I104</f>
        <v>250</v>
      </c>
      <c r="D206" s="913">
        <f t="shared" ref="D206:F206" si="198">J104</f>
        <v>9.9999999999999995E-7</v>
      </c>
      <c r="E206" s="913" t="str">
        <f t="shared" si="198"/>
        <v>-</v>
      </c>
      <c r="F206" s="913" t="str">
        <f t="shared" si="198"/>
        <v>-</v>
      </c>
      <c r="G206" s="913">
        <f>M104</f>
        <v>0</v>
      </c>
      <c r="H206" s="913" t="str">
        <f>N104</f>
        <v>-</v>
      </c>
      <c r="J206" s="905"/>
      <c r="K206" s="913">
        <v>11</v>
      </c>
      <c r="L206" s="913">
        <f t="shared" ref="L206:Q206" si="199">I112</f>
        <v>1000</v>
      </c>
      <c r="M206" s="913">
        <f t="shared" si="199"/>
        <v>9.9999999999999995E-7</v>
      </c>
      <c r="N206" s="913" t="str">
        <f t="shared" si="199"/>
        <v>-</v>
      </c>
      <c r="O206" s="913" t="str">
        <f t="shared" si="199"/>
        <v>-</v>
      </c>
      <c r="P206" s="913">
        <f t="shared" si="199"/>
        <v>0</v>
      </c>
      <c r="Q206" s="913" t="str">
        <f t="shared" si="199"/>
        <v>-</v>
      </c>
    </row>
    <row r="207" spans="1:17" x14ac:dyDescent="0.2">
      <c r="A207" s="905"/>
      <c r="B207" s="913">
        <v>12</v>
      </c>
      <c r="C207" s="913">
        <f>P104</f>
        <v>250</v>
      </c>
      <c r="D207" s="913">
        <f t="shared" ref="D207:F207" si="200">Q104</f>
        <v>9.9999999999999995E-7</v>
      </c>
      <c r="E207" s="913" t="str">
        <f t="shared" si="200"/>
        <v>-</v>
      </c>
      <c r="F207" s="913" t="str">
        <f t="shared" si="200"/>
        <v>-</v>
      </c>
      <c r="G207" s="913">
        <f>T104</f>
        <v>0</v>
      </c>
      <c r="H207" s="913" t="str">
        <f>U104</f>
        <v>-</v>
      </c>
      <c r="J207" s="905"/>
      <c r="K207" s="913">
        <v>12</v>
      </c>
      <c r="L207" s="913">
        <f t="shared" ref="L207:Q207" si="201">P112</f>
        <v>1000</v>
      </c>
      <c r="M207" s="913">
        <f t="shared" si="201"/>
        <v>9.9999999999999995E-7</v>
      </c>
      <c r="N207" s="913" t="str">
        <f t="shared" si="201"/>
        <v>-</v>
      </c>
      <c r="O207" s="913" t="str">
        <f t="shared" si="201"/>
        <v>-</v>
      </c>
      <c r="P207" s="913">
        <f t="shared" si="201"/>
        <v>0</v>
      </c>
      <c r="Q207" s="913" t="str">
        <f t="shared" si="201"/>
        <v>-</v>
      </c>
    </row>
    <row r="208" spans="1:17" x14ac:dyDescent="0.2">
      <c r="A208" s="882"/>
      <c r="B208" s="876"/>
      <c r="C208" s="876"/>
      <c r="D208" s="882"/>
      <c r="E208" s="882"/>
      <c r="F208" s="882"/>
      <c r="G208" s="882"/>
      <c r="H208" s="882"/>
      <c r="J208" s="882"/>
      <c r="K208" s="882"/>
      <c r="L208" s="882"/>
      <c r="M208" s="882"/>
      <c r="N208" s="882"/>
      <c r="O208" s="882"/>
      <c r="P208" s="882"/>
      <c r="Q208" s="882"/>
    </row>
    <row r="209" spans="1:17" x14ac:dyDescent="0.2">
      <c r="A209" s="905" t="s">
        <v>639</v>
      </c>
      <c r="B209" s="906"/>
      <c r="C209" s="907" t="s">
        <v>177</v>
      </c>
      <c r="D209" s="907"/>
      <c r="E209" s="907"/>
      <c r="F209" s="907"/>
      <c r="G209" s="907"/>
      <c r="H209" s="907"/>
      <c r="J209" s="905" t="s">
        <v>639</v>
      </c>
      <c r="K209" s="906"/>
      <c r="L209" s="905" t="s">
        <v>177</v>
      </c>
      <c r="M209" s="905"/>
      <c r="N209" s="905"/>
      <c r="O209" s="905"/>
      <c r="P209" s="905"/>
      <c r="Q209" s="905"/>
    </row>
    <row r="210" spans="1:17" ht="12.95" customHeight="1" x14ac:dyDescent="0.2">
      <c r="A210" s="905"/>
      <c r="B210" s="906"/>
      <c r="C210" s="918" t="str">
        <f>B20</f>
        <v>Main-PE</v>
      </c>
      <c r="D210" s="918"/>
      <c r="E210" s="918"/>
      <c r="F210" s="918"/>
      <c r="G210" s="919" t="s">
        <v>162</v>
      </c>
      <c r="H210" s="919" t="s">
        <v>158</v>
      </c>
      <c r="J210" s="905"/>
      <c r="K210" s="906"/>
      <c r="L210" s="918" t="str">
        <f>B26</f>
        <v>Resistance</v>
      </c>
      <c r="M210" s="918"/>
      <c r="N210" s="918"/>
      <c r="O210" s="918"/>
      <c r="P210" s="919" t="s">
        <v>162</v>
      </c>
      <c r="Q210" s="919" t="s">
        <v>158</v>
      </c>
    </row>
    <row r="211" spans="1:17" x14ac:dyDescent="0.2">
      <c r="A211" s="905"/>
      <c r="B211" s="906"/>
      <c r="C211" s="919" t="s">
        <v>633</v>
      </c>
      <c r="D211" s="919"/>
      <c r="E211" s="919"/>
      <c r="F211" s="882"/>
      <c r="G211" s="919"/>
      <c r="H211" s="919"/>
      <c r="J211" s="905"/>
      <c r="K211" s="906"/>
      <c r="L211" s="919" t="s">
        <v>634</v>
      </c>
      <c r="M211" s="919"/>
      <c r="N211" s="919"/>
      <c r="O211" s="882"/>
      <c r="P211" s="919"/>
      <c r="Q211" s="919"/>
    </row>
    <row r="212" spans="1:17" x14ac:dyDescent="0.2">
      <c r="A212" s="920" t="s">
        <v>48</v>
      </c>
      <c r="B212" s="913">
        <v>1</v>
      </c>
      <c r="C212" s="913">
        <f t="shared" ref="C212:H212" si="202">B22</f>
        <v>10</v>
      </c>
      <c r="D212" s="913">
        <f t="shared" si="202"/>
        <v>-1E-3</v>
      </c>
      <c r="E212" s="913">
        <f t="shared" si="202"/>
        <v>9.9999999999999995E-7</v>
      </c>
      <c r="F212" s="913" t="str">
        <f t="shared" si="202"/>
        <v>-</v>
      </c>
      <c r="G212" s="913">
        <f t="shared" si="202"/>
        <v>5.0049999999999997E-4</v>
      </c>
      <c r="H212" s="913">
        <f t="shared" si="202"/>
        <v>5.8999999999999997E-2</v>
      </c>
      <c r="J212" s="920" t="s">
        <v>48</v>
      </c>
      <c r="K212" s="913">
        <v>1</v>
      </c>
      <c r="L212" s="913">
        <f t="shared" ref="L212:Q212" si="203">B28</f>
        <v>0</v>
      </c>
      <c r="M212" s="913">
        <f t="shared" si="203"/>
        <v>9.9999999999999995E-7</v>
      </c>
      <c r="N212" s="913">
        <f t="shared" si="203"/>
        <v>9.9999999999999995E-7</v>
      </c>
      <c r="O212" s="913" t="str">
        <f t="shared" si="203"/>
        <v>-</v>
      </c>
      <c r="P212" s="913">
        <f t="shared" si="203"/>
        <v>9.9999999999999995E-7</v>
      </c>
      <c r="Q212" s="913">
        <f t="shared" si="203"/>
        <v>9.9999999999999995E-7</v>
      </c>
    </row>
    <row r="213" spans="1:17" x14ac:dyDescent="0.2">
      <c r="A213" s="920"/>
      <c r="B213" s="913">
        <v>2</v>
      </c>
      <c r="C213" s="913">
        <f t="shared" ref="C213:H213" si="204">I22</f>
        <v>10</v>
      </c>
      <c r="D213" s="913">
        <f t="shared" si="204"/>
        <v>0.1</v>
      </c>
      <c r="E213" s="913">
        <f t="shared" si="204"/>
        <v>9.9999999999999995E-7</v>
      </c>
      <c r="F213" s="913" t="str">
        <f t="shared" si="204"/>
        <v>-</v>
      </c>
      <c r="G213" s="913">
        <f t="shared" si="204"/>
        <v>4.9999500000000002E-2</v>
      </c>
      <c r="H213" s="913">
        <f t="shared" si="204"/>
        <v>5.8999999999999997E-2</v>
      </c>
      <c r="J213" s="920"/>
      <c r="K213" s="913">
        <v>2</v>
      </c>
      <c r="L213" s="913">
        <f t="shared" ref="L213:Q213" si="205">I28</f>
        <v>0.01</v>
      </c>
      <c r="M213" s="913">
        <f t="shared" si="205"/>
        <v>9.9999999999999995E-7</v>
      </c>
      <c r="N213" s="913">
        <f t="shared" si="205"/>
        <v>9.9999999999999995E-7</v>
      </c>
      <c r="O213" s="913">
        <f t="shared" si="205"/>
        <v>0</v>
      </c>
      <c r="P213" s="913">
        <f t="shared" si="205"/>
        <v>0</v>
      </c>
      <c r="Q213" s="913">
        <f t="shared" si="205"/>
        <v>1.2E-4</v>
      </c>
    </row>
    <row r="214" spans="1:17" x14ac:dyDescent="0.2">
      <c r="A214" s="920"/>
      <c r="B214" s="913">
        <v>3</v>
      </c>
      <c r="C214" s="913">
        <f t="shared" ref="C214:H214" si="206">P22</f>
        <v>5</v>
      </c>
      <c r="D214" s="913">
        <f t="shared" si="206"/>
        <v>9.9999999999999995E-7</v>
      </c>
      <c r="E214" s="913">
        <f t="shared" si="206"/>
        <v>9.9999999999999995E-7</v>
      </c>
      <c r="F214" s="913">
        <f t="shared" si="206"/>
        <v>9.9999999999999995E-7</v>
      </c>
      <c r="G214" s="913">
        <f t="shared" si="206"/>
        <v>0</v>
      </c>
      <c r="H214" s="913">
        <f t="shared" si="206"/>
        <v>8.5000000000000006E-2</v>
      </c>
      <c r="J214" s="920"/>
      <c r="K214" s="913">
        <v>3</v>
      </c>
      <c r="L214" s="913">
        <f t="shared" ref="L214:Q214" si="207">P28</f>
        <v>0</v>
      </c>
      <c r="M214" s="913">
        <f t="shared" si="207"/>
        <v>-1E-3</v>
      </c>
      <c r="N214" s="913">
        <f t="shared" si="207"/>
        <v>9.9999999999999995E-7</v>
      </c>
      <c r="O214" s="913">
        <f t="shared" si="207"/>
        <v>9.9999999999999995E-7</v>
      </c>
      <c r="P214" s="913">
        <f t="shared" si="207"/>
        <v>5.0049999999999997E-4</v>
      </c>
      <c r="Q214" s="913">
        <f t="shared" si="207"/>
        <v>0</v>
      </c>
    </row>
    <row r="215" spans="1:17" x14ac:dyDescent="0.2">
      <c r="A215" s="920"/>
      <c r="B215" s="913">
        <v>4</v>
      </c>
      <c r="C215" s="913">
        <f t="shared" ref="C215:H215" si="208">B53</f>
        <v>10</v>
      </c>
      <c r="D215" s="913">
        <f t="shared" si="208"/>
        <v>9.9999999999999995E-7</v>
      </c>
      <c r="E215" s="913">
        <f t="shared" si="208"/>
        <v>0.1</v>
      </c>
      <c r="F215" s="913" t="str">
        <f t="shared" si="208"/>
        <v>-</v>
      </c>
      <c r="G215" s="913">
        <f t="shared" si="208"/>
        <v>4.9999500000000002E-2</v>
      </c>
      <c r="H215" s="913">
        <f t="shared" si="208"/>
        <v>0.17</v>
      </c>
      <c r="J215" s="920"/>
      <c r="K215" s="913">
        <v>4</v>
      </c>
      <c r="L215" s="913">
        <f t="shared" ref="L215:Q215" si="209">B59</f>
        <v>0.01</v>
      </c>
      <c r="M215" s="913">
        <f t="shared" si="209"/>
        <v>9.9999999999999995E-7</v>
      </c>
      <c r="N215" s="913">
        <f t="shared" si="209"/>
        <v>9.9999999999999995E-7</v>
      </c>
      <c r="O215" s="913" t="str">
        <f t="shared" si="209"/>
        <v>-</v>
      </c>
      <c r="P215" s="913">
        <f t="shared" si="209"/>
        <v>9.9999999999999995E-7</v>
      </c>
      <c r="Q215" s="913">
        <f t="shared" si="209"/>
        <v>1.2E-4</v>
      </c>
    </row>
    <row r="216" spans="1:17" x14ac:dyDescent="0.2">
      <c r="A216" s="920"/>
      <c r="B216" s="913">
        <v>5</v>
      </c>
      <c r="C216" s="913">
        <f t="shared" ref="C216:H216" si="210">I53</f>
        <v>10</v>
      </c>
      <c r="D216" s="913">
        <f t="shared" si="210"/>
        <v>9.9999999999999995E-7</v>
      </c>
      <c r="E216" s="913">
        <f t="shared" si="210"/>
        <v>0.1</v>
      </c>
      <c r="F216" s="913" t="str">
        <f t="shared" si="210"/>
        <v>-</v>
      </c>
      <c r="G216" s="913">
        <f t="shared" si="210"/>
        <v>4.9999500000000002E-2</v>
      </c>
      <c r="H216" s="913">
        <f t="shared" si="210"/>
        <v>0.17</v>
      </c>
      <c r="J216" s="920"/>
      <c r="K216" s="913">
        <v>5</v>
      </c>
      <c r="L216" s="913">
        <f t="shared" ref="L216:Q216" si="211">I59</f>
        <v>0.01</v>
      </c>
      <c r="M216" s="913">
        <f t="shared" si="211"/>
        <v>9.9999999999999995E-7</v>
      </c>
      <c r="N216" s="913">
        <f t="shared" si="211"/>
        <v>9.9999999999999995E-7</v>
      </c>
      <c r="O216" s="913" t="str">
        <f t="shared" si="211"/>
        <v>-</v>
      </c>
      <c r="P216" s="913">
        <f t="shared" si="211"/>
        <v>0</v>
      </c>
      <c r="Q216" s="913">
        <f t="shared" si="211"/>
        <v>1.2E-4</v>
      </c>
    </row>
    <row r="217" spans="1:17" x14ac:dyDescent="0.2">
      <c r="A217" s="920"/>
      <c r="B217" s="913">
        <v>6</v>
      </c>
      <c r="C217" s="913">
        <f t="shared" ref="C217:H217" si="212">P53</f>
        <v>10</v>
      </c>
      <c r="D217" s="913">
        <f t="shared" si="212"/>
        <v>0.1</v>
      </c>
      <c r="E217" s="913">
        <f t="shared" si="212"/>
        <v>9.9999999999999995E-7</v>
      </c>
      <c r="F217" s="913" t="str">
        <f t="shared" si="212"/>
        <v>-</v>
      </c>
      <c r="G217" s="913">
        <f t="shared" si="212"/>
        <v>4.9999500000000002E-2</v>
      </c>
      <c r="H217" s="913">
        <f t="shared" si="212"/>
        <v>0.17</v>
      </c>
      <c r="J217" s="920"/>
      <c r="K217" s="913">
        <v>6</v>
      </c>
      <c r="L217" s="913">
        <f t="shared" ref="L217:Q217" si="213">P59</f>
        <v>0.01</v>
      </c>
      <c r="M217" s="913">
        <f t="shared" si="213"/>
        <v>9.9999999999999995E-7</v>
      </c>
      <c r="N217" s="913">
        <f t="shared" si="213"/>
        <v>9.9999999999999995E-7</v>
      </c>
      <c r="O217" s="913" t="str">
        <f t="shared" si="213"/>
        <v>-</v>
      </c>
      <c r="P217" s="913">
        <f t="shared" si="213"/>
        <v>0</v>
      </c>
      <c r="Q217" s="913">
        <f t="shared" si="213"/>
        <v>1.2E-4</v>
      </c>
    </row>
    <row r="218" spans="1:17" x14ac:dyDescent="0.2">
      <c r="A218" s="920"/>
      <c r="B218" s="913">
        <v>7</v>
      </c>
      <c r="C218" s="913">
        <f t="shared" ref="C218:H218" si="214">B84</f>
        <v>10</v>
      </c>
      <c r="D218" s="913">
        <f t="shared" si="214"/>
        <v>9.9999999999999995E-7</v>
      </c>
      <c r="E218" s="913">
        <f t="shared" si="214"/>
        <v>1.9999999999999999E-6</v>
      </c>
      <c r="F218" s="913" t="str">
        <f t="shared" si="214"/>
        <v>-</v>
      </c>
      <c r="G218" s="913">
        <f t="shared" si="214"/>
        <v>4.9999999999999998E-7</v>
      </c>
      <c r="H218" s="913">
        <f t="shared" si="214"/>
        <v>0.17</v>
      </c>
      <c r="J218" s="920"/>
      <c r="K218" s="913">
        <v>7</v>
      </c>
      <c r="L218" s="913">
        <f t="shared" ref="L218:Q218" si="215">B90</f>
        <v>0.01</v>
      </c>
      <c r="M218" s="913">
        <f t="shared" si="215"/>
        <v>9.9999999999999995E-7</v>
      </c>
      <c r="N218" s="913">
        <f t="shared" si="215"/>
        <v>1.9999999999999999E-6</v>
      </c>
      <c r="O218" s="913" t="str">
        <f t="shared" si="215"/>
        <v>-</v>
      </c>
      <c r="P218" s="913">
        <f t="shared" si="215"/>
        <v>4.9999999999999998E-7</v>
      </c>
      <c r="Q218" s="913">
        <f t="shared" si="215"/>
        <v>0.01</v>
      </c>
    </row>
    <row r="219" spans="1:17" x14ac:dyDescent="0.2">
      <c r="A219" s="920"/>
      <c r="B219" s="913">
        <v>8</v>
      </c>
      <c r="C219" s="913">
        <f t="shared" ref="C219:H219" si="216">I84</f>
        <v>10</v>
      </c>
      <c r="D219" s="913">
        <f t="shared" si="216"/>
        <v>9.9999999999999995E-7</v>
      </c>
      <c r="E219" s="913">
        <f t="shared" si="216"/>
        <v>9.9999999999999995E-7</v>
      </c>
      <c r="F219" s="913" t="str">
        <f t="shared" si="216"/>
        <v>-</v>
      </c>
      <c r="G219" s="913">
        <f t="shared" si="216"/>
        <v>0</v>
      </c>
      <c r="H219" s="913">
        <f t="shared" si="216"/>
        <v>0.17</v>
      </c>
      <c r="J219" s="920"/>
      <c r="K219" s="913">
        <v>8</v>
      </c>
      <c r="L219" s="913">
        <f t="shared" ref="L219:Q219" si="217">I90</f>
        <v>0.1</v>
      </c>
      <c r="M219" s="913">
        <f t="shared" si="217"/>
        <v>-1E-3</v>
      </c>
      <c r="N219" s="913">
        <f t="shared" si="217"/>
        <v>-1E-3</v>
      </c>
      <c r="O219" s="913" t="str">
        <f t="shared" si="217"/>
        <v>-</v>
      </c>
      <c r="P219" s="913">
        <f t="shared" si="217"/>
        <v>0</v>
      </c>
      <c r="Q219" s="913">
        <f t="shared" si="217"/>
        <v>1.2000000000000001E-3</v>
      </c>
    </row>
    <row r="220" spans="1:17" x14ac:dyDescent="0.2">
      <c r="A220" s="920"/>
      <c r="B220" s="913">
        <v>9</v>
      </c>
      <c r="C220" s="913">
        <f t="shared" ref="C220:H220" si="218">P84</f>
        <v>10</v>
      </c>
      <c r="D220" s="913">
        <f t="shared" si="218"/>
        <v>9.9999999999999995E-7</v>
      </c>
      <c r="E220" s="913" t="str">
        <f t="shared" si="218"/>
        <v>-</v>
      </c>
      <c r="F220" s="913" t="str">
        <f t="shared" si="218"/>
        <v>-</v>
      </c>
      <c r="G220" s="913">
        <f t="shared" si="218"/>
        <v>0</v>
      </c>
      <c r="H220" s="913">
        <f t="shared" si="218"/>
        <v>0</v>
      </c>
      <c r="J220" s="920"/>
      <c r="K220" s="913">
        <v>9</v>
      </c>
      <c r="L220" s="913">
        <f t="shared" ref="L220:Q220" si="219">P90</f>
        <v>1E-3</v>
      </c>
      <c r="M220" s="913">
        <f t="shared" si="219"/>
        <v>-1E-3</v>
      </c>
      <c r="N220" s="913" t="str">
        <f t="shared" si="219"/>
        <v>-</v>
      </c>
      <c r="O220" s="913" t="str">
        <f t="shared" si="219"/>
        <v>-</v>
      </c>
      <c r="P220" s="913">
        <f t="shared" si="219"/>
        <v>0</v>
      </c>
      <c r="Q220" s="913">
        <f t="shared" si="219"/>
        <v>1.2E-5</v>
      </c>
    </row>
    <row r="221" spans="1:17" x14ac:dyDescent="0.2">
      <c r="A221" s="920"/>
      <c r="B221" s="913">
        <v>10</v>
      </c>
      <c r="C221" s="913">
        <f>B115</f>
        <v>10</v>
      </c>
      <c r="D221" s="913">
        <f t="shared" ref="D221:F221" si="220">C115</f>
        <v>9.9999999999999995E-7</v>
      </c>
      <c r="E221" s="913" t="str">
        <f t="shared" si="220"/>
        <v>-</v>
      </c>
      <c r="F221" s="913" t="str">
        <f t="shared" si="220"/>
        <v>-</v>
      </c>
      <c r="G221" s="913">
        <f>F115</f>
        <v>0</v>
      </c>
      <c r="H221" s="913" t="str">
        <f>G115</f>
        <v>-</v>
      </c>
      <c r="J221" s="920"/>
      <c r="K221" s="913">
        <v>10</v>
      </c>
      <c r="L221" s="913">
        <f t="shared" ref="L221:Q221" si="221">B121</f>
        <v>0</v>
      </c>
      <c r="M221" s="913">
        <f t="shared" si="221"/>
        <v>9.9999999999999995E-7</v>
      </c>
      <c r="N221" s="913" t="str">
        <f t="shared" si="221"/>
        <v>-</v>
      </c>
      <c r="O221" s="913" t="str">
        <f t="shared" si="221"/>
        <v>-</v>
      </c>
      <c r="P221" s="913">
        <f t="shared" si="221"/>
        <v>0</v>
      </c>
      <c r="Q221" s="913" t="str">
        <f t="shared" si="221"/>
        <v>-</v>
      </c>
    </row>
    <row r="222" spans="1:17" x14ac:dyDescent="0.2">
      <c r="A222" s="920"/>
      <c r="B222" s="913">
        <v>11</v>
      </c>
      <c r="C222" s="913">
        <f>I115</f>
        <v>10</v>
      </c>
      <c r="D222" s="913">
        <f t="shared" ref="D222:F222" si="222">J115</f>
        <v>9.9999999999999995E-7</v>
      </c>
      <c r="E222" s="913" t="str">
        <f t="shared" si="222"/>
        <v>-</v>
      </c>
      <c r="F222" s="913" t="str">
        <f t="shared" si="222"/>
        <v>-</v>
      </c>
      <c r="G222" s="913">
        <f>M115</f>
        <v>0</v>
      </c>
      <c r="H222" s="913" t="str">
        <f>N115</f>
        <v>-</v>
      </c>
      <c r="J222" s="920"/>
      <c r="K222" s="913">
        <v>11</v>
      </c>
      <c r="L222" s="913">
        <f t="shared" ref="L222:Q222" si="223">I121</f>
        <v>0.01</v>
      </c>
      <c r="M222" s="913">
        <f t="shared" si="223"/>
        <v>9.9999999999999995E-7</v>
      </c>
      <c r="N222" s="913" t="str">
        <f t="shared" si="223"/>
        <v>-</v>
      </c>
      <c r="O222" s="913" t="str">
        <f t="shared" si="223"/>
        <v>-</v>
      </c>
      <c r="P222" s="913">
        <f t="shared" si="223"/>
        <v>0</v>
      </c>
      <c r="Q222" s="913" t="str">
        <f t="shared" si="223"/>
        <v>-</v>
      </c>
    </row>
    <row r="223" spans="1:17" x14ac:dyDescent="0.2">
      <c r="A223" s="920"/>
      <c r="B223" s="913">
        <v>12</v>
      </c>
      <c r="C223" s="913">
        <f>P115</f>
        <v>10</v>
      </c>
      <c r="D223" s="913">
        <f t="shared" ref="D223:F223" si="224">Q115</f>
        <v>9.9999999999999995E-7</v>
      </c>
      <c r="E223" s="913" t="str">
        <f t="shared" si="224"/>
        <v>-</v>
      </c>
      <c r="F223" s="913" t="str">
        <f t="shared" si="224"/>
        <v>-</v>
      </c>
      <c r="G223" s="913">
        <f>T115</f>
        <v>0</v>
      </c>
      <c r="H223" s="913" t="str">
        <f>U115</f>
        <v>-</v>
      </c>
      <c r="J223" s="920"/>
      <c r="K223" s="913">
        <v>12</v>
      </c>
      <c r="L223" s="913">
        <f t="shared" ref="L223:Q223" si="225">P121</f>
        <v>0.01</v>
      </c>
      <c r="M223" s="913">
        <f t="shared" si="225"/>
        <v>9.9999999999999995E-7</v>
      </c>
      <c r="N223" s="913" t="str">
        <f t="shared" si="225"/>
        <v>-</v>
      </c>
      <c r="O223" s="913" t="str">
        <f t="shared" si="225"/>
        <v>-</v>
      </c>
      <c r="P223" s="913">
        <f t="shared" si="225"/>
        <v>0</v>
      </c>
      <c r="Q223" s="913" t="str">
        <f t="shared" si="225"/>
        <v>-</v>
      </c>
    </row>
    <row r="224" spans="1:17" s="871" customFormat="1" x14ac:dyDescent="0.2">
      <c r="A224" s="921"/>
      <c r="B224" s="915"/>
      <c r="C224" s="915"/>
      <c r="D224" s="915"/>
      <c r="E224" s="915"/>
      <c r="F224" s="916"/>
      <c r="G224" s="915"/>
      <c r="H224" s="915"/>
      <c r="J224" s="921"/>
      <c r="K224" s="915"/>
      <c r="L224" s="915"/>
      <c r="M224" s="915"/>
      <c r="N224" s="915"/>
      <c r="O224" s="916"/>
      <c r="P224" s="915"/>
      <c r="Q224" s="915"/>
    </row>
    <row r="225" spans="1:17" x14ac:dyDescent="0.2">
      <c r="A225" s="920" t="s">
        <v>49</v>
      </c>
      <c r="B225" s="913">
        <v>1</v>
      </c>
      <c r="C225" s="913">
        <f t="shared" ref="C225:H225" si="226">B23</f>
        <v>20</v>
      </c>
      <c r="D225" s="913">
        <f t="shared" si="226"/>
        <v>9.9999999999999995E-7</v>
      </c>
      <c r="E225" s="913">
        <f t="shared" si="226"/>
        <v>9.9999999999999995E-7</v>
      </c>
      <c r="F225" s="913" t="str">
        <f t="shared" si="226"/>
        <v>-</v>
      </c>
      <c r="G225" s="913">
        <f t="shared" si="226"/>
        <v>0</v>
      </c>
      <c r="H225" s="913">
        <f t="shared" si="226"/>
        <v>0.11799999999999999</v>
      </c>
      <c r="J225" s="920" t="s">
        <v>49</v>
      </c>
      <c r="K225" s="913">
        <v>1</v>
      </c>
      <c r="L225" s="913">
        <f t="shared" ref="L225:Q225" si="227">B29</f>
        <v>0.1</v>
      </c>
      <c r="M225" s="913">
        <f t="shared" si="227"/>
        <v>-1E-3</v>
      </c>
      <c r="N225" s="913">
        <f t="shared" si="227"/>
        <v>2E-3</v>
      </c>
      <c r="O225" s="913" t="str">
        <f t="shared" si="227"/>
        <v>-</v>
      </c>
      <c r="P225" s="913">
        <f t="shared" si="227"/>
        <v>1.5E-3</v>
      </c>
      <c r="Q225" s="913">
        <f t="shared" si="227"/>
        <v>1.2000000000000001E-3</v>
      </c>
    </row>
    <row r="226" spans="1:17" x14ac:dyDescent="0.2">
      <c r="A226" s="920"/>
      <c r="B226" s="913">
        <v>2</v>
      </c>
      <c r="C226" s="913">
        <f t="shared" ref="C226:H226" si="228">I23</f>
        <v>20</v>
      </c>
      <c r="D226" s="913">
        <f t="shared" si="228"/>
        <v>0.2</v>
      </c>
      <c r="E226" s="913">
        <f t="shared" si="228"/>
        <v>0.1</v>
      </c>
      <c r="F226" s="913" t="str">
        <f t="shared" si="228"/>
        <v>-</v>
      </c>
      <c r="G226" s="913">
        <f t="shared" si="228"/>
        <v>0.05</v>
      </c>
      <c r="H226" s="913">
        <f t="shared" si="228"/>
        <v>0.11799999999999999</v>
      </c>
      <c r="J226" s="920"/>
      <c r="K226" s="913">
        <v>2</v>
      </c>
      <c r="L226" s="913">
        <f t="shared" ref="L226:Q226" si="229">I29</f>
        <v>0.1</v>
      </c>
      <c r="M226" s="913">
        <f t="shared" si="229"/>
        <v>6.0000000000000001E-3</v>
      </c>
      <c r="N226" s="913">
        <f t="shared" si="229"/>
        <v>5.0000000000000001E-3</v>
      </c>
      <c r="O226" s="913">
        <f t="shared" si="229"/>
        <v>0</v>
      </c>
      <c r="P226" s="913">
        <f t="shared" si="229"/>
        <v>5.0000000000000001E-4</v>
      </c>
      <c r="Q226" s="913">
        <f t="shared" si="229"/>
        <v>1.2000000000000001E-3</v>
      </c>
    </row>
    <row r="227" spans="1:17" x14ac:dyDescent="0.2">
      <c r="A227" s="920"/>
      <c r="B227" s="913">
        <v>3</v>
      </c>
      <c r="C227" s="913">
        <f t="shared" ref="C227:H227" si="230">P23</f>
        <v>10</v>
      </c>
      <c r="D227" s="913">
        <f t="shared" si="230"/>
        <v>9.9999999999999995E-7</v>
      </c>
      <c r="E227" s="913">
        <f t="shared" si="230"/>
        <v>9.9999999999999995E-7</v>
      </c>
      <c r="F227" s="913">
        <f t="shared" si="230"/>
        <v>9.9999999999999995E-7</v>
      </c>
      <c r="G227" s="913">
        <f t="shared" si="230"/>
        <v>0</v>
      </c>
      <c r="H227" s="913">
        <f t="shared" si="230"/>
        <v>0.17</v>
      </c>
      <c r="J227" s="920"/>
      <c r="K227" s="913">
        <v>3</v>
      </c>
      <c r="L227" s="913">
        <f t="shared" ref="L227:Q227" si="231">P29</f>
        <v>0.5</v>
      </c>
      <c r="M227" s="913">
        <f t="shared" si="231"/>
        <v>-2E-3</v>
      </c>
      <c r="N227" s="913">
        <f t="shared" si="231"/>
        <v>-1E-3</v>
      </c>
      <c r="O227" s="913">
        <f t="shared" si="231"/>
        <v>9.9999999999999995E-7</v>
      </c>
      <c r="P227" s="913">
        <f t="shared" si="231"/>
        <v>1.0005000000000001E-3</v>
      </c>
      <c r="Q227" s="913">
        <f t="shared" si="231"/>
        <v>6.0000000000000001E-3</v>
      </c>
    </row>
    <row r="228" spans="1:17" x14ac:dyDescent="0.2">
      <c r="A228" s="920"/>
      <c r="B228" s="913">
        <v>4</v>
      </c>
      <c r="C228" s="913">
        <f t="shared" ref="C228:H228" si="232">B54</f>
        <v>20</v>
      </c>
      <c r="D228" s="913">
        <f t="shared" si="232"/>
        <v>0.1</v>
      </c>
      <c r="E228" s="913">
        <f t="shared" si="232"/>
        <v>0.2</v>
      </c>
      <c r="F228" s="913" t="str">
        <f t="shared" si="232"/>
        <v>-</v>
      </c>
      <c r="G228" s="913">
        <f t="shared" si="232"/>
        <v>0.05</v>
      </c>
      <c r="H228" s="913">
        <f t="shared" si="232"/>
        <v>0.34</v>
      </c>
      <c r="J228" s="920"/>
      <c r="K228" s="913">
        <v>4</v>
      </c>
      <c r="L228" s="913">
        <f t="shared" ref="L228:Q228" si="233">B60</f>
        <v>0.1</v>
      </c>
      <c r="M228" s="913">
        <f t="shared" si="233"/>
        <v>-2E-3</v>
      </c>
      <c r="N228" s="913">
        <f t="shared" si="233"/>
        <v>9.9999999999999995E-7</v>
      </c>
      <c r="O228" s="913" t="str">
        <f t="shared" si="233"/>
        <v>-</v>
      </c>
      <c r="P228" s="913">
        <f t="shared" si="233"/>
        <v>1.0005000000000001E-3</v>
      </c>
      <c r="Q228" s="913">
        <f t="shared" si="233"/>
        <v>1.2000000000000001E-3</v>
      </c>
    </row>
    <row r="229" spans="1:17" x14ac:dyDescent="0.2">
      <c r="A229" s="920"/>
      <c r="B229" s="913">
        <v>5</v>
      </c>
      <c r="C229" s="913">
        <f t="shared" ref="C229:H229" si="234">I54</f>
        <v>20</v>
      </c>
      <c r="D229" s="913">
        <f t="shared" si="234"/>
        <v>0.1</v>
      </c>
      <c r="E229" s="913">
        <f t="shared" si="234"/>
        <v>0.1</v>
      </c>
      <c r="F229" s="913" t="str">
        <f t="shared" si="234"/>
        <v>-</v>
      </c>
      <c r="G229" s="913">
        <f t="shared" si="234"/>
        <v>0</v>
      </c>
      <c r="H229" s="913">
        <f t="shared" si="234"/>
        <v>0.34</v>
      </c>
      <c r="J229" s="920"/>
      <c r="K229" s="913">
        <v>5</v>
      </c>
      <c r="L229" s="913">
        <f t="shared" ref="L229:Q229" si="235">I60</f>
        <v>0.1</v>
      </c>
      <c r="M229" s="913">
        <f t="shared" si="235"/>
        <v>5.0000000000000001E-3</v>
      </c>
      <c r="N229" s="913">
        <f t="shared" si="235"/>
        <v>2E-3</v>
      </c>
      <c r="O229" s="913" t="str">
        <f t="shared" si="235"/>
        <v>-</v>
      </c>
      <c r="P229" s="913">
        <f t="shared" si="235"/>
        <v>1.5E-3</v>
      </c>
      <c r="Q229" s="913">
        <f t="shared" si="235"/>
        <v>1.2000000000000001E-3</v>
      </c>
    </row>
    <row r="230" spans="1:17" x14ac:dyDescent="0.2">
      <c r="A230" s="920"/>
      <c r="B230" s="913">
        <v>6</v>
      </c>
      <c r="C230" s="913">
        <f t="shared" ref="C230:H230" si="236">P54</f>
        <v>20</v>
      </c>
      <c r="D230" s="913">
        <f t="shared" si="236"/>
        <v>0.1</v>
      </c>
      <c r="E230" s="913">
        <f t="shared" si="236"/>
        <v>9.9999999999999995E-7</v>
      </c>
      <c r="F230" s="913" t="str">
        <f t="shared" si="236"/>
        <v>-</v>
      </c>
      <c r="G230" s="913">
        <f t="shared" si="236"/>
        <v>4.9999500000000002E-2</v>
      </c>
      <c r="H230" s="913">
        <f t="shared" si="236"/>
        <v>0.34</v>
      </c>
      <c r="J230" s="920"/>
      <c r="K230" s="913">
        <v>6</v>
      </c>
      <c r="L230" s="913">
        <f t="shared" ref="L230:Q230" si="237">P60</f>
        <v>0.1</v>
      </c>
      <c r="M230" s="913">
        <f t="shared" si="237"/>
        <v>-2E-3</v>
      </c>
      <c r="N230" s="913">
        <f t="shared" si="237"/>
        <v>6.0000000000000001E-3</v>
      </c>
      <c r="O230" s="913" t="str">
        <f t="shared" si="237"/>
        <v>-</v>
      </c>
      <c r="P230" s="913">
        <f t="shared" si="237"/>
        <v>4.0000000000000001E-3</v>
      </c>
      <c r="Q230" s="913">
        <f t="shared" si="237"/>
        <v>1.2000000000000001E-3</v>
      </c>
    </row>
    <row r="231" spans="1:17" x14ac:dyDescent="0.2">
      <c r="A231" s="920"/>
      <c r="B231" s="913">
        <v>7</v>
      </c>
      <c r="C231" s="913">
        <f t="shared" ref="C231:H231" si="238">B85</f>
        <v>20</v>
      </c>
      <c r="D231" s="913">
        <f t="shared" si="238"/>
        <v>9.9999999999999995E-7</v>
      </c>
      <c r="E231" s="913">
        <f t="shared" si="238"/>
        <v>0.1</v>
      </c>
      <c r="F231" s="913" t="str">
        <f t="shared" si="238"/>
        <v>-</v>
      </c>
      <c r="G231" s="913">
        <f t="shared" si="238"/>
        <v>4.9999500000000002E-2</v>
      </c>
      <c r="H231" s="913">
        <f t="shared" si="238"/>
        <v>0.34</v>
      </c>
      <c r="J231" s="920"/>
      <c r="K231" s="913">
        <v>7</v>
      </c>
      <c r="L231" s="913">
        <f t="shared" ref="L231:Q231" si="239">B91</f>
        <v>0.5</v>
      </c>
      <c r="M231" s="913">
        <f t="shared" si="239"/>
        <v>9.9999999999999995E-7</v>
      </c>
      <c r="N231" s="913">
        <f t="shared" si="239"/>
        <v>1E-3</v>
      </c>
      <c r="O231" s="913" t="str">
        <f t="shared" si="239"/>
        <v>-</v>
      </c>
      <c r="P231" s="913">
        <f t="shared" si="239"/>
        <v>4.9950000000000005E-4</v>
      </c>
      <c r="Q231" s="913">
        <f t="shared" si="239"/>
        <v>6.0000000000000001E-3</v>
      </c>
    </row>
    <row r="232" spans="1:17" x14ac:dyDescent="0.2">
      <c r="A232" s="920"/>
      <c r="B232" s="913">
        <v>8</v>
      </c>
      <c r="C232" s="913">
        <f t="shared" ref="C232:H232" si="240">I85</f>
        <v>20</v>
      </c>
      <c r="D232" s="913">
        <f t="shared" si="240"/>
        <v>9.9999999999999995E-7</v>
      </c>
      <c r="E232" s="913">
        <f t="shared" si="240"/>
        <v>9.9999999999999995E-7</v>
      </c>
      <c r="F232" s="913" t="str">
        <f t="shared" si="240"/>
        <v>-</v>
      </c>
      <c r="G232" s="913">
        <f t="shared" si="240"/>
        <v>0</v>
      </c>
      <c r="H232" s="913">
        <f t="shared" si="240"/>
        <v>0.34</v>
      </c>
      <c r="J232" s="920"/>
      <c r="K232" s="913">
        <v>8</v>
      </c>
      <c r="L232" s="913">
        <f t="shared" ref="L232:Q232" si="241">I91</f>
        <v>0.5</v>
      </c>
      <c r="M232" s="913">
        <f t="shared" si="241"/>
        <v>4.0000000000000001E-3</v>
      </c>
      <c r="N232" s="913">
        <f t="shared" si="241"/>
        <v>-3.0000000000000001E-3</v>
      </c>
      <c r="O232" s="913" t="str">
        <f t="shared" si="241"/>
        <v>-</v>
      </c>
      <c r="P232" s="913">
        <f t="shared" si="241"/>
        <v>3.5000000000000001E-3</v>
      </c>
      <c r="Q232" s="913">
        <f t="shared" si="241"/>
        <v>6.0000000000000001E-3</v>
      </c>
    </row>
    <row r="233" spans="1:17" x14ac:dyDescent="0.2">
      <c r="A233" s="920"/>
      <c r="B233" s="913">
        <v>9</v>
      </c>
      <c r="C233" s="913">
        <f t="shared" ref="C233:H233" si="242">P85</f>
        <v>20</v>
      </c>
      <c r="D233" s="913">
        <f t="shared" si="242"/>
        <v>9.9999999999999995E-7</v>
      </c>
      <c r="E233" s="913" t="str">
        <f t="shared" si="242"/>
        <v>-</v>
      </c>
      <c r="F233" s="913" t="str">
        <f t="shared" si="242"/>
        <v>-</v>
      </c>
      <c r="G233" s="913">
        <f t="shared" si="242"/>
        <v>0</v>
      </c>
      <c r="H233" s="913">
        <f t="shared" si="242"/>
        <v>0</v>
      </c>
      <c r="J233" s="920"/>
      <c r="K233" s="913">
        <v>9</v>
      </c>
      <c r="L233" s="913">
        <f t="shared" ref="L233:Q233" si="243">P91</f>
        <v>0.10199999999999999</v>
      </c>
      <c r="M233" s="913">
        <f t="shared" si="243"/>
        <v>-2E-3</v>
      </c>
      <c r="N233" s="913" t="str">
        <f t="shared" si="243"/>
        <v>-</v>
      </c>
      <c r="O233" s="913" t="str">
        <f t="shared" si="243"/>
        <v>-</v>
      </c>
      <c r="P233" s="913">
        <f t="shared" si="243"/>
        <v>0</v>
      </c>
      <c r="Q233" s="913">
        <f t="shared" si="243"/>
        <v>1.224E-3</v>
      </c>
    </row>
    <row r="234" spans="1:17" x14ac:dyDescent="0.2">
      <c r="A234" s="920"/>
      <c r="B234" s="913">
        <v>10</v>
      </c>
      <c r="C234" s="913">
        <f>B116</f>
        <v>20</v>
      </c>
      <c r="D234" s="913">
        <f t="shared" ref="D234:F234" si="244">C116</f>
        <v>0.1</v>
      </c>
      <c r="E234" s="913" t="str">
        <f t="shared" si="244"/>
        <v>-</v>
      </c>
      <c r="F234" s="913" t="str">
        <f t="shared" si="244"/>
        <v>-</v>
      </c>
      <c r="G234" s="913">
        <f>F116</f>
        <v>0</v>
      </c>
      <c r="H234" s="913" t="str">
        <f>G116</f>
        <v>-</v>
      </c>
      <c r="J234" s="920"/>
      <c r="K234" s="913">
        <v>10</v>
      </c>
      <c r="L234" s="913">
        <f t="shared" ref="L234:Q234" si="245">B122</f>
        <v>0.1</v>
      </c>
      <c r="M234" s="913">
        <f t="shared" si="245"/>
        <v>-2E-3</v>
      </c>
      <c r="N234" s="913" t="str">
        <f t="shared" si="245"/>
        <v>-</v>
      </c>
      <c r="O234" s="913" t="str">
        <f t="shared" si="245"/>
        <v>-</v>
      </c>
      <c r="P234" s="913">
        <f t="shared" si="245"/>
        <v>0</v>
      </c>
      <c r="Q234" s="913" t="str">
        <f t="shared" si="245"/>
        <v>-</v>
      </c>
    </row>
    <row r="235" spans="1:17" x14ac:dyDescent="0.2">
      <c r="A235" s="920"/>
      <c r="B235" s="913">
        <v>11</v>
      </c>
      <c r="C235" s="913">
        <f>I116</f>
        <v>20</v>
      </c>
      <c r="D235" s="913">
        <f t="shared" ref="D235:F235" si="246">J116</f>
        <v>9.9999999999999995E-7</v>
      </c>
      <c r="E235" s="913" t="str">
        <f t="shared" si="246"/>
        <v>-</v>
      </c>
      <c r="F235" s="913" t="str">
        <f t="shared" si="246"/>
        <v>-</v>
      </c>
      <c r="G235" s="913">
        <f>M116</f>
        <v>0</v>
      </c>
      <c r="H235" s="913" t="str">
        <f>N116</f>
        <v>-</v>
      </c>
      <c r="J235" s="920"/>
      <c r="K235" s="913">
        <v>11</v>
      </c>
      <c r="L235" s="913">
        <f t="shared" ref="L235:Q235" si="247">I122</f>
        <v>0.1</v>
      </c>
      <c r="M235" s="913">
        <f t="shared" si="247"/>
        <v>9.9999999999999995E-7</v>
      </c>
      <c r="N235" s="913" t="str">
        <f t="shared" si="247"/>
        <v>-</v>
      </c>
      <c r="O235" s="913" t="str">
        <f t="shared" si="247"/>
        <v>-</v>
      </c>
      <c r="P235" s="913">
        <f t="shared" si="247"/>
        <v>0</v>
      </c>
      <c r="Q235" s="913" t="str">
        <f t="shared" si="247"/>
        <v>-</v>
      </c>
    </row>
    <row r="236" spans="1:17" x14ac:dyDescent="0.2">
      <c r="A236" s="920"/>
      <c r="B236" s="913">
        <v>12</v>
      </c>
      <c r="C236" s="913">
        <f>P116</f>
        <v>20</v>
      </c>
      <c r="D236" s="913">
        <f t="shared" ref="D236:F236" si="248">Q116</f>
        <v>9.9999999999999995E-7</v>
      </c>
      <c r="E236" s="913" t="str">
        <f t="shared" si="248"/>
        <v>-</v>
      </c>
      <c r="F236" s="913" t="str">
        <f t="shared" si="248"/>
        <v>-</v>
      </c>
      <c r="G236" s="913">
        <f>T116</f>
        <v>0</v>
      </c>
      <c r="H236" s="913" t="str">
        <f>U116</f>
        <v>-</v>
      </c>
      <c r="J236" s="920"/>
      <c r="K236" s="913">
        <v>12</v>
      </c>
      <c r="L236" s="913">
        <f t="shared" ref="L236:Q236" si="249">P122</f>
        <v>0.1</v>
      </c>
      <c r="M236" s="913">
        <f t="shared" si="249"/>
        <v>9.9999999999999995E-7</v>
      </c>
      <c r="N236" s="913" t="str">
        <f t="shared" si="249"/>
        <v>-</v>
      </c>
      <c r="O236" s="913" t="str">
        <f t="shared" si="249"/>
        <v>-</v>
      </c>
      <c r="P236" s="913">
        <f t="shared" si="249"/>
        <v>0</v>
      </c>
      <c r="Q236" s="913" t="str">
        <f t="shared" si="249"/>
        <v>-</v>
      </c>
    </row>
    <row r="237" spans="1:17" s="871" customFormat="1" x14ac:dyDescent="0.2">
      <c r="A237" s="921"/>
      <c r="B237" s="915"/>
      <c r="C237" s="915"/>
      <c r="D237" s="915"/>
      <c r="E237" s="915"/>
      <c r="F237" s="916"/>
      <c r="G237" s="915"/>
      <c r="H237" s="915"/>
      <c r="J237" s="921"/>
      <c r="K237" s="915"/>
      <c r="L237" s="915"/>
      <c r="M237" s="915"/>
      <c r="N237" s="915"/>
      <c r="O237" s="916"/>
      <c r="P237" s="915"/>
      <c r="Q237" s="915"/>
    </row>
    <row r="238" spans="1:17" x14ac:dyDescent="0.2">
      <c r="A238" s="920" t="s">
        <v>50</v>
      </c>
      <c r="B238" s="913">
        <v>1</v>
      </c>
      <c r="C238" s="913">
        <f t="shared" ref="C238:H238" si="250">B24</f>
        <v>50</v>
      </c>
      <c r="D238" s="913">
        <f t="shared" si="250"/>
        <v>9.9999999999999995E-7</v>
      </c>
      <c r="E238" s="913">
        <f t="shared" si="250"/>
        <v>9.9999999999999995E-7</v>
      </c>
      <c r="F238" s="913" t="str">
        <f t="shared" si="250"/>
        <v>-</v>
      </c>
      <c r="G238" s="913">
        <f t="shared" si="250"/>
        <v>0</v>
      </c>
      <c r="H238" s="913">
        <f t="shared" si="250"/>
        <v>0.29499999999999998</v>
      </c>
      <c r="J238" s="920" t="s">
        <v>50</v>
      </c>
      <c r="K238" s="913">
        <v>1</v>
      </c>
      <c r="L238" s="913">
        <f t="shared" ref="L238:Q238" si="251">B30</f>
        <v>1</v>
      </c>
      <c r="M238" s="913">
        <f t="shared" si="251"/>
        <v>4.0000000000000001E-3</v>
      </c>
      <c r="N238" s="913">
        <f t="shared" si="251"/>
        <v>1.2E-2</v>
      </c>
      <c r="O238" s="913" t="str">
        <f t="shared" si="251"/>
        <v>-</v>
      </c>
      <c r="P238" s="913">
        <f t="shared" si="251"/>
        <v>4.0000000000000001E-3</v>
      </c>
      <c r="Q238" s="913">
        <f t="shared" si="251"/>
        <v>1.2E-2</v>
      </c>
    </row>
    <row r="239" spans="1:17" x14ac:dyDescent="0.2">
      <c r="A239" s="920"/>
      <c r="B239" s="913">
        <v>2</v>
      </c>
      <c r="C239" s="913">
        <f t="shared" ref="C239:H239" si="252">I24</f>
        <v>50</v>
      </c>
      <c r="D239" s="913">
        <f t="shared" si="252"/>
        <v>0.3</v>
      </c>
      <c r="E239" s="913">
        <f t="shared" si="252"/>
        <v>0.1</v>
      </c>
      <c r="F239" s="913" t="str">
        <f t="shared" si="252"/>
        <v>-</v>
      </c>
      <c r="G239" s="913">
        <f t="shared" si="252"/>
        <v>9.9999999999999992E-2</v>
      </c>
      <c r="H239" s="913">
        <f t="shared" si="252"/>
        <v>0.29499999999999998</v>
      </c>
      <c r="J239" s="920"/>
      <c r="K239" s="913">
        <v>2</v>
      </c>
      <c r="L239" s="913">
        <f t="shared" ref="L239:Q239" si="253">I30</f>
        <v>1</v>
      </c>
      <c r="M239" s="913">
        <f t="shared" si="253"/>
        <v>4.4999999999999998E-2</v>
      </c>
      <c r="N239" s="913">
        <f t="shared" si="253"/>
        <v>5.5E-2</v>
      </c>
      <c r="O239" s="913">
        <f t="shared" si="253"/>
        <v>0</v>
      </c>
      <c r="P239" s="913">
        <f t="shared" si="253"/>
        <v>5.000000000000001E-3</v>
      </c>
      <c r="Q239" s="913">
        <f t="shared" si="253"/>
        <v>1.2E-2</v>
      </c>
    </row>
    <row r="240" spans="1:17" x14ac:dyDescent="0.2">
      <c r="A240" s="920"/>
      <c r="B240" s="913">
        <v>3</v>
      </c>
      <c r="C240" s="913">
        <f t="shared" ref="C240:H240" si="254">P24</f>
        <v>20</v>
      </c>
      <c r="D240" s="913">
        <f t="shared" si="254"/>
        <v>9.9999999999999995E-7</v>
      </c>
      <c r="E240" s="913">
        <f t="shared" si="254"/>
        <v>0.4</v>
      </c>
      <c r="F240" s="913">
        <f t="shared" si="254"/>
        <v>0.3</v>
      </c>
      <c r="G240" s="913">
        <f t="shared" si="254"/>
        <v>0.19999950000000002</v>
      </c>
      <c r="H240" s="913">
        <f t="shared" si="254"/>
        <v>0.34</v>
      </c>
      <c r="J240" s="920"/>
      <c r="K240" s="913">
        <v>3</v>
      </c>
      <c r="L240" s="913">
        <f t="shared" ref="L240:Q240" si="255">P30</f>
        <v>1</v>
      </c>
      <c r="M240" s="913">
        <f t="shared" si="255"/>
        <v>-1.2E-2</v>
      </c>
      <c r="N240" s="913">
        <f t="shared" si="255"/>
        <v>5.0000000000000001E-3</v>
      </c>
      <c r="O240" s="913">
        <f t="shared" si="255"/>
        <v>9.9999999999999995E-7</v>
      </c>
      <c r="P240" s="913">
        <f t="shared" si="255"/>
        <v>8.5000000000000006E-3</v>
      </c>
      <c r="Q240" s="913">
        <f t="shared" si="255"/>
        <v>1.2E-2</v>
      </c>
    </row>
    <row r="241" spans="1:17" x14ac:dyDescent="0.2">
      <c r="A241" s="920"/>
      <c r="B241" s="913">
        <v>4</v>
      </c>
      <c r="C241" s="913">
        <f t="shared" ref="C241:H241" si="256">B55</f>
        <v>50</v>
      </c>
      <c r="D241" s="913">
        <f t="shared" si="256"/>
        <v>0.4</v>
      </c>
      <c r="E241" s="913">
        <f t="shared" si="256"/>
        <v>0.5</v>
      </c>
      <c r="F241" s="913" t="str">
        <f t="shared" si="256"/>
        <v>-</v>
      </c>
      <c r="G241" s="913">
        <f t="shared" si="256"/>
        <v>4.9999999999999989E-2</v>
      </c>
      <c r="H241" s="913">
        <f t="shared" si="256"/>
        <v>0.85000000000000009</v>
      </c>
      <c r="J241" s="920"/>
      <c r="K241" s="913">
        <v>4</v>
      </c>
      <c r="L241" s="913">
        <f t="shared" ref="L241:Q241" si="257">B61</f>
        <v>1</v>
      </c>
      <c r="M241" s="913">
        <f t="shared" si="257"/>
        <v>-8.0000000000000002E-3</v>
      </c>
      <c r="N241" s="913">
        <f t="shared" si="257"/>
        <v>-1E-3</v>
      </c>
      <c r="O241" s="913" t="str">
        <f t="shared" si="257"/>
        <v>-</v>
      </c>
      <c r="P241" s="913">
        <f t="shared" si="257"/>
        <v>3.5000000000000001E-3</v>
      </c>
      <c r="Q241" s="913">
        <f t="shared" si="257"/>
        <v>1.2E-2</v>
      </c>
    </row>
    <row r="242" spans="1:17" x14ac:dyDescent="0.2">
      <c r="A242" s="920"/>
      <c r="B242" s="913">
        <v>5</v>
      </c>
      <c r="C242" s="913">
        <f t="shared" ref="C242:H242" si="258">I55</f>
        <v>50</v>
      </c>
      <c r="D242" s="913">
        <f t="shared" si="258"/>
        <v>0.6</v>
      </c>
      <c r="E242" s="913">
        <f t="shared" si="258"/>
        <v>0.4</v>
      </c>
      <c r="F242" s="913" t="str">
        <f t="shared" si="258"/>
        <v>-</v>
      </c>
      <c r="G242" s="913">
        <f t="shared" si="258"/>
        <v>9.9999999999999978E-2</v>
      </c>
      <c r="H242" s="913">
        <f t="shared" si="258"/>
        <v>0.85000000000000009</v>
      </c>
      <c r="J242" s="920"/>
      <c r="K242" s="913">
        <v>5</v>
      </c>
      <c r="L242" s="913">
        <f t="shared" ref="L242:Q242" si="259">I61</f>
        <v>1</v>
      </c>
      <c r="M242" s="913">
        <f t="shared" si="259"/>
        <v>1.7999999999999999E-2</v>
      </c>
      <c r="N242" s="913">
        <f t="shared" si="259"/>
        <v>1.2E-2</v>
      </c>
      <c r="O242" s="913" t="str">
        <f t="shared" si="259"/>
        <v>-</v>
      </c>
      <c r="P242" s="913">
        <f t="shared" si="259"/>
        <v>2.9999999999999992E-3</v>
      </c>
      <c r="Q242" s="913">
        <f t="shared" si="259"/>
        <v>1.2E-2</v>
      </c>
    </row>
    <row r="243" spans="1:17" x14ac:dyDescent="0.2">
      <c r="A243" s="920"/>
      <c r="B243" s="913">
        <v>6</v>
      </c>
      <c r="C243" s="913">
        <f t="shared" ref="C243:H243" si="260">P55</f>
        <v>50</v>
      </c>
      <c r="D243" s="913">
        <f t="shared" si="260"/>
        <v>0.3</v>
      </c>
      <c r="E243" s="913">
        <f t="shared" si="260"/>
        <v>0.2</v>
      </c>
      <c r="F243" s="913" t="str">
        <f t="shared" si="260"/>
        <v>-</v>
      </c>
      <c r="G243" s="913">
        <f t="shared" si="260"/>
        <v>4.9999999999999989E-2</v>
      </c>
      <c r="H243" s="913">
        <f t="shared" si="260"/>
        <v>0.85000000000000009</v>
      </c>
      <c r="J243" s="920"/>
      <c r="K243" s="913">
        <v>6</v>
      </c>
      <c r="L243" s="913">
        <f t="shared" ref="L243:Q243" si="261">P61</f>
        <v>1</v>
      </c>
      <c r="M243" s="913">
        <f t="shared" si="261"/>
        <v>-1E-3</v>
      </c>
      <c r="N243" s="913">
        <f t="shared" si="261"/>
        <v>8.0000000000000002E-3</v>
      </c>
      <c r="O243" s="913" t="str">
        <f t="shared" si="261"/>
        <v>-</v>
      </c>
      <c r="P243" s="913">
        <f t="shared" si="261"/>
        <v>4.5000000000000005E-3</v>
      </c>
      <c r="Q243" s="913">
        <f t="shared" si="261"/>
        <v>1.2E-2</v>
      </c>
    </row>
    <row r="244" spans="1:17" x14ac:dyDescent="0.2">
      <c r="A244" s="920"/>
      <c r="B244" s="913">
        <v>7</v>
      </c>
      <c r="C244" s="913">
        <f t="shared" ref="C244:H244" si="262">B86</f>
        <v>50</v>
      </c>
      <c r="D244" s="913">
        <f t="shared" si="262"/>
        <v>9.9999999999999995E-7</v>
      </c>
      <c r="E244" s="913">
        <f t="shared" si="262"/>
        <v>0.4</v>
      </c>
      <c r="F244" s="913" t="str">
        <f t="shared" si="262"/>
        <v>-</v>
      </c>
      <c r="G244" s="913">
        <f t="shared" si="262"/>
        <v>0.19999950000000002</v>
      </c>
      <c r="H244" s="913">
        <f t="shared" si="262"/>
        <v>0.85000000000000009</v>
      </c>
      <c r="J244" s="920"/>
      <c r="K244" s="913">
        <v>7</v>
      </c>
      <c r="L244" s="913">
        <f t="shared" ref="L244:Q244" si="263">B92</f>
        <v>1</v>
      </c>
      <c r="M244" s="913">
        <f t="shared" si="263"/>
        <v>-2E-3</v>
      </c>
      <c r="N244" s="913">
        <f t="shared" si="263"/>
        <v>1E-3</v>
      </c>
      <c r="O244" s="913" t="str">
        <f t="shared" si="263"/>
        <v>-</v>
      </c>
      <c r="P244" s="913">
        <f t="shared" si="263"/>
        <v>1.5E-3</v>
      </c>
      <c r="Q244" s="913">
        <f t="shared" si="263"/>
        <v>1.2E-2</v>
      </c>
    </row>
    <row r="245" spans="1:17" x14ac:dyDescent="0.2">
      <c r="A245" s="920"/>
      <c r="B245" s="913">
        <v>8</v>
      </c>
      <c r="C245" s="913">
        <f t="shared" ref="C245:H245" si="264">I86</f>
        <v>50</v>
      </c>
      <c r="D245" s="913">
        <f t="shared" si="264"/>
        <v>0.2</v>
      </c>
      <c r="E245" s="913">
        <f t="shared" si="264"/>
        <v>9.9999999999999995E-7</v>
      </c>
      <c r="F245" s="913" t="str">
        <f t="shared" si="264"/>
        <v>-</v>
      </c>
      <c r="G245" s="913">
        <f t="shared" si="264"/>
        <v>9.9999500000000005E-2</v>
      </c>
      <c r="H245" s="913">
        <f t="shared" si="264"/>
        <v>0.85000000000000009</v>
      </c>
      <c r="J245" s="920"/>
      <c r="K245" s="913">
        <v>8</v>
      </c>
      <c r="L245" s="913">
        <f t="shared" ref="L245:Q245" si="265">I92</f>
        <v>1</v>
      </c>
      <c r="M245" s="913">
        <f t="shared" si="265"/>
        <v>5.0000000000000001E-3</v>
      </c>
      <c r="N245" s="913">
        <f t="shared" si="265"/>
        <v>1E-3</v>
      </c>
      <c r="O245" s="913" t="str">
        <f t="shared" si="265"/>
        <v>-</v>
      </c>
      <c r="P245" s="913">
        <f t="shared" si="265"/>
        <v>2E-3</v>
      </c>
      <c r="Q245" s="913">
        <f t="shared" si="265"/>
        <v>1.2E-2</v>
      </c>
    </row>
    <row r="246" spans="1:17" x14ac:dyDescent="0.2">
      <c r="A246" s="920"/>
      <c r="B246" s="913">
        <v>9</v>
      </c>
      <c r="C246" s="913">
        <f t="shared" ref="C246:H246" si="266">P86</f>
        <v>50</v>
      </c>
      <c r="D246" s="913">
        <f t="shared" si="266"/>
        <v>9.9999999999999995E-7</v>
      </c>
      <c r="E246" s="913" t="str">
        <f t="shared" si="266"/>
        <v>-</v>
      </c>
      <c r="F246" s="913" t="str">
        <f t="shared" si="266"/>
        <v>-</v>
      </c>
      <c r="G246" s="913">
        <f t="shared" si="266"/>
        <v>0</v>
      </c>
      <c r="H246" s="913">
        <f t="shared" si="266"/>
        <v>0</v>
      </c>
      <c r="J246" s="920"/>
      <c r="K246" s="913">
        <v>9</v>
      </c>
      <c r="L246" s="913">
        <f t="shared" ref="L246:Q246" si="267">P92</f>
        <v>0.5</v>
      </c>
      <c r="M246" s="913">
        <f t="shared" si="267"/>
        <v>9.9999999999999995E-7</v>
      </c>
      <c r="N246" s="913" t="str">
        <f t="shared" si="267"/>
        <v>-</v>
      </c>
      <c r="O246" s="913" t="str">
        <f t="shared" si="267"/>
        <v>-</v>
      </c>
      <c r="P246" s="913">
        <f t="shared" si="267"/>
        <v>0</v>
      </c>
      <c r="Q246" s="913">
        <f t="shared" si="267"/>
        <v>6.0000000000000001E-3</v>
      </c>
    </row>
    <row r="247" spans="1:17" x14ac:dyDescent="0.2">
      <c r="A247" s="920"/>
      <c r="B247" s="913">
        <v>10</v>
      </c>
      <c r="C247" s="913">
        <f>B117</f>
        <v>50</v>
      </c>
      <c r="D247" s="913">
        <f t="shared" ref="D247:F247" si="268">C117</f>
        <v>0.4</v>
      </c>
      <c r="E247" s="913" t="str">
        <f t="shared" si="268"/>
        <v>-</v>
      </c>
      <c r="F247" s="913" t="str">
        <f t="shared" si="268"/>
        <v>-</v>
      </c>
      <c r="G247" s="913">
        <f>F117</f>
        <v>0</v>
      </c>
      <c r="H247" s="913" t="str">
        <f>G117</f>
        <v>-</v>
      </c>
      <c r="J247" s="920"/>
      <c r="K247" s="913">
        <v>10</v>
      </c>
      <c r="L247" s="913">
        <f t="shared" ref="L247:Q247" si="269">B123</f>
        <v>1</v>
      </c>
      <c r="M247" s="913">
        <f t="shared" si="269"/>
        <v>-8.0000000000000002E-3</v>
      </c>
      <c r="N247" s="913" t="str">
        <f t="shared" si="269"/>
        <v>-</v>
      </c>
      <c r="O247" s="913" t="str">
        <f t="shared" si="269"/>
        <v>-</v>
      </c>
      <c r="P247" s="913">
        <f t="shared" si="269"/>
        <v>0</v>
      </c>
      <c r="Q247" s="913" t="str">
        <f t="shared" si="269"/>
        <v>-</v>
      </c>
    </row>
    <row r="248" spans="1:17" x14ac:dyDescent="0.2">
      <c r="A248" s="920"/>
      <c r="B248" s="913">
        <v>11</v>
      </c>
      <c r="C248" s="913">
        <f>I117</f>
        <v>50</v>
      </c>
      <c r="D248" s="913">
        <f t="shared" ref="D248:F248" si="270">J117</f>
        <v>9.9999999999999995E-7</v>
      </c>
      <c r="E248" s="913" t="str">
        <f t="shared" si="270"/>
        <v>-</v>
      </c>
      <c r="F248" s="913" t="str">
        <f t="shared" si="270"/>
        <v>-</v>
      </c>
      <c r="G248" s="913">
        <f>M117</f>
        <v>0</v>
      </c>
      <c r="H248" s="913" t="str">
        <f>N117</f>
        <v>-</v>
      </c>
      <c r="J248" s="920"/>
      <c r="K248" s="913">
        <v>11</v>
      </c>
      <c r="L248" s="913">
        <f t="shared" ref="L248:Q248" si="271">I123</f>
        <v>1</v>
      </c>
      <c r="M248" s="913">
        <f t="shared" si="271"/>
        <v>9.9999999999999995E-7</v>
      </c>
      <c r="N248" s="913" t="str">
        <f t="shared" si="271"/>
        <v>-</v>
      </c>
      <c r="O248" s="913" t="str">
        <f t="shared" si="271"/>
        <v>-</v>
      </c>
      <c r="P248" s="913">
        <f t="shared" si="271"/>
        <v>0</v>
      </c>
      <c r="Q248" s="913" t="str">
        <f t="shared" si="271"/>
        <v>-</v>
      </c>
    </row>
    <row r="249" spans="1:17" x14ac:dyDescent="0.2">
      <c r="A249" s="920"/>
      <c r="B249" s="913">
        <v>12</v>
      </c>
      <c r="C249" s="913">
        <f>P117</f>
        <v>50</v>
      </c>
      <c r="D249" s="913">
        <f t="shared" ref="D249:F249" si="272">Q117</f>
        <v>9.9999999999999995E-7</v>
      </c>
      <c r="E249" s="913" t="str">
        <f t="shared" si="272"/>
        <v>-</v>
      </c>
      <c r="F249" s="913" t="str">
        <f t="shared" si="272"/>
        <v>-</v>
      </c>
      <c r="G249" s="913">
        <f>T117</f>
        <v>0</v>
      </c>
      <c r="H249" s="913" t="str">
        <f>U117</f>
        <v>-</v>
      </c>
      <c r="J249" s="920"/>
      <c r="K249" s="913">
        <v>12</v>
      </c>
      <c r="L249" s="913">
        <f t="shared" ref="L249:Q249" si="273">P123</f>
        <v>1</v>
      </c>
      <c r="M249" s="913">
        <f t="shared" si="273"/>
        <v>9.9999999999999995E-7</v>
      </c>
      <c r="N249" s="913" t="str">
        <f t="shared" si="273"/>
        <v>-</v>
      </c>
      <c r="O249" s="913" t="str">
        <f t="shared" si="273"/>
        <v>-</v>
      </c>
      <c r="P249" s="913">
        <f t="shared" si="273"/>
        <v>0</v>
      </c>
      <c r="Q249" s="913" t="str">
        <f t="shared" si="273"/>
        <v>-</v>
      </c>
    </row>
    <row r="250" spans="1:17" s="871" customFormat="1" x14ac:dyDescent="0.2">
      <c r="A250" s="921"/>
      <c r="B250" s="915"/>
      <c r="C250" s="915"/>
      <c r="D250" s="915"/>
      <c r="E250" s="915"/>
      <c r="F250" s="916"/>
      <c r="G250" s="915"/>
      <c r="H250" s="915"/>
      <c r="J250" s="921"/>
      <c r="K250" s="915"/>
      <c r="L250" s="915"/>
      <c r="M250" s="915"/>
      <c r="N250" s="915"/>
      <c r="O250" s="916"/>
      <c r="P250" s="915"/>
      <c r="Q250" s="915"/>
    </row>
    <row r="251" spans="1:17" x14ac:dyDescent="0.2">
      <c r="A251" s="920" t="s">
        <v>51</v>
      </c>
      <c r="B251" s="913">
        <v>1</v>
      </c>
      <c r="C251" s="913">
        <f t="shared" ref="C251:H251" si="274">B25</f>
        <v>100</v>
      </c>
      <c r="D251" s="913">
        <f t="shared" si="274"/>
        <v>9.9999999999999995E-7</v>
      </c>
      <c r="E251" s="913">
        <f t="shared" si="274"/>
        <v>1.9999999999999999E-6</v>
      </c>
      <c r="F251" s="913" t="str">
        <f t="shared" si="274"/>
        <v>-</v>
      </c>
      <c r="G251" s="913">
        <f t="shared" si="274"/>
        <v>4.9999999999999998E-7</v>
      </c>
      <c r="H251" s="913">
        <f t="shared" si="274"/>
        <v>0.59</v>
      </c>
      <c r="J251" s="920" t="s">
        <v>51</v>
      </c>
      <c r="K251" s="913">
        <v>1</v>
      </c>
      <c r="L251" s="913">
        <f t="shared" ref="L251:Q251" si="275">B31</f>
        <v>2</v>
      </c>
      <c r="M251" s="913">
        <f t="shared" si="275"/>
        <v>7.0000000000000001E-3</v>
      </c>
      <c r="N251" s="913">
        <f t="shared" si="275"/>
        <v>9.9999999999999995E-7</v>
      </c>
      <c r="O251" s="913" t="str">
        <f t="shared" si="275"/>
        <v>-</v>
      </c>
      <c r="P251" s="913">
        <f t="shared" si="275"/>
        <v>3.4995E-3</v>
      </c>
      <c r="Q251" s="913">
        <f t="shared" si="275"/>
        <v>2.4E-2</v>
      </c>
    </row>
    <row r="252" spans="1:17" x14ac:dyDescent="0.2">
      <c r="A252" s="920"/>
      <c r="B252" s="913">
        <v>2</v>
      </c>
      <c r="C252" s="913">
        <f t="shared" ref="C252:H252" si="276">I25</f>
        <v>100</v>
      </c>
      <c r="D252" s="913">
        <f t="shared" si="276"/>
        <v>0.3</v>
      </c>
      <c r="E252" s="913">
        <f t="shared" si="276"/>
        <v>9.9999999999999995E-7</v>
      </c>
      <c r="F252" s="913" t="str">
        <f t="shared" si="276"/>
        <v>-</v>
      </c>
      <c r="G252" s="913">
        <f t="shared" si="276"/>
        <v>0.14999950000000001</v>
      </c>
      <c r="H252" s="913">
        <f t="shared" si="276"/>
        <v>0.59</v>
      </c>
      <c r="J252" s="920"/>
      <c r="K252" s="913">
        <v>2</v>
      </c>
      <c r="L252" s="913">
        <f t="shared" ref="L252:Q252" si="277">I31</f>
        <v>2</v>
      </c>
      <c r="M252" s="913">
        <f t="shared" si="277"/>
        <v>9.9999999999999995E-7</v>
      </c>
      <c r="N252" s="913">
        <f t="shared" si="277"/>
        <v>9.9999999999999995E-7</v>
      </c>
      <c r="O252" s="913">
        <f t="shared" si="277"/>
        <v>0</v>
      </c>
      <c r="P252" s="913">
        <f t="shared" si="277"/>
        <v>0</v>
      </c>
      <c r="Q252" s="913">
        <f t="shared" si="277"/>
        <v>2.4E-2</v>
      </c>
    </row>
    <row r="253" spans="1:17" x14ac:dyDescent="0.2">
      <c r="A253" s="920"/>
      <c r="B253" s="913">
        <v>3</v>
      </c>
      <c r="C253" s="913">
        <f t="shared" ref="C253:H253" si="278">P25</f>
        <v>50</v>
      </c>
      <c r="D253" s="913">
        <f t="shared" si="278"/>
        <v>0.1</v>
      </c>
      <c r="E253" s="913">
        <f t="shared" si="278"/>
        <v>1.1000000000000001</v>
      </c>
      <c r="F253" s="913">
        <f t="shared" si="278"/>
        <v>0.6</v>
      </c>
      <c r="G253" s="913">
        <f t="shared" si="278"/>
        <v>0.5</v>
      </c>
      <c r="H253" s="913">
        <f t="shared" si="278"/>
        <v>0.85000000000000009</v>
      </c>
      <c r="J253" s="920"/>
      <c r="K253" s="913">
        <v>3</v>
      </c>
      <c r="L253" s="913">
        <f t="shared" ref="L253:Q253" si="279">P31</f>
        <v>2</v>
      </c>
      <c r="M253" s="913">
        <f t="shared" si="279"/>
        <v>-8.0000000000000002E-3</v>
      </c>
      <c r="N253" s="913">
        <f t="shared" si="279"/>
        <v>1.4E-2</v>
      </c>
      <c r="O253" s="913">
        <f t="shared" si="279"/>
        <v>9.9999999999999995E-7</v>
      </c>
      <c r="P253" s="913">
        <f t="shared" si="279"/>
        <v>1.0999999999999999E-2</v>
      </c>
      <c r="Q253" s="913">
        <f t="shared" si="279"/>
        <v>2.4E-2</v>
      </c>
    </row>
    <row r="254" spans="1:17" x14ac:dyDescent="0.2">
      <c r="A254" s="920"/>
      <c r="B254" s="913">
        <v>4</v>
      </c>
      <c r="C254" s="913">
        <f t="shared" ref="C254:H254" si="280">B56</f>
        <v>100</v>
      </c>
      <c r="D254" s="913">
        <f t="shared" si="280"/>
        <v>1.4</v>
      </c>
      <c r="E254" s="913">
        <f t="shared" si="280"/>
        <v>1</v>
      </c>
      <c r="F254" s="913" t="str">
        <f t="shared" si="280"/>
        <v>-</v>
      </c>
      <c r="G254" s="913">
        <f t="shared" si="280"/>
        <v>0.19999999999999996</v>
      </c>
      <c r="H254" s="913">
        <f t="shared" si="280"/>
        <v>1.7000000000000002</v>
      </c>
      <c r="J254" s="920"/>
      <c r="K254" s="913">
        <v>4</v>
      </c>
      <c r="L254" s="913">
        <f t="shared" ref="L254:Q254" si="281">B62</f>
        <v>2</v>
      </c>
      <c r="M254" s="913">
        <f t="shared" si="281"/>
        <v>-7.0000000000000001E-3</v>
      </c>
      <c r="N254" s="913">
        <f t="shared" si="281"/>
        <v>9.9999999999999995E-7</v>
      </c>
      <c r="O254" s="913" t="str">
        <f t="shared" si="281"/>
        <v>-</v>
      </c>
      <c r="P254" s="913">
        <f t="shared" si="281"/>
        <v>3.5005000000000001E-3</v>
      </c>
      <c r="Q254" s="913">
        <f t="shared" si="281"/>
        <v>2.4E-2</v>
      </c>
    </row>
    <row r="255" spans="1:17" x14ac:dyDescent="0.2">
      <c r="A255" s="920"/>
      <c r="B255" s="913">
        <v>5</v>
      </c>
      <c r="C255" s="913">
        <f t="shared" ref="C255:H255" si="282">I56</f>
        <v>100</v>
      </c>
      <c r="D255" s="913">
        <f t="shared" si="282"/>
        <v>1.5</v>
      </c>
      <c r="E255" s="913">
        <f t="shared" si="282"/>
        <v>0.8</v>
      </c>
      <c r="F255" s="913" t="str">
        <f t="shared" si="282"/>
        <v>-</v>
      </c>
      <c r="G255" s="913">
        <f t="shared" si="282"/>
        <v>0.35</v>
      </c>
      <c r="H255" s="913">
        <f t="shared" si="282"/>
        <v>1.7000000000000002</v>
      </c>
      <c r="J255" s="920"/>
      <c r="K255" s="913">
        <v>5</v>
      </c>
      <c r="L255" s="913">
        <f t="shared" ref="L255:Q255" si="283">I62</f>
        <v>2</v>
      </c>
      <c r="M255" s="913">
        <f t="shared" si="283"/>
        <v>0.113</v>
      </c>
      <c r="N255" s="913">
        <f t="shared" si="283"/>
        <v>9.9999999999999995E-7</v>
      </c>
      <c r="O255" s="913" t="str">
        <f t="shared" si="283"/>
        <v>-</v>
      </c>
      <c r="P255" s="913">
        <f t="shared" si="283"/>
        <v>5.6499500000000001E-2</v>
      </c>
      <c r="Q255" s="913">
        <f t="shared" si="283"/>
        <v>2.4E-2</v>
      </c>
    </row>
    <row r="256" spans="1:17" x14ac:dyDescent="0.2">
      <c r="A256" s="920"/>
      <c r="B256" s="913">
        <v>6</v>
      </c>
      <c r="C256" s="913">
        <f t="shared" ref="C256:H256" si="284">P56</f>
        <v>100</v>
      </c>
      <c r="D256" s="913">
        <f t="shared" si="284"/>
        <v>0.6</v>
      </c>
      <c r="E256" s="913">
        <f t="shared" si="284"/>
        <v>0.7</v>
      </c>
      <c r="F256" s="913" t="str">
        <f t="shared" si="284"/>
        <v>-</v>
      </c>
      <c r="G256" s="913">
        <f t="shared" si="284"/>
        <v>4.9999999999999989E-2</v>
      </c>
      <c r="H256" s="913">
        <f t="shared" si="284"/>
        <v>1.7000000000000002</v>
      </c>
      <c r="J256" s="920"/>
      <c r="K256" s="913">
        <v>6</v>
      </c>
      <c r="L256" s="913">
        <f t="shared" ref="L256:Q256" si="285">P62</f>
        <v>2</v>
      </c>
      <c r="M256" s="913">
        <f t="shared" si="285"/>
        <v>9.9999999999999995E-7</v>
      </c>
      <c r="N256" s="913">
        <f t="shared" si="285"/>
        <v>9.9999999999999995E-7</v>
      </c>
      <c r="O256" s="913" t="str">
        <f t="shared" si="285"/>
        <v>-</v>
      </c>
      <c r="P256" s="913">
        <f t="shared" si="285"/>
        <v>0</v>
      </c>
      <c r="Q256" s="913">
        <f t="shared" si="285"/>
        <v>0</v>
      </c>
    </row>
    <row r="257" spans="1:20" x14ac:dyDescent="0.2">
      <c r="A257" s="920"/>
      <c r="B257" s="913">
        <v>7</v>
      </c>
      <c r="C257" s="913">
        <f t="shared" ref="C257:H257" si="286">B87</f>
        <v>100</v>
      </c>
      <c r="D257" s="913">
        <f t="shared" si="286"/>
        <v>9.9999999999999995E-7</v>
      </c>
      <c r="E257" s="913">
        <f t="shared" si="286"/>
        <v>1.4</v>
      </c>
      <c r="F257" s="913" t="str">
        <f t="shared" si="286"/>
        <v>-</v>
      </c>
      <c r="G257" s="913">
        <f t="shared" si="286"/>
        <v>0.6999995</v>
      </c>
      <c r="H257" s="913">
        <f t="shared" si="286"/>
        <v>1.7000000000000002</v>
      </c>
      <c r="J257" s="920"/>
      <c r="K257" s="913">
        <v>7</v>
      </c>
      <c r="L257" s="913">
        <f t="shared" ref="L257:Q257" si="287">B93</f>
        <v>2</v>
      </c>
      <c r="M257" s="913">
        <f t="shared" si="287"/>
        <v>9.9999999999999995E-7</v>
      </c>
      <c r="N257" s="913">
        <f t="shared" si="287"/>
        <v>1.9999999999999999E-6</v>
      </c>
      <c r="O257" s="913" t="str">
        <f t="shared" si="287"/>
        <v>-</v>
      </c>
      <c r="P257" s="913">
        <f t="shared" si="287"/>
        <v>4.9999999999999998E-7</v>
      </c>
      <c r="Q257" s="913">
        <f t="shared" si="287"/>
        <v>2.4E-2</v>
      </c>
    </row>
    <row r="258" spans="1:20" x14ac:dyDescent="0.2">
      <c r="A258" s="920"/>
      <c r="B258" s="913">
        <v>8</v>
      </c>
      <c r="C258" s="913">
        <f t="shared" ref="C258:H258" si="288">I87</f>
        <v>100</v>
      </c>
      <c r="D258" s="913">
        <f t="shared" si="288"/>
        <v>0.4</v>
      </c>
      <c r="E258" s="913">
        <f t="shared" si="288"/>
        <v>9.9999999999999995E-7</v>
      </c>
      <c r="F258" s="913" t="str">
        <f t="shared" si="288"/>
        <v>-</v>
      </c>
      <c r="G258" s="913">
        <f t="shared" si="288"/>
        <v>0.19999950000000002</v>
      </c>
      <c r="H258" s="913">
        <f t="shared" si="288"/>
        <v>1.7000000000000002</v>
      </c>
      <c r="J258" s="920"/>
      <c r="K258" s="913">
        <v>8</v>
      </c>
      <c r="L258" s="913">
        <f t="shared" ref="L258:Q258" si="289">I93</f>
        <v>2</v>
      </c>
      <c r="M258" s="913">
        <f t="shared" si="289"/>
        <v>5.0000000000000001E-3</v>
      </c>
      <c r="N258" s="913">
        <f t="shared" si="289"/>
        <v>-1E-3</v>
      </c>
      <c r="O258" s="913" t="str">
        <f t="shared" si="289"/>
        <v>-</v>
      </c>
      <c r="P258" s="913">
        <f t="shared" si="289"/>
        <v>3.0000000000000001E-3</v>
      </c>
      <c r="Q258" s="913">
        <f t="shared" si="289"/>
        <v>2.4E-2</v>
      </c>
    </row>
    <row r="259" spans="1:20" x14ac:dyDescent="0.2">
      <c r="A259" s="920"/>
      <c r="B259" s="913">
        <v>9</v>
      </c>
      <c r="C259" s="913">
        <f t="shared" ref="C259:H259" si="290">P87</f>
        <v>100</v>
      </c>
      <c r="D259" s="913">
        <f t="shared" si="290"/>
        <v>9.9999999999999995E-7</v>
      </c>
      <c r="E259" s="913" t="str">
        <f t="shared" si="290"/>
        <v>-</v>
      </c>
      <c r="F259" s="913" t="str">
        <f t="shared" si="290"/>
        <v>-</v>
      </c>
      <c r="G259" s="913">
        <f t="shared" si="290"/>
        <v>0</v>
      </c>
      <c r="H259" s="913">
        <f t="shared" si="290"/>
        <v>0</v>
      </c>
      <c r="J259" s="920"/>
      <c r="K259" s="913">
        <v>9</v>
      </c>
      <c r="L259" s="913">
        <f t="shared" ref="L259:Q259" si="291">P93</f>
        <v>1</v>
      </c>
      <c r="M259" s="913">
        <f t="shared" si="291"/>
        <v>-1E-3</v>
      </c>
      <c r="N259" s="913" t="str">
        <f t="shared" si="291"/>
        <v>-</v>
      </c>
      <c r="O259" s="913" t="str">
        <f t="shared" si="291"/>
        <v>-</v>
      </c>
      <c r="P259" s="913">
        <f t="shared" si="291"/>
        <v>0</v>
      </c>
      <c r="Q259" s="913">
        <f t="shared" si="291"/>
        <v>1.2E-2</v>
      </c>
    </row>
    <row r="260" spans="1:20" x14ac:dyDescent="0.2">
      <c r="A260" s="920"/>
      <c r="B260" s="913">
        <v>10</v>
      </c>
      <c r="C260" s="913">
        <f>B118</f>
        <v>100</v>
      </c>
      <c r="D260" s="913">
        <f t="shared" ref="D260:F260" si="292">C118</f>
        <v>1.4</v>
      </c>
      <c r="E260" s="913" t="str">
        <f t="shared" si="292"/>
        <v>-</v>
      </c>
      <c r="F260" s="913" t="str">
        <f t="shared" si="292"/>
        <v>-</v>
      </c>
      <c r="G260" s="913">
        <f>F118</f>
        <v>0</v>
      </c>
      <c r="H260" s="913" t="str">
        <f>G118</f>
        <v>-</v>
      </c>
      <c r="J260" s="920"/>
      <c r="K260" s="913">
        <v>10</v>
      </c>
      <c r="L260" s="913">
        <f t="shared" ref="L260:Q260" si="293">B124</f>
        <v>2</v>
      </c>
      <c r="M260" s="913">
        <f t="shared" si="293"/>
        <v>-7.0000000000000001E-3</v>
      </c>
      <c r="N260" s="913" t="str">
        <f t="shared" si="293"/>
        <v>-</v>
      </c>
      <c r="O260" s="913" t="str">
        <f t="shared" si="293"/>
        <v>-</v>
      </c>
      <c r="P260" s="913">
        <f t="shared" si="293"/>
        <v>0</v>
      </c>
      <c r="Q260" s="913" t="str">
        <f t="shared" si="293"/>
        <v>-</v>
      </c>
    </row>
    <row r="261" spans="1:20" x14ac:dyDescent="0.2">
      <c r="A261" s="920"/>
      <c r="B261" s="913">
        <v>11</v>
      </c>
      <c r="C261" s="913">
        <f>I118</f>
        <v>100</v>
      </c>
      <c r="D261" s="913">
        <f t="shared" ref="D261:F261" si="294">J118</f>
        <v>9.9999999999999995E-7</v>
      </c>
      <c r="E261" s="913" t="str">
        <f t="shared" si="294"/>
        <v>-</v>
      </c>
      <c r="F261" s="913" t="str">
        <f t="shared" si="294"/>
        <v>-</v>
      </c>
      <c r="G261" s="913">
        <f>M118</f>
        <v>0</v>
      </c>
      <c r="H261" s="913" t="str">
        <f>N118</f>
        <v>-</v>
      </c>
      <c r="J261" s="920"/>
      <c r="K261" s="913">
        <v>11</v>
      </c>
      <c r="L261" s="913">
        <f t="shared" ref="L261:Q261" si="295">I124</f>
        <v>2</v>
      </c>
      <c r="M261" s="913">
        <f t="shared" si="295"/>
        <v>9.9999999999999995E-7</v>
      </c>
      <c r="N261" s="913" t="str">
        <f t="shared" si="295"/>
        <v>-</v>
      </c>
      <c r="O261" s="913" t="str">
        <f t="shared" si="295"/>
        <v>-</v>
      </c>
      <c r="P261" s="913">
        <f t="shared" si="295"/>
        <v>0</v>
      </c>
      <c r="Q261" s="913" t="str">
        <f t="shared" si="295"/>
        <v>-</v>
      </c>
    </row>
    <row r="262" spans="1:20" x14ac:dyDescent="0.2">
      <c r="A262" s="920"/>
      <c r="B262" s="913">
        <v>12</v>
      </c>
      <c r="C262" s="913">
        <f>P118</f>
        <v>100</v>
      </c>
      <c r="D262" s="913">
        <f t="shared" ref="D262:F262" si="296">Q118</f>
        <v>9.9999999999999995E-7</v>
      </c>
      <c r="E262" s="913" t="str">
        <f t="shared" si="296"/>
        <v>-</v>
      </c>
      <c r="F262" s="913" t="str">
        <f t="shared" si="296"/>
        <v>-</v>
      </c>
      <c r="G262" s="913">
        <f>T118</f>
        <v>0</v>
      </c>
      <c r="H262" s="913" t="str">
        <f>U118</f>
        <v>-</v>
      </c>
      <c r="J262" s="920"/>
      <c r="K262" s="913">
        <v>12</v>
      </c>
      <c r="L262" s="913">
        <f t="shared" ref="L262:Q262" si="297">P124</f>
        <v>2</v>
      </c>
      <c r="M262" s="913">
        <f t="shared" si="297"/>
        <v>9.9999999999999995E-7</v>
      </c>
      <c r="N262" s="913" t="str">
        <f t="shared" si="297"/>
        <v>-</v>
      </c>
      <c r="O262" s="913" t="str">
        <f t="shared" si="297"/>
        <v>-</v>
      </c>
      <c r="P262" s="913">
        <f t="shared" si="297"/>
        <v>0</v>
      </c>
      <c r="Q262" s="913" t="str">
        <f t="shared" si="297"/>
        <v>-</v>
      </c>
    </row>
    <row r="263" spans="1:20" s="871" customFormat="1" x14ac:dyDescent="0.2">
      <c r="A263" s="900"/>
      <c r="B263" s="879"/>
      <c r="C263" s="879"/>
      <c r="D263" s="879"/>
      <c r="E263" s="879"/>
      <c r="F263" s="879"/>
      <c r="G263" s="879"/>
      <c r="I263" s="900"/>
      <c r="J263" s="879"/>
      <c r="K263" s="879"/>
      <c r="L263" s="879"/>
      <c r="M263" s="879"/>
      <c r="N263" s="879"/>
      <c r="O263" s="879"/>
    </row>
    <row r="264" spans="1:20" ht="15.75" thickBot="1" x14ac:dyDescent="0.25">
      <c r="A264" s="904"/>
      <c r="B264" s="894"/>
      <c r="C264" s="894"/>
    </row>
    <row r="265" spans="1:20" ht="43.5" customHeight="1" x14ac:dyDescent="0.2">
      <c r="A265" s="922">
        <f>A311</f>
        <v>1</v>
      </c>
      <c r="B265" s="923" t="str">
        <f>A298</f>
        <v>Electrical Safety Analyzer, Merek : Fluke, Model : ESA 620, SN : 1837056</v>
      </c>
      <c r="C265" s="923"/>
      <c r="D265" s="923"/>
      <c r="E265" s="923"/>
      <c r="F265" s="923"/>
      <c r="H265" s="921" t="s">
        <v>640</v>
      </c>
      <c r="I265" s="921" t="s">
        <v>641</v>
      </c>
      <c r="J265" s="921" t="s">
        <v>642</v>
      </c>
      <c r="K265" s="921" t="s">
        <v>643</v>
      </c>
      <c r="L265" s="924"/>
      <c r="M265" s="925" t="s">
        <v>46</v>
      </c>
      <c r="N265" s="926" t="s">
        <v>195</v>
      </c>
      <c r="O265" s="927" t="s">
        <v>196</v>
      </c>
      <c r="Q265" s="879"/>
      <c r="R265" s="879"/>
      <c r="S265" s="879"/>
      <c r="T265" s="879"/>
    </row>
    <row r="266" spans="1:20" ht="14.45" customHeight="1" x14ac:dyDescent="0.2">
      <c r="A266" s="918" t="s">
        <v>177</v>
      </c>
      <c r="B266" s="918"/>
      <c r="C266" s="918"/>
      <c r="D266" s="918"/>
      <c r="E266" s="918"/>
      <c r="F266" s="918"/>
      <c r="H266" s="928">
        <f>_xlfn.FORECAST.LINEAR(M268,B269:B274,A269:A274)</f>
        <v>-0.18051704834605609</v>
      </c>
      <c r="I266" s="928" t="str">
        <f>IF(M269="OL","OL",FORECAST(M269,B285:B288,A285:A288))</f>
        <v>OL</v>
      </c>
      <c r="J266" s="928">
        <f>_xlfn.FORECAST.LINEAR(M270,B291:B294,A291:A294)</f>
        <v>-1.2706615532118924E-4</v>
      </c>
      <c r="K266" s="928">
        <f>_xlfn.FORECAST.LINEAR(M271,B277:B282,A277:A282)</f>
        <v>0.59114423016505413</v>
      </c>
      <c r="L266" s="871"/>
      <c r="M266" s="929"/>
      <c r="N266" s="930"/>
      <c r="O266" s="931"/>
      <c r="Q266" s="879"/>
      <c r="R266" s="879"/>
      <c r="S266" s="879"/>
      <c r="T266" s="879"/>
    </row>
    <row r="267" spans="1:20" ht="15.75" thickBot="1" x14ac:dyDescent="0.25">
      <c r="A267" s="932" t="str">
        <f>B4</f>
        <v>Setting VAC</v>
      </c>
      <c r="B267" s="932"/>
      <c r="C267" s="932"/>
      <c r="D267" s="932"/>
      <c r="E267" s="932" t="s">
        <v>162</v>
      </c>
      <c r="F267" s="932" t="s">
        <v>158</v>
      </c>
      <c r="H267" s="879"/>
      <c r="I267" s="879"/>
      <c r="J267" s="879"/>
      <c r="K267" s="879"/>
      <c r="L267" s="871"/>
      <c r="M267" s="933"/>
      <c r="N267" s="934"/>
      <c r="O267" s="931"/>
      <c r="Q267" s="879"/>
      <c r="R267" s="879"/>
      <c r="S267" s="879"/>
      <c r="T267" s="879"/>
    </row>
    <row r="268" spans="1:20" ht="60.75" thickBot="1" x14ac:dyDescent="0.25">
      <c r="A268" s="935" t="s">
        <v>179</v>
      </c>
      <c r="B268" s="936">
        <f>VLOOKUP(B265,A299:L310,9,FALSE)</f>
        <v>2020</v>
      </c>
      <c r="C268" s="936">
        <f>VLOOKUP(B265,A299:L310,10,FALSE)</f>
        <v>2019</v>
      </c>
      <c r="D268" s="936" t="str">
        <f>VLOOKUP(B265,A299:L310,11,FALSE)</f>
        <v>-</v>
      </c>
      <c r="E268" s="932"/>
      <c r="F268" s="932"/>
      <c r="H268" s="921" t="s">
        <v>644</v>
      </c>
      <c r="I268" s="921" t="s">
        <v>645</v>
      </c>
      <c r="J268" s="879"/>
      <c r="K268" s="879"/>
      <c r="L268" s="871"/>
      <c r="M268" s="937">
        <f>[2]ID!E18</f>
        <v>221.6</v>
      </c>
      <c r="N268" s="938">
        <f>M268+H266</f>
        <v>221.41948295165395</v>
      </c>
      <c r="O268" s="928">
        <f>IFERROR(N268,"-")</f>
        <v>221.41948295165395</v>
      </c>
      <c r="Q268" s="879"/>
      <c r="R268" s="879"/>
      <c r="S268" s="879"/>
      <c r="T268" s="879"/>
    </row>
    <row r="269" spans="1:20" x14ac:dyDescent="0.2">
      <c r="A269" s="939">
        <f>VLOOKUP(A265,B131:H142,2,(FALSE))</f>
        <v>150</v>
      </c>
      <c r="B269" s="940">
        <f>VLOOKUP($A$265,$B$131:$H$142,3,(FALSE))</f>
        <v>0.31</v>
      </c>
      <c r="C269" s="940">
        <f>VLOOKUP($A$265,$B$131:$H$142,4,(FALSE))</f>
        <v>0.76</v>
      </c>
      <c r="D269" s="940" t="str">
        <f>VLOOKUP($A$265,$B$131:$H$142,5,(FALSE))</f>
        <v>-</v>
      </c>
      <c r="E269" s="940">
        <f>VLOOKUP($A$265,$B$131:$H$142,6,(FALSE))</f>
        <v>0.22500000000000001</v>
      </c>
      <c r="F269" s="940">
        <f>VLOOKUP($A$265,$B$131:$H$142,7,(FALSE))</f>
        <v>1.8</v>
      </c>
      <c r="H269" s="941">
        <f>_xlfn.FORECAST.LINEAR(M272,B277:B282,A277:A282)</f>
        <v>0.49836101946499722</v>
      </c>
      <c r="I269" s="941">
        <f>_xlfn.FORECAST.LINEAR(N268,F269:F274,A269:A274)</f>
        <v>2.6570337954198475</v>
      </c>
      <c r="J269" s="900"/>
      <c r="K269" s="900"/>
      <c r="L269" s="871"/>
      <c r="M269" s="942" t="str">
        <f>[2]ID!I26</f>
        <v>OL</v>
      </c>
      <c r="N269" s="938" t="str">
        <f>IF(M269="OL","OL",M269+I266)</f>
        <v>OL</v>
      </c>
      <c r="O269" s="928" t="str">
        <f>IF(M269="OL","OL",IF(M269="NC","NC",IF(M269="OR","OR",IFERROR(N269,"-"))))</f>
        <v>OL</v>
      </c>
      <c r="R269" s="943"/>
    </row>
    <row r="270" spans="1:20" ht="15.75" thickBot="1" x14ac:dyDescent="0.25">
      <c r="A270" s="939">
        <f>VLOOKUP(A265,B144:H155,2,(FALSE))</f>
        <v>180</v>
      </c>
      <c r="B270" s="940">
        <f>VLOOKUP($A$265,$B$144:$H$155,3,(FALSE))</f>
        <v>0.1</v>
      </c>
      <c r="C270" s="940">
        <f>VLOOKUP($A$265,$B$144:$H$155,4,(FALSE))</f>
        <v>-0.03</v>
      </c>
      <c r="D270" s="940" t="str">
        <f>VLOOKUP($A$265,$B$144:$H$155,5,(FALSE))</f>
        <v>-</v>
      </c>
      <c r="E270" s="940">
        <f>VLOOKUP($A$265,$B$144:$H$155,6,(FALSE))</f>
        <v>6.5000000000000002E-2</v>
      </c>
      <c r="F270" s="940">
        <f>VLOOKUP($A$265,$B$144:$H$155,7,(FALSE))</f>
        <v>2.16</v>
      </c>
      <c r="H270" s="879"/>
      <c r="I270" s="879"/>
      <c r="J270" s="879"/>
      <c r="K270" s="879"/>
      <c r="L270" s="871"/>
      <c r="M270" s="942">
        <f>[2]ID!I27</f>
        <v>0.1</v>
      </c>
      <c r="N270" s="944">
        <f>M270+J266</f>
        <v>9.987293384467881E-2</v>
      </c>
      <c r="O270" s="928">
        <f>IF(M270="OL","OL",IF(M270="NC","NC",IF(M270="OR","OR",IFERROR(N270,"-"))))</f>
        <v>9.987293384467881E-2</v>
      </c>
    </row>
    <row r="271" spans="1:20" x14ac:dyDescent="0.2">
      <c r="A271" s="939">
        <f>VLOOKUP(A265,B157:H168,2,(FALSE))</f>
        <v>200</v>
      </c>
      <c r="B271" s="940">
        <f>VLOOKUP($A$265,$B$157:$H$168,3,(FALSE))</f>
        <v>-0.04</v>
      </c>
      <c r="C271" s="940">
        <f>VLOOKUP($A$265,$B$157:$H$168,4,(FALSE))</f>
        <v>-0.16</v>
      </c>
      <c r="D271" s="940" t="str">
        <f>VLOOKUP($A$265,$B$157:$H$168,5,(FALSE))</f>
        <v>-</v>
      </c>
      <c r="E271" s="940">
        <f>VLOOKUP($A$265,$B$157:$H$168,6,(FALSE))</f>
        <v>0.06</v>
      </c>
      <c r="F271" s="940">
        <f>VLOOKUP($A$265,$B$157:$H$168,7,(FALSE))</f>
        <v>2.4</v>
      </c>
      <c r="H271" s="945" t="s">
        <v>513</v>
      </c>
      <c r="I271" s="946"/>
      <c r="J271" s="947"/>
      <c r="K271" s="879"/>
      <c r="L271" s="948" t="s">
        <v>197</v>
      </c>
      <c r="M271" s="949">
        <f>[2]ID!I28</f>
        <v>120</v>
      </c>
      <c r="N271" s="950">
        <f>M271+K266</f>
        <v>120.59114423016506</v>
      </c>
      <c r="O271" s="928">
        <f>IFERROR(N271,"-")</f>
        <v>120.59114423016506</v>
      </c>
    </row>
    <row r="272" spans="1:20" ht="15.75" thickBot="1" x14ac:dyDescent="0.25">
      <c r="A272" s="939">
        <f>VLOOKUP(A265,B170:H181,2,(FALSE))</f>
        <v>220</v>
      </c>
      <c r="B272" s="940">
        <f>VLOOKUP($A$265,$B$170:$H$181,3,(FALSE))</f>
        <v>-0.28000000000000003</v>
      </c>
      <c r="C272" s="940">
        <f>VLOOKUP($A$265,$B$170:$H$181,4,(FALSE))</f>
        <v>-0.18</v>
      </c>
      <c r="D272" s="940" t="str">
        <f>VLOOKUP($A$265,$B$170:$H$181,5,(FALSE))</f>
        <v>-</v>
      </c>
      <c r="E272" s="940">
        <f>VLOOKUP($A$265,$B$170:$H$181,6,(FALSE))</f>
        <v>5.0000000000000017E-2</v>
      </c>
      <c r="F272" s="940">
        <f>VLOOKUP($A$265,$B$170:$H$181,7,(FALSE))</f>
        <v>2.64</v>
      </c>
      <c r="H272" s="951" t="str">
        <f>TEXT(O268,"0.0")</f>
        <v>221.4</v>
      </c>
      <c r="I272" s="915" t="str">
        <f>TEXT(I269,"0.0")</f>
        <v>2.7</v>
      </c>
      <c r="J272" s="952" t="s">
        <v>646</v>
      </c>
      <c r="K272" s="879"/>
      <c r="L272" s="948" t="s">
        <v>126</v>
      </c>
      <c r="M272" s="953">
        <f>[2]ID!U27</f>
        <v>10</v>
      </c>
      <c r="N272" s="954">
        <f>M272+H269</f>
        <v>10.498361019464998</v>
      </c>
      <c r="O272" s="928">
        <f>IFERROR(N272,"-")</f>
        <v>10.498361019464998</v>
      </c>
    </row>
    <row r="273" spans="1:16" ht="15.75" customHeight="1" thickBot="1" x14ac:dyDescent="0.25">
      <c r="A273" s="939">
        <f>VLOOKUP(A265,B183:H194,2,(FALSE))</f>
        <v>230</v>
      </c>
      <c r="B273" s="940">
        <f>VLOOKUP($A$265,$B$183:$H$194,3,(FALSE))</f>
        <v>-0.2</v>
      </c>
      <c r="C273" s="940">
        <f>VLOOKUP($A$265,$B$183:$H$194,4,(FALSE))</f>
        <v>-0.26</v>
      </c>
      <c r="D273" s="940" t="str">
        <f>VLOOKUP($A$265,$B$183:$H$194,5,(FALSE))</f>
        <v>-</v>
      </c>
      <c r="E273" s="940">
        <f>VLOOKUP($A$265,$B$183:$H$194,6,(FALSE))</f>
        <v>0.03</v>
      </c>
      <c r="F273" s="940">
        <f>VLOOKUP($A$265,$B$183:$H$194,7,(FALSE))</f>
        <v>2.7600000000000002</v>
      </c>
      <c r="H273" s="955" t="s">
        <v>516</v>
      </c>
      <c r="I273" s="956" t="s">
        <v>517</v>
      </c>
      <c r="J273" s="957" t="s">
        <v>518</v>
      </c>
      <c r="K273" s="900"/>
      <c r="L273" s="871"/>
      <c r="M273" s="958"/>
      <c r="N273" s="959"/>
      <c r="O273" s="960"/>
    </row>
    <row r="274" spans="1:16" x14ac:dyDescent="0.2">
      <c r="A274" s="939">
        <f>VLOOKUP(A265,B196:H207,2,(FALSE))</f>
        <v>250</v>
      </c>
      <c r="B274" s="940">
        <f>VLOOKUP($A$265,$B$196:$H$207,3,(FALSE))</f>
        <v>-0.32</v>
      </c>
      <c r="C274" s="940">
        <f>VLOOKUP($A$265,$B$196:$H$207,4,(FALSE))</f>
        <v>9.9999999999999995E-7</v>
      </c>
      <c r="D274" s="940" t="str">
        <f>VLOOKUP($A$265,$B$196:$H$207,5,(FALSE))</f>
        <v>-</v>
      </c>
      <c r="E274" s="940">
        <f>VLOOKUP($A$265,$B$196:$H$207,6,(FALSE))</f>
        <v>0.16000049999999999</v>
      </c>
      <c r="F274" s="940">
        <f>VLOOKUP($A$265,$B$196:$H$207,7,(FALSE))</f>
        <v>3</v>
      </c>
      <c r="H274" s="961" t="str">
        <f>H273&amp;H272&amp;I273&amp;I272&amp;J273&amp;J272</f>
        <v>( 221.4 ± 2.7 ) Volt</v>
      </c>
      <c r="I274" s="962"/>
      <c r="J274" s="963"/>
      <c r="K274" s="879"/>
      <c r="L274" s="871"/>
      <c r="M274" s="958"/>
      <c r="N274" s="959"/>
      <c r="O274" s="960"/>
    </row>
    <row r="275" spans="1:16" ht="12.95" customHeight="1" x14ac:dyDescent="0.2">
      <c r="A275" s="918" t="str">
        <f>B12</f>
        <v>Current Leakage</v>
      </c>
      <c r="B275" s="918"/>
      <c r="C275" s="918"/>
      <c r="D275" s="918"/>
      <c r="E275" s="935" t="s">
        <v>162</v>
      </c>
      <c r="F275" s="935" t="s">
        <v>158</v>
      </c>
      <c r="H275" s="879"/>
      <c r="I275" s="879"/>
      <c r="J275" s="879"/>
      <c r="K275" s="879"/>
      <c r="L275" s="871"/>
      <c r="M275" s="958"/>
      <c r="N275" s="959"/>
      <c r="O275" s="960"/>
    </row>
    <row r="276" spans="1:16" x14ac:dyDescent="0.2">
      <c r="A276" s="935" t="s">
        <v>181</v>
      </c>
      <c r="B276" s="936">
        <f>B268</f>
        <v>2020</v>
      </c>
      <c r="C276" s="936">
        <f>C268</f>
        <v>2019</v>
      </c>
      <c r="D276" s="936" t="str">
        <f>D268</f>
        <v>-</v>
      </c>
      <c r="E276" s="935"/>
      <c r="F276" s="935"/>
      <c r="H276" s="879"/>
      <c r="I276" s="879"/>
      <c r="J276" s="879"/>
      <c r="K276" s="879"/>
      <c r="L276" s="871"/>
      <c r="M276" s="958"/>
      <c r="N276" s="959"/>
      <c r="O276" s="960"/>
    </row>
    <row r="277" spans="1:16" ht="15.75" customHeight="1" x14ac:dyDescent="0.2">
      <c r="A277" s="939">
        <f>VLOOKUP($A$265,$K$131:$Q$142,2,(FALSE))</f>
        <v>0</v>
      </c>
      <c r="B277" s="940">
        <f>VLOOKUP($A$265,$K$131:$Q$142,3,(FALSE))</f>
        <v>9.9999999999999995E-7</v>
      </c>
      <c r="C277" s="940">
        <f>VLOOKUP($A$265,$K$131:$Q$142,4,(FALSE))</f>
        <v>9.9999999999999995E-7</v>
      </c>
      <c r="D277" s="940" t="str">
        <f>VLOOKUP($A$265,$K$131:$Q$142,5,(FALSE))</f>
        <v>-</v>
      </c>
      <c r="E277" s="940">
        <f>VLOOKUP($A$265,$K$131:$Q$142,6,(FALSE))</f>
        <v>9.9999999999999995E-7</v>
      </c>
      <c r="F277" s="940">
        <f>VLOOKUP($A$265,$K$131:$Q$142,7,(FALSE))</f>
        <v>9.9999999999999995E-7</v>
      </c>
      <c r="H277" s="964"/>
      <c r="I277" s="964"/>
      <c r="J277" s="964"/>
      <c r="K277" s="964"/>
      <c r="L277" s="871"/>
      <c r="M277" s="965"/>
      <c r="N277" s="965"/>
      <c r="O277" s="966"/>
    </row>
    <row r="278" spans="1:16" x14ac:dyDescent="0.2">
      <c r="A278" s="939">
        <f>VLOOKUP($A$265,$K$144:$Q$155,2,(FALSE))</f>
        <v>50</v>
      </c>
      <c r="B278" s="940">
        <f>VLOOKUP($A$265,$K$144:$Q$155,3,(FALSE))</f>
        <v>0.1</v>
      </c>
      <c r="C278" s="940">
        <f>VLOOKUP($A$265,$K$144:$Q$155,4,(FALSE))</f>
        <v>-0.06</v>
      </c>
      <c r="D278" s="940" t="str">
        <f>VLOOKUP($A$265,$K$144:$Q$155,5,(FALSE))</f>
        <v>-</v>
      </c>
      <c r="E278" s="940">
        <f>VLOOKUP($A$265,$K$144:$Q$155,6,(FALSE))</f>
        <v>0.08</v>
      </c>
      <c r="F278" s="940">
        <f>VLOOKUP($A$265,$K$144:$Q$155,7,(FALSE))</f>
        <v>0.29499999999999998</v>
      </c>
      <c r="H278" s="879"/>
      <c r="I278" s="879"/>
      <c r="J278" s="879"/>
      <c r="K278" s="879"/>
      <c r="L278" s="871"/>
      <c r="M278" s="959"/>
      <c r="N278" s="959"/>
      <c r="O278" s="960"/>
    </row>
    <row r="279" spans="1:16" x14ac:dyDescent="0.2">
      <c r="A279" s="939">
        <f>VLOOKUP($A$265,$K$157:$Q$168,2,(FALSE))</f>
        <v>100</v>
      </c>
      <c r="B279" s="940">
        <f>VLOOKUP($A$265,$K$157:$Q$168,3,(FALSE))</f>
        <v>0.2</v>
      </c>
      <c r="C279" s="940">
        <f>VLOOKUP($A$265,$K$157:$Q$168,4,(FALSE))</f>
        <v>-0.06</v>
      </c>
      <c r="D279" s="940" t="str">
        <f>VLOOKUP($A$265,$K$157:$Q$168,5,(FALSE))</f>
        <v>-</v>
      </c>
      <c r="E279" s="940">
        <f>VLOOKUP($A$265,$K$157:$Q$168,6,(FALSE))</f>
        <v>0.13</v>
      </c>
      <c r="F279" s="940">
        <f>VLOOKUP($A$265,$K$157:$Q$168,7,(FALSE))</f>
        <v>0.59</v>
      </c>
      <c r="H279" s="879"/>
      <c r="I279" s="879"/>
      <c r="J279" s="879"/>
      <c r="K279" s="879"/>
      <c r="L279" s="871"/>
      <c r="M279" s="871"/>
      <c r="N279" s="871"/>
      <c r="O279" s="967"/>
    </row>
    <row r="280" spans="1:16" x14ac:dyDescent="0.2">
      <c r="A280" s="939">
        <f>VLOOKUP($A$265,$K$170:$Q$181,2,(FALSE))</f>
        <v>200</v>
      </c>
      <c r="B280" s="940">
        <f>VLOOKUP($A$265,$K$170:$Q$181,3,(FALSE))</f>
        <v>0.4</v>
      </c>
      <c r="C280" s="940">
        <f>VLOOKUP($A$265,$K$170:$Q$181,4,(FALSE))</f>
        <v>9.9999999999999995E-7</v>
      </c>
      <c r="D280" s="940" t="str">
        <f>VLOOKUP($A$265,$K$170:$Q$181,5,(FALSE))</f>
        <v>-</v>
      </c>
      <c r="E280" s="940">
        <f>VLOOKUP($A$265,$K$170:$Q$181,6,(FALSE))</f>
        <v>0.19999950000000002</v>
      </c>
      <c r="F280" s="940">
        <f>VLOOKUP($A$265,$K$170:$Q$181,7,(FALSE))</f>
        <v>1.18</v>
      </c>
      <c r="H280" s="879"/>
      <c r="I280" s="879"/>
      <c r="J280" s="879"/>
      <c r="K280" s="879"/>
      <c r="L280" s="871"/>
      <c r="M280" s="871"/>
      <c r="N280" s="871"/>
      <c r="O280" s="967"/>
    </row>
    <row r="281" spans="1:16" ht="16.5" customHeight="1" x14ac:dyDescent="0.2">
      <c r="A281" s="939">
        <f>VLOOKUP($A$265,$K$183:$Q$194,2,(FALSE))</f>
        <v>500</v>
      </c>
      <c r="B281" s="940">
        <f>VLOOKUP($A$265,$K$183:$Q$194,3,(FALSE))</f>
        <v>3.8</v>
      </c>
      <c r="C281" s="940">
        <f>VLOOKUP($A$265,$K$183:$Q$194,4,(FALSE))</f>
        <v>-0.9</v>
      </c>
      <c r="D281" s="940" t="str">
        <f>VLOOKUP($A$265,$K$183:$Q$194,5,(FALSE))</f>
        <v>-</v>
      </c>
      <c r="E281" s="940">
        <f>VLOOKUP($A$265,$K$183:$Q$194,6,(FALSE))</f>
        <v>2.35</v>
      </c>
      <c r="F281" s="940">
        <f>VLOOKUP($A$265,$K$183:$Q$194,7,(FALSE))</f>
        <v>2.9499999999999997</v>
      </c>
      <c r="H281" s="964"/>
      <c r="I281" s="964"/>
      <c r="J281" s="964"/>
      <c r="K281" s="964"/>
      <c r="L281" s="871"/>
      <c r="M281" s="871"/>
      <c r="N281" s="871"/>
      <c r="O281" s="967"/>
    </row>
    <row r="282" spans="1:16" x14ac:dyDescent="0.2">
      <c r="A282" s="939">
        <f>VLOOKUP($A$265,$K$196:$Q$207,2,(FALSE))</f>
        <v>1000</v>
      </c>
      <c r="B282" s="940">
        <f>VLOOKUP($A$265,$K$196:$Q$207,3,(FALSE))</f>
        <v>9.9999999999999995E-7</v>
      </c>
      <c r="C282" s="940">
        <f>VLOOKUP($A$265,$K$196:$Q$207,4,(FALSE))</f>
        <v>1.9999999999999999E-6</v>
      </c>
      <c r="D282" s="940" t="str">
        <f>VLOOKUP($A$265,$K$196:$Q$207,5,(FALSE))</f>
        <v>-</v>
      </c>
      <c r="E282" s="940">
        <f>VLOOKUP($A$265,$K$196:$Q$207,6,(FALSE))</f>
        <v>4.9999999999999998E-7</v>
      </c>
      <c r="F282" s="940">
        <f>VLOOKUP($A$265,$K$196:$Q$207,7,(FALSE))</f>
        <v>5.8999999999999995</v>
      </c>
      <c r="H282" s="879"/>
      <c r="I282" s="879"/>
      <c r="J282" s="879"/>
      <c r="K282" s="879"/>
      <c r="L282" s="871"/>
      <c r="M282" s="879"/>
      <c r="N282" s="879"/>
      <c r="O282" s="968"/>
      <c r="P282" s="894"/>
    </row>
    <row r="283" spans="1:16" x14ac:dyDescent="0.2">
      <c r="A283" s="918" t="str">
        <f>B20</f>
        <v>Main-PE</v>
      </c>
      <c r="B283" s="918"/>
      <c r="C283" s="918"/>
      <c r="D283" s="918"/>
      <c r="E283" s="935" t="s">
        <v>162</v>
      </c>
      <c r="F283" s="935" t="s">
        <v>158</v>
      </c>
      <c r="H283" s="879"/>
      <c r="I283" s="879"/>
      <c r="J283" s="879"/>
      <c r="K283" s="879"/>
      <c r="L283" s="871"/>
      <c r="M283" s="879"/>
      <c r="N283" s="879"/>
      <c r="O283" s="968"/>
      <c r="P283" s="894"/>
    </row>
    <row r="284" spans="1:16" x14ac:dyDescent="0.2">
      <c r="A284" s="935" t="s">
        <v>633</v>
      </c>
      <c r="B284" s="936">
        <f>B276</f>
        <v>2020</v>
      </c>
      <c r="C284" s="936">
        <f>C276</f>
        <v>2019</v>
      </c>
      <c r="D284" s="936" t="str">
        <f>D276</f>
        <v>-</v>
      </c>
      <c r="E284" s="935"/>
      <c r="F284" s="935"/>
      <c r="H284" s="879"/>
      <c r="I284" s="879"/>
      <c r="J284" s="879"/>
      <c r="K284" s="879"/>
      <c r="L284" s="871"/>
      <c r="M284" s="879"/>
      <c r="N284" s="879"/>
      <c r="O284" s="968"/>
      <c r="P284" s="894"/>
    </row>
    <row r="285" spans="1:16" ht="15.75" customHeight="1" x14ac:dyDescent="0.2">
      <c r="A285" s="939">
        <f>VLOOKUP($A$265,$B$212:$H$223,2,(FALSE))</f>
        <v>10</v>
      </c>
      <c r="B285" s="940">
        <f>VLOOKUP($A$265,$B$212:$H$223,3,(FALSE))</f>
        <v>-1E-3</v>
      </c>
      <c r="C285" s="940">
        <f>VLOOKUP($A$265,$B$212:$H$223,4,(FALSE))</f>
        <v>9.9999999999999995E-7</v>
      </c>
      <c r="D285" s="940" t="str">
        <f>VLOOKUP($A$265,$B$212:$H$223,5,(FALSE))</f>
        <v>-</v>
      </c>
      <c r="E285" s="940">
        <f>VLOOKUP($A$265,$B$212:$H$223,6,(FALSE))</f>
        <v>5.0049999999999997E-4</v>
      </c>
      <c r="F285" s="940">
        <f>VLOOKUP($A$265,$B$212:$H$223,7,(FALSE))</f>
        <v>5.8999999999999997E-2</v>
      </c>
      <c r="H285" s="969"/>
      <c r="I285" s="969"/>
      <c r="J285" s="969"/>
      <c r="K285" s="969"/>
      <c r="L285" s="871"/>
      <c r="M285" s="871"/>
      <c r="N285" s="871"/>
      <c r="O285" s="967"/>
    </row>
    <row r="286" spans="1:16" x14ac:dyDescent="0.2">
      <c r="A286" s="939">
        <f>VLOOKUP($A$265,$B$225:$H$236,2,(FALSE))</f>
        <v>20</v>
      </c>
      <c r="B286" s="940">
        <f>VLOOKUP($A$265,$B$225:$H$236,3,(FALSE))</f>
        <v>9.9999999999999995E-7</v>
      </c>
      <c r="C286" s="940">
        <f>VLOOKUP($A$265,$B$225:$H$236,4,(FALSE))</f>
        <v>9.9999999999999995E-7</v>
      </c>
      <c r="D286" s="940" t="str">
        <f>VLOOKUP($A$265,$B$225:$H$236,5,(FALSE))</f>
        <v>-</v>
      </c>
      <c r="E286" s="940">
        <f>VLOOKUP($A$265,$B$225:$H$236,6,(FALSE))</f>
        <v>0</v>
      </c>
      <c r="F286" s="940">
        <f>VLOOKUP($A$265,$B$225:$H$236,7,(FALSE))</f>
        <v>0.11799999999999999</v>
      </c>
      <c r="H286" s="959"/>
      <c r="I286" s="959"/>
      <c r="J286" s="959"/>
      <c r="K286" s="959"/>
      <c r="L286" s="871"/>
      <c r="M286" s="871"/>
      <c r="N286" s="871"/>
      <c r="O286" s="967"/>
    </row>
    <row r="287" spans="1:16" x14ac:dyDescent="0.2">
      <c r="A287" s="939">
        <f>VLOOKUP($A$265,$B$238:$H$249,2,(FALSE))</f>
        <v>50</v>
      </c>
      <c r="B287" s="940">
        <f>VLOOKUP($A$265,$B$238:$H$249,3,(FALSE))</f>
        <v>9.9999999999999995E-7</v>
      </c>
      <c r="C287" s="940">
        <f>VLOOKUP($A$265,$B$238:$H$249,4,(FALSE))</f>
        <v>9.9999999999999995E-7</v>
      </c>
      <c r="D287" s="940" t="str">
        <f>VLOOKUP($A$265,$B$238:$H$249,5,(FALSE))</f>
        <v>-</v>
      </c>
      <c r="E287" s="940">
        <f>VLOOKUP($A$265,$B$238:$H$249,6,(FALSE))</f>
        <v>0</v>
      </c>
      <c r="F287" s="940">
        <f>VLOOKUP($A$265,$B$238:$H$249,7,(FALSE))</f>
        <v>0.29499999999999998</v>
      </c>
      <c r="H287" s="959"/>
      <c r="I287" s="959"/>
      <c r="J287" s="959"/>
      <c r="K287" s="959"/>
      <c r="L287" s="871"/>
      <c r="M287" s="871"/>
      <c r="N287" s="871"/>
      <c r="O287" s="967"/>
    </row>
    <row r="288" spans="1:16" x14ac:dyDescent="0.2">
      <c r="A288" s="939">
        <f>VLOOKUP($A$265,$B$251:$H$262,2,(FALSE))</f>
        <v>100</v>
      </c>
      <c r="B288" s="940">
        <f>VLOOKUP($A$265,$B$251:$H$262,3,(FALSE))</f>
        <v>9.9999999999999995E-7</v>
      </c>
      <c r="C288" s="940">
        <f>VLOOKUP($A$265,$B$251:$H$262,4,(FALSE))</f>
        <v>1.9999999999999999E-6</v>
      </c>
      <c r="D288" s="940" t="str">
        <f>VLOOKUP($A$265,$B$251:$H$262,5,(FALSE))</f>
        <v>-</v>
      </c>
      <c r="E288" s="940">
        <f>VLOOKUP($A$265,$B$251:$H$262,6,(FALSE))</f>
        <v>4.9999999999999998E-7</v>
      </c>
      <c r="F288" s="940">
        <f>VLOOKUP($A$265,$B$251:$H$262,7,(FALSE))</f>
        <v>0.59</v>
      </c>
      <c r="H288" s="959"/>
      <c r="I288" s="959"/>
      <c r="J288" s="959"/>
      <c r="K288" s="959"/>
      <c r="L288" s="871"/>
      <c r="M288" s="871"/>
      <c r="N288" s="871"/>
      <c r="O288" s="967"/>
    </row>
    <row r="289" spans="1:25" ht="15.75" customHeight="1" x14ac:dyDescent="0.2">
      <c r="A289" s="918" t="str">
        <f>B26</f>
        <v>Resistance</v>
      </c>
      <c r="B289" s="918"/>
      <c r="C289" s="918"/>
      <c r="D289" s="918"/>
      <c r="E289" s="935" t="s">
        <v>162</v>
      </c>
      <c r="F289" s="935" t="s">
        <v>158</v>
      </c>
      <c r="H289" s="969"/>
      <c r="I289" s="969"/>
      <c r="J289" s="969"/>
      <c r="K289" s="969"/>
      <c r="L289" s="871"/>
      <c r="M289" s="871"/>
      <c r="N289" s="871"/>
      <c r="O289" s="967"/>
    </row>
    <row r="290" spans="1:25" x14ac:dyDescent="0.2">
      <c r="A290" s="935" t="s">
        <v>634</v>
      </c>
      <c r="B290" s="936">
        <f>B284</f>
        <v>2020</v>
      </c>
      <c r="C290" s="936">
        <f>C284</f>
        <v>2019</v>
      </c>
      <c r="D290" s="936" t="str">
        <f>D284</f>
        <v>-</v>
      </c>
      <c r="E290" s="935"/>
      <c r="F290" s="935"/>
      <c r="H290" s="959"/>
      <c r="I290" s="959"/>
      <c r="J290" s="959"/>
      <c r="K290" s="959"/>
      <c r="L290" s="871"/>
      <c r="M290" s="871"/>
      <c r="N290" s="871"/>
      <c r="O290" s="967"/>
    </row>
    <row r="291" spans="1:25" x14ac:dyDescent="0.2">
      <c r="A291" s="915">
        <f>VLOOKUP($A$265,$K$212:$Q$223,2,(FALSE))</f>
        <v>0</v>
      </c>
      <c r="B291" s="940">
        <f>VLOOKUP($A$265,$K$212:$Q$223,3,(FALSE))</f>
        <v>9.9999999999999995E-7</v>
      </c>
      <c r="C291" s="940">
        <f>VLOOKUP($A$265,$K$212:$Q$223,4,(FALSE))</f>
        <v>9.9999999999999995E-7</v>
      </c>
      <c r="D291" s="940" t="str">
        <f>VLOOKUP($A$265,$K$212:$Q$223,5,(FALSE))</f>
        <v>-</v>
      </c>
      <c r="E291" s="940">
        <f>VLOOKUP($A$265,$K$212:$Q$223,6,(FALSE))</f>
        <v>9.9999999999999995E-7</v>
      </c>
      <c r="F291" s="940">
        <f>VLOOKUP($A$265,$K$212:$Q$223,7,(FALSE))</f>
        <v>9.9999999999999995E-7</v>
      </c>
      <c r="H291" s="959"/>
      <c r="I291" s="959"/>
      <c r="J291" s="959"/>
      <c r="K291" s="959"/>
      <c r="L291" s="871"/>
      <c r="M291" s="871"/>
      <c r="N291" s="871"/>
      <c r="O291" s="967"/>
    </row>
    <row r="292" spans="1:25" x14ac:dyDescent="0.2">
      <c r="A292" s="915">
        <f>VLOOKUP($A$265,$K$225:$Q$236,2,(FALSE))</f>
        <v>0.1</v>
      </c>
      <c r="B292" s="940">
        <f>VLOOKUP($A$265,$K$225:$Q$236,3,(FALSE))</f>
        <v>-1E-3</v>
      </c>
      <c r="C292" s="940">
        <f>VLOOKUP($A$265,$K$225:$Q$236,4,(FALSE))</f>
        <v>2E-3</v>
      </c>
      <c r="D292" s="940" t="str">
        <f>VLOOKUP($A$265,$K$225:$Q$236,5,(FALSE))</f>
        <v>-</v>
      </c>
      <c r="E292" s="940">
        <f>VLOOKUP($A$265,$K$225:$Q$236,6,(FALSE))</f>
        <v>1.5E-3</v>
      </c>
      <c r="F292" s="940">
        <f>VLOOKUP($A$265,$K$225:$Q$236,7,(FALSE))</f>
        <v>1.2000000000000001E-3</v>
      </c>
      <c r="H292" s="959"/>
      <c r="I292" s="959"/>
      <c r="J292" s="959"/>
      <c r="K292" s="959"/>
      <c r="L292" s="871"/>
      <c r="M292" s="871"/>
      <c r="N292" s="871"/>
      <c r="O292" s="967"/>
    </row>
    <row r="293" spans="1:25" ht="15.75" customHeight="1" x14ac:dyDescent="0.2">
      <c r="A293" s="915">
        <f>VLOOKUP($A$265,$K$238:$Q$249,2,(FALSE))</f>
        <v>1</v>
      </c>
      <c r="B293" s="940">
        <f>VLOOKUP($A$265,$K$238:$Q$249,3,(FALSE))</f>
        <v>4.0000000000000001E-3</v>
      </c>
      <c r="C293" s="940">
        <f>VLOOKUP($A$265,$K$238:$Q$249,4,(FALSE))</f>
        <v>1.2E-2</v>
      </c>
      <c r="D293" s="940" t="str">
        <f>VLOOKUP($A$265,$K$238:$Q$249,5,(FALSE))</f>
        <v>-</v>
      </c>
      <c r="E293" s="940">
        <f>VLOOKUP($A$265,$K$238:$Q$249,6,(FALSE))</f>
        <v>4.0000000000000001E-3</v>
      </c>
      <c r="F293" s="940">
        <f>VLOOKUP($A$265,$K$238:$Q$249,7,(FALSE))</f>
        <v>1.2E-2</v>
      </c>
      <c r="H293" s="969"/>
      <c r="I293" s="969"/>
      <c r="J293" s="969"/>
      <c r="K293" s="969"/>
      <c r="L293" s="871"/>
      <c r="M293" s="871"/>
      <c r="N293" s="871"/>
      <c r="O293" s="967"/>
    </row>
    <row r="294" spans="1:25" x14ac:dyDescent="0.2">
      <c r="A294" s="915">
        <f>VLOOKUP($A$265,$K$251:$Q$262,2,(FALSE))</f>
        <v>2</v>
      </c>
      <c r="B294" s="940">
        <f>VLOOKUP($A$265,$K$251:$Q$262,3,(FALSE))</f>
        <v>7.0000000000000001E-3</v>
      </c>
      <c r="C294" s="940">
        <f>VLOOKUP($A$265,$K$251:$Q$262,4,(FALSE))</f>
        <v>9.9999999999999995E-7</v>
      </c>
      <c r="D294" s="940" t="str">
        <f>VLOOKUP($A$265,$K$251:$Q$262,5,(FALSE))</f>
        <v>-</v>
      </c>
      <c r="E294" s="940">
        <f>VLOOKUP($A$265,$K$251:$Q$262,6,(FALSE))</f>
        <v>3.4995E-3</v>
      </c>
      <c r="F294" s="940">
        <f>VLOOKUP($A$265,$K$251:$Q$262,7,(FALSE))</f>
        <v>2.4E-2</v>
      </c>
      <c r="H294" s="959"/>
      <c r="I294" s="959"/>
      <c r="J294" s="959"/>
      <c r="K294" s="959"/>
      <c r="L294" s="871"/>
      <c r="M294" s="871"/>
      <c r="N294" s="871"/>
      <c r="O294" s="967"/>
    </row>
    <row r="297" spans="1:25" ht="15.75" thickBot="1" x14ac:dyDescent="0.25"/>
    <row r="298" spans="1:25" x14ac:dyDescent="0.2">
      <c r="A298" s="970" t="str">
        <f>[2]ID!B56</f>
        <v>Electrical Safety Analyzer, Merek : Fluke, Model : ESA 620, SN : 1837056</v>
      </c>
      <c r="B298" s="971"/>
      <c r="C298" s="971"/>
      <c r="D298" s="971"/>
      <c r="E298" s="971"/>
      <c r="F298" s="971"/>
      <c r="G298" s="971"/>
      <c r="H298" s="971"/>
      <c r="I298" s="971"/>
      <c r="J298" s="971"/>
      <c r="K298" s="971"/>
      <c r="L298" s="971"/>
      <c r="N298" s="972">
        <f>A311</f>
        <v>1</v>
      </c>
      <c r="O298" s="973"/>
      <c r="P298" s="973"/>
      <c r="Q298" s="973"/>
      <c r="R298" s="973"/>
      <c r="S298" s="973"/>
      <c r="T298" s="973"/>
      <c r="U298" s="973"/>
      <c r="V298" s="973"/>
      <c r="W298" s="973"/>
      <c r="X298" s="973"/>
      <c r="Y298" s="974"/>
    </row>
    <row r="299" spans="1:25" x14ac:dyDescent="0.2">
      <c r="A299" s="975" t="s">
        <v>614</v>
      </c>
      <c r="B299" s="976"/>
      <c r="C299" s="976"/>
      <c r="D299" s="977"/>
      <c r="E299" s="977"/>
      <c r="F299" s="977"/>
      <c r="G299" s="977"/>
      <c r="H299" s="977"/>
      <c r="I299" s="978">
        <f>C5</f>
        <v>2020</v>
      </c>
      <c r="J299" s="978">
        <f>D5</f>
        <v>2019</v>
      </c>
      <c r="K299" s="978" t="str">
        <f>E5</f>
        <v>-</v>
      </c>
      <c r="L299" s="979">
        <v>1</v>
      </c>
      <c r="N299" s="980">
        <v>1</v>
      </c>
      <c r="O299" s="981" t="s">
        <v>647</v>
      </c>
      <c r="P299" s="982"/>
      <c r="Q299" s="982"/>
      <c r="R299" s="982"/>
      <c r="S299" s="982"/>
      <c r="T299" s="982"/>
      <c r="U299" s="982"/>
      <c r="V299" s="982"/>
      <c r="W299" s="982"/>
      <c r="X299" s="982"/>
      <c r="Y299" s="983"/>
    </row>
    <row r="300" spans="1:25" x14ac:dyDescent="0.2">
      <c r="A300" s="975" t="s">
        <v>615</v>
      </c>
      <c r="B300" s="976"/>
      <c r="C300" s="976"/>
      <c r="D300" s="977"/>
      <c r="E300" s="977"/>
      <c r="F300" s="977"/>
      <c r="G300" s="977"/>
      <c r="H300" s="977"/>
      <c r="I300" s="978">
        <f>J5</f>
        <v>2019</v>
      </c>
      <c r="J300" s="978">
        <f>K5</f>
        <v>2017</v>
      </c>
      <c r="K300" s="978" t="str">
        <f>L5</f>
        <v>-</v>
      </c>
      <c r="L300" s="979">
        <v>2</v>
      </c>
      <c r="N300" s="980">
        <v>2</v>
      </c>
      <c r="O300" s="981" t="s">
        <v>647</v>
      </c>
      <c r="P300" s="982"/>
      <c r="Q300" s="982"/>
      <c r="R300" s="982"/>
      <c r="S300" s="982"/>
      <c r="T300" s="982"/>
      <c r="U300" s="982"/>
      <c r="V300" s="982"/>
      <c r="W300" s="982"/>
      <c r="X300" s="982"/>
      <c r="Y300" s="983"/>
    </row>
    <row r="301" spans="1:25" x14ac:dyDescent="0.2">
      <c r="A301" s="975" t="s">
        <v>198</v>
      </c>
      <c r="B301" s="976"/>
      <c r="C301" s="976"/>
      <c r="D301" s="977"/>
      <c r="E301" s="977"/>
      <c r="F301" s="977"/>
      <c r="G301" s="977"/>
      <c r="H301" s="977"/>
      <c r="I301" s="978">
        <f>Q5</f>
        <v>2022</v>
      </c>
      <c r="J301" s="978">
        <f>R5</f>
        <v>2021</v>
      </c>
      <c r="K301" s="978">
        <f>S5</f>
        <v>2018</v>
      </c>
      <c r="L301" s="979">
        <v>3</v>
      </c>
      <c r="N301" s="980">
        <v>3</v>
      </c>
      <c r="O301" s="981" t="s">
        <v>647</v>
      </c>
      <c r="P301" s="982"/>
      <c r="Q301" s="982"/>
      <c r="R301" s="982"/>
      <c r="S301" s="982"/>
      <c r="T301" s="982"/>
      <c r="U301" s="982"/>
      <c r="V301" s="982"/>
      <c r="W301" s="982"/>
      <c r="X301" s="982"/>
      <c r="Y301" s="983"/>
    </row>
    <row r="302" spans="1:25" x14ac:dyDescent="0.2">
      <c r="A302" s="975" t="s">
        <v>616</v>
      </c>
      <c r="B302" s="976"/>
      <c r="C302" s="976"/>
      <c r="D302" s="977"/>
      <c r="E302" s="977"/>
      <c r="F302" s="977"/>
      <c r="G302" s="977"/>
      <c r="H302" s="977"/>
      <c r="I302" s="978">
        <f>C36</f>
        <v>2021</v>
      </c>
      <c r="J302" s="978">
        <f>D36</f>
        <v>2019</v>
      </c>
      <c r="K302" s="978" t="str">
        <f>E36</f>
        <v>-</v>
      </c>
      <c r="L302" s="979">
        <v>4</v>
      </c>
      <c r="N302" s="980">
        <v>4</v>
      </c>
      <c r="O302" s="981" t="s">
        <v>647</v>
      </c>
      <c r="P302" s="982"/>
      <c r="Q302" s="982"/>
      <c r="R302" s="982"/>
      <c r="S302" s="982"/>
      <c r="T302" s="982"/>
      <c r="U302" s="982"/>
      <c r="V302" s="982"/>
      <c r="W302" s="982"/>
      <c r="X302" s="982"/>
      <c r="Y302" s="983"/>
    </row>
    <row r="303" spans="1:25" x14ac:dyDescent="0.2">
      <c r="A303" s="975" t="s">
        <v>617</v>
      </c>
      <c r="B303" s="976"/>
      <c r="C303" s="976"/>
      <c r="D303" s="977"/>
      <c r="E303" s="977"/>
      <c r="F303" s="977"/>
      <c r="G303" s="977"/>
      <c r="H303" s="977"/>
      <c r="I303" s="978">
        <f>J36</f>
        <v>2021</v>
      </c>
      <c r="J303" s="978">
        <f>K36</f>
        <v>2019</v>
      </c>
      <c r="K303" s="978" t="str">
        <f>L36</f>
        <v>-</v>
      </c>
      <c r="L303" s="979">
        <v>5</v>
      </c>
      <c r="N303" s="980">
        <v>5</v>
      </c>
      <c r="O303" s="981" t="s">
        <v>647</v>
      </c>
      <c r="P303" s="982"/>
      <c r="Q303" s="982"/>
      <c r="R303" s="982"/>
      <c r="S303" s="982"/>
      <c r="T303" s="982"/>
      <c r="U303" s="982"/>
      <c r="V303" s="982"/>
      <c r="W303" s="982"/>
      <c r="X303" s="982"/>
      <c r="Y303" s="983"/>
    </row>
    <row r="304" spans="1:25" x14ac:dyDescent="0.2">
      <c r="A304" s="975" t="s">
        <v>199</v>
      </c>
      <c r="B304" s="976"/>
      <c r="C304" s="976"/>
      <c r="D304" s="977"/>
      <c r="E304" s="977"/>
      <c r="F304" s="977"/>
      <c r="G304" s="977"/>
      <c r="H304" s="977"/>
      <c r="I304" s="978">
        <f>Q36</f>
        <v>2019</v>
      </c>
      <c r="J304" s="978">
        <f>R36</f>
        <v>2018</v>
      </c>
      <c r="K304" s="978" t="str">
        <f>S36</f>
        <v>-</v>
      </c>
      <c r="L304" s="979">
        <v>6</v>
      </c>
      <c r="N304" s="980">
        <v>6</v>
      </c>
      <c r="O304" s="981" t="s">
        <v>647</v>
      </c>
      <c r="P304" s="982"/>
      <c r="Q304" s="982"/>
      <c r="R304" s="982"/>
      <c r="S304" s="982"/>
      <c r="T304" s="982"/>
      <c r="U304" s="982"/>
      <c r="V304" s="982"/>
      <c r="W304" s="982"/>
      <c r="X304" s="982"/>
      <c r="Y304" s="983"/>
    </row>
    <row r="305" spans="1:25" x14ac:dyDescent="0.2">
      <c r="A305" s="975" t="s">
        <v>200</v>
      </c>
      <c r="B305" s="976"/>
      <c r="C305" s="976"/>
      <c r="D305" s="977"/>
      <c r="E305" s="977"/>
      <c r="F305" s="977"/>
      <c r="G305" s="977"/>
      <c r="H305" s="977"/>
      <c r="I305" s="978">
        <f>C67</f>
        <v>2020</v>
      </c>
      <c r="J305" s="978">
        <f>D67</f>
        <v>2018</v>
      </c>
      <c r="K305" s="978" t="str">
        <f>E67</f>
        <v>-</v>
      </c>
      <c r="L305" s="979">
        <v>7</v>
      </c>
      <c r="N305" s="980">
        <v>7</v>
      </c>
      <c r="O305" s="981" t="s">
        <v>647</v>
      </c>
      <c r="P305" s="982"/>
      <c r="Q305" s="982"/>
      <c r="R305" s="982"/>
      <c r="S305" s="982"/>
      <c r="T305" s="982"/>
      <c r="U305" s="982"/>
      <c r="V305" s="982"/>
      <c r="W305" s="982"/>
      <c r="X305" s="982"/>
      <c r="Y305" s="983"/>
    </row>
    <row r="306" spans="1:25" x14ac:dyDescent="0.2">
      <c r="A306" s="975" t="s">
        <v>202</v>
      </c>
      <c r="B306" s="976"/>
      <c r="C306" s="976"/>
      <c r="D306" s="977"/>
      <c r="E306" s="977"/>
      <c r="F306" s="977"/>
      <c r="G306" s="977"/>
      <c r="H306" s="977"/>
      <c r="I306" s="978">
        <f>J67</f>
        <v>2022</v>
      </c>
      <c r="J306" s="978">
        <f>K67</f>
        <v>2020</v>
      </c>
      <c r="K306" s="978" t="str">
        <f>L67</f>
        <v>-</v>
      </c>
      <c r="L306" s="979">
        <v>8</v>
      </c>
      <c r="N306" s="980">
        <v>8</v>
      </c>
      <c r="O306" s="981" t="s">
        <v>647</v>
      </c>
      <c r="P306" s="982"/>
      <c r="Q306" s="982"/>
      <c r="R306" s="982"/>
      <c r="S306" s="982"/>
      <c r="T306" s="982"/>
      <c r="U306" s="982"/>
      <c r="V306" s="982"/>
      <c r="W306" s="982"/>
      <c r="X306" s="982"/>
      <c r="Y306" s="983"/>
    </row>
    <row r="307" spans="1:25" x14ac:dyDescent="0.2">
      <c r="A307" s="975" t="s">
        <v>201</v>
      </c>
      <c r="B307" s="976"/>
      <c r="C307" s="976"/>
      <c r="D307" s="977"/>
      <c r="E307" s="977"/>
      <c r="F307" s="977"/>
      <c r="G307" s="977"/>
      <c r="H307" s="977"/>
      <c r="I307" s="978">
        <f>Q67</f>
        <v>2020</v>
      </c>
      <c r="J307" s="978" t="str">
        <f>R67</f>
        <v>-</v>
      </c>
      <c r="K307" s="978" t="str">
        <f>S67</f>
        <v>-</v>
      </c>
      <c r="L307" s="979">
        <v>9</v>
      </c>
      <c r="N307" s="980">
        <v>9</v>
      </c>
      <c r="O307" s="981" t="s">
        <v>647</v>
      </c>
      <c r="P307" s="982"/>
      <c r="Q307" s="982"/>
      <c r="R307" s="982"/>
      <c r="S307" s="982"/>
      <c r="T307" s="982"/>
      <c r="U307" s="982"/>
      <c r="V307" s="982"/>
      <c r="W307" s="982"/>
      <c r="X307" s="982"/>
      <c r="Y307" s="983"/>
    </row>
    <row r="308" spans="1:25" x14ac:dyDescent="0.2">
      <c r="A308" s="975" t="s">
        <v>648</v>
      </c>
      <c r="B308" s="984"/>
      <c r="C308" s="984"/>
      <c r="D308" s="985"/>
      <c r="E308" s="985"/>
      <c r="F308" s="985"/>
      <c r="G308" s="985"/>
      <c r="H308" s="985"/>
      <c r="I308" s="978">
        <f>C98</f>
        <v>2021</v>
      </c>
      <c r="J308" s="978" t="str">
        <f>D98</f>
        <v>-</v>
      </c>
      <c r="K308" s="978" t="str">
        <f>E98</f>
        <v>-</v>
      </c>
      <c r="L308" s="979">
        <v>10</v>
      </c>
      <c r="N308" s="980">
        <v>10</v>
      </c>
      <c r="O308" s="981" t="s">
        <v>647</v>
      </c>
      <c r="Y308" s="885"/>
    </row>
    <row r="309" spans="1:25" x14ac:dyDescent="0.2">
      <c r="A309" s="975" t="s">
        <v>649</v>
      </c>
      <c r="B309" s="984"/>
      <c r="C309" s="984"/>
      <c r="D309" s="985"/>
      <c r="E309" s="985"/>
      <c r="F309" s="985"/>
      <c r="G309" s="985"/>
      <c r="H309" s="985"/>
      <c r="I309" s="978" t="str">
        <f>J98</f>
        <v>-</v>
      </c>
      <c r="J309" s="978" t="str">
        <f>K98</f>
        <v>-</v>
      </c>
      <c r="K309" s="978" t="str">
        <f>L98</f>
        <v>-</v>
      </c>
      <c r="L309" s="979">
        <v>11</v>
      </c>
      <c r="N309" s="980">
        <v>11</v>
      </c>
      <c r="O309" s="981" t="s">
        <v>647</v>
      </c>
      <c r="Y309" s="885"/>
    </row>
    <row r="310" spans="1:25" x14ac:dyDescent="0.2">
      <c r="A310" s="975" t="s">
        <v>650</v>
      </c>
      <c r="B310" s="984"/>
      <c r="C310" s="984"/>
      <c r="D310" s="985"/>
      <c r="E310" s="985"/>
      <c r="F310" s="985"/>
      <c r="G310" s="985"/>
      <c r="H310" s="985"/>
      <c r="I310" s="978" t="str">
        <f>Q98</f>
        <v>-</v>
      </c>
      <c r="J310" s="978" t="str">
        <f>R98</f>
        <v>-</v>
      </c>
      <c r="K310" s="978" t="str">
        <f>S98</f>
        <v>-</v>
      </c>
      <c r="L310" s="979">
        <v>12</v>
      </c>
      <c r="N310" s="980">
        <v>12</v>
      </c>
      <c r="O310" s="981" t="s">
        <v>647</v>
      </c>
      <c r="Y310" s="885"/>
    </row>
    <row r="311" spans="1:25" ht="15.75" thickBot="1" x14ac:dyDescent="0.25">
      <c r="A311" s="986">
        <f>VLOOKUP(A298,A299:L310,12,(FALSE))</f>
        <v>1</v>
      </c>
      <c r="B311" s="987"/>
      <c r="C311" s="987"/>
      <c r="D311" s="987"/>
      <c r="E311" s="987"/>
      <c r="F311" s="987"/>
      <c r="G311" s="987"/>
      <c r="H311" s="987"/>
      <c r="I311" s="987"/>
      <c r="J311" s="987"/>
      <c r="K311" s="987"/>
      <c r="L311" s="987"/>
      <c r="N311" s="988" t="str">
        <f>VLOOKUP(N298,N299:Y310,2,FALSE)</f>
        <v>Hasil pengukuran keselamatan listrik tertelusur ke Satuan Internasional ( SI ) melalui PT. Kaliman (LK-032-IDN)</v>
      </c>
      <c r="O311" s="989"/>
      <c r="P311" s="989"/>
      <c r="Q311" s="990"/>
      <c r="R311" s="990"/>
      <c r="S311" s="990"/>
      <c r="T311" s="990"/>
      <c r="U311" s="990"/>
      <c r="V311" s="990"/>
      <c r="W311" s="990"/>
      <c r="X311" s="990"/>
      <c r="Y311" s="991"/>
    </row>
  </sheetData>
  <mergeCells count="240">
    <mergeCell ref="A311:L311"/>
    <mergeCell ref="H285:K285"/>
    <mergeCell ref="A289:D289"/>
    <mergeCell ref="H289:K289"/>
    <mergeCell ref="H293:K293"/>
    <mergeCell ref="A298:L298"/>
    <mergeCell ref="N298:Y298"/>
    <mergeCell ref="H271:J271"/>
    <mergeCell ref="H274:J274"/>
    <mergeCell ref="A275:D275"/>
    <mergeCell ref="H277:K277"/>
    <mergeCell ref="H281:K281"/>
    <mergeCell ref="A283:D283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P105:S105"/>
    <mergeCell ref="T105:T106"/>
    <mergeCell ref="U105:U106"/>
    <mergeCell ref="B113:E113"/>
    <mergeCell ref="F113:F114"/>
    <mergeCell ref="G113:G114"/>
    <mergeCell ref="I113:L113"/>
    <mergeCell ref="M113:M114"/>
    <mergeCell ref="N113:N114"/>
    <mergeCell ref="P113:S113"/>
    <mergeCell ref="B105:E105"/>
    <mergeCell ref="F105:F106"/>
    <mergeCell ref="G105:G106"/>
    <mergeCell ref="I105:L105"/>
    <mergeCell ref="M105:M106"/>
    <mergeCell ref="N105:N106"/>
    <mergeCell ref="P96:U96"/>
    <mergeCell ref="B97:E97"/>
    <mergeCell ref="F97:F98"/>
    <mergeCell ref="G97:G98"/>
    <mergeCell ref="I97:L97"/>
    <mergeCell ref="M97:M98"/>
    <mergeCell ref="N97:N98"/>
    <mergeCell ref="P97:S97"/>
    <mergeCell ref="T97:T98"/>
    <mergeCell ref="U97:U98"/>
    <mergeCell ref="T88:T89"/>
    <mergeCell ref="U88:U89"/>
    <mergeCell ref="A95:A124"/>
    <mergeCell ref="B95:G95"/>
    <mergeCell ref="H95:H124"/>
    <mergeCell ref="I95:N95"/>
    <mergeCell ref="O95:O124"/>
    <mergeCell ref="P95:U95"/>
    <mergeCell ref="B96:G96"/>
    <mergeCell ref="I96:N96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A33:A62"/>
    <mergeCell ref="B33:G33"/>
    <mergeCell ref="H33:H62"/>
    <mergeCell ref="I33:N33"/>
    <mergeCell ref="O33:O62"/>
    <mergeCell ref="P33:U33"/>
    <mergeCell ref="B34:G34"/>
    <mergeCell ref="I34:N34"/>
    <mergeCell ref="P34:U34"/>
    <mergeCell ref="B35:E35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1:AE79"/>
  <sheetViews>
    <sheetView topLeftCell="A43" workbookViewId="0">
      <selection activeCell="F58" sqref="F58"/>
    </sheetView>
  </sheetViews>
  <sheetFormatPr defaultRowHeight="12.75" x14ac:dyDescent="0.2"/>
  <cols>
    <col min="2" max="2" width="7.42578125" customWidth="1"/>
    <col min="3" max="3" width="6.140625" customWidth="1"/>
    <col min="4" max="4" width="6.5703125" customWidth="1"/>
    <col min="5" max="5" width="5.85546875" customWidth="1"/>
    <col min="6" max="6" width="6.42578125" customWidth="1"/>
    <col min="7" max="7" width="6.85546875" customWidth="1"/>
    <col min="8" max="8" width="3.5703125" customWidth="1"/>
    <col min="9" max="10" width="7.5703125" customWidth="1"/>
    <col min="11" max="11" width="9" customWidth="1"/>
    <col min="12" max="12" width="5.85546875" customWidth="1"/>
    <col min="14" max="14" width="7.42578125" customWidth="1"/>
    <col min="15" max="15" width="6.42578125" customWidth="1"/>
    <col min="18" max="18" width="6.140625" customWidth="1"/>
    <col min="19" max="19" width="6.42578125" customWidth="1"/>
    <col min="20" max="20" width="5.42578125" customWidth="1"/>
    <col min="21" max="21" width="5.85546875" customWidth="1"/>
  </cols>
  <sheetData>
    <row r="11" spans="2:21" ht="32.1" customHeight="1" x14ac:dyDescent="0.2">
      <c r="B11" s="696" t="s">
        <v>141</v>
      </c>
      <c r="C11" s="696"/>
      <c r="D11" s="696"/>
      <c r="E11" s="696"/>
      <c r="F11" s="696"/>
      <c r="G11" s="696"/>
      <c r="I11" s="596" t="s">
        <v>146</v>
      </c>
      <c r="J11" s="596"/>
      <c r="K11" s="596"/>
      <c r="L11" s="596"/>
      <c r="M11" s="596"/>
      <c r="N11" s="596"/>
      <c r="P11" s="687" t="s">
        <v>147</v>
      </c>
      <c r="Q11" s="687"/>
      <c r="R11" s="687"/>
      <c r="S11" s="687"/>
      <c r="T11" s="687"/>
      <c r="U11" s="687"/>
    </row>
    <row r="12" spans="2:21" x14ac:dyDescent="0.2">
      <c r="B12" s="688" t="s">
        <v>155</v>
      </c>
      <c r="C12" s="689" t="s">
        <v>156</v>
      </c>
      <c r="D12" s="690"/>
      <c r="E12" s="691"/>
      <c r="F12" s="618" t="s">
        <v>157</v>
      </c>
      <c r="G12" s="472" t="s">
        <v>158</v>
      </c>
      <c r="I12" s="693" t="s">
        <v>155</v>
      </c>
      <c r="J12" s="695" t="s">
        <v>156</v>
      </c>
      <c r="K12" s="695"/>
      <c r="L12" s="695"/>
      <c r="M12" s="617" t="s">
        <v>157</v>
      </c>
      <c r="N12" s="617" t="s">
        <v>158</v>
      </c>
      <c r="P12" s="693" t="s">
        <v>155</v>
      </c>
      <c r="Q12" s="695" t="s">
        <v>156</v>
      </c>
      <c r="R12" s="695"/>
      <c r="S12" s="695"/>
      <c r="T12" s="617" t="s">
        <v>157</v>
      </c>
      <c r="U12" s="617" t="s">
        <v>158</v>
      </c>
    </row>
    <row r="13" spans="2:21" x14ac:dyDescent="0.2">
      <c r="B13" s="618"/>
      <c r="C13" s="468">
        <v>2022</v>
      </c>
      <c r="D13" s="474" t="s">
        <v>81</v>
      </c>
      <c r="E13" s="474" t="s">
        <v>81</v>
      </c>
      <c r="F13" s="677"/>
      <c r="G13" s="467"/>
      <c r="I13" s="694"/>
      <c r="J13" s="468">
        <v>2022</v>
      </c>
      <c r="K13" s="475" t="s">
        <v>81</v>
      </c>
      <c r="L13" s="475" t="s">
        <v>81</v>
      </c>
      <c r="M13" s="618"/>
      <c r="N13" s="618"/>
      <c r="P13" s="694"/>
      <c r="Q13" s="468">
        <v>2022</v>
      </c>
      <c r="R13" s="475" t="s">
        <v>81</v>
      </c>
      <c r="S13" s="475" t="s">
        <v>81</v>
      </c>
      <c r="T13" s="618"/>
      <c r="U13" s="618"/>
    </row>
    <row r="14" spans="2:21" x14ac:dyDescent="0.2">
      <c r="B14" s="476">
        <v>1.0000000000000001E-5</v>
      </c>
      <c r="C14" s="476">
        <v>1.0000000000000001E-5</v>
      </c>
      <c r="D14" s="474" t="s">
        <v>81</v>
      </c>
      <c r="E14" s="474" t="s">
        <v>81</v>
      </c>
      <c r="F14" s="476">
        <v>1.0000000000000001E-5</v>
      </c>
      <c r="G14" s="476">
        <v>1.0000000000000001E-5</v>
      </c>
      <c r="I14" s="476">
        <v>1.0000000000000001E-5</v>
      </c>
      <c r="J14" s="476">
        <v>1.0000000000000001E-5</v>
      </c>
      <c r="K14" s="475" t="s">
        <v>81</v>
      </c>
      <c r="L14" s="475" t="s">
        <v>81</v>
      </c>
      <c r="M14" s="476">
        <v>1.0000000000000001E-5</v>
      </c>
      <c r="N14" s="476">
        <v>1.0000000000000001E-5</v>
      </c>
      <c r="P14" s="476">
        <v>1.0000000000000001E-5</v>
      </c>
      <c r="Q14" s="476">
        <v>1.0000000000000001E-5</v>
      </c>
      <c r="R14" s="475" t="s">
        <v>81</v>
      </c>
      <c r="S14" s="475" t="s">
        <v>81</v>
      </c>
      <c r="T14" s="476">
        <v>1.0000000000000001E-5</v>
      </c>
      <c r="U14" s="476">
        <v>1.0000000000000001E-5</v>
      </c>
    </row>
    <row r="15" spans="2:21" x14ac:dyDescent="0.2">
      <c r="B15" s="271">
        <v>100</v>
      </c>
      <c r="C15" s="271">
        <v>37</v>
      </c>
      <c r="D15" s="474" t="s">
        <v>81</v>
      </c>
      <c r="E15" s="474" t="s">
        <v>81</v>
      </c>
      <c r="F15" s="473">
        <f>0.5*(MAX(C15:E15)-MIN(C15:E15))</f>
        <v>0</v>
      </c>
      <c r="G15" s="470">
        <v>0.02</v>
      </c>
      <c r="I15" s="271">
        <v>100</v>
      </c>
      <c r="J15" s="271">
        <v>29.2</v>
      </c>
      <c r="K15" s="475" t="s">
        <v>81</v>
      </c>
      <c r="L15" s="475" t="s">
        <v>81</v>
      </c>
      <c r="M15" s="476">
        <v>1.0000000000000001E-5</v>
      </c>
      <c r="N15" s="470">
        <v>0.02</v>
      </c>
      <c r="P15" s="271">
        <v>100</v>
      </c>
      <c r="Q15" s="476">
        <v>1.0000000000000001E-5</v>
      </c>
      <c r="R15" s="475" t="s">
        <v>81</v>
      </c>
      <c r="S15" s="475" t="s">
        <v>81</v>
      </c>
      <c r="T15" s="468">
        <f>0.5*(MAX(Q15:S15)-MIN(Q15:S15))</f>
        <v>0</v>
      </c>
      <c r="U15" s="477">
        <f>(AVERAGE(ID!E31:I31))*1%</f>
        <v>1.3080000000000001</v>
      </c>
    </row>
    <row r="16" spans="2:21" x14ac:dyDescent="0.2">
      <c r="B16" s="271">
        <v>500</v>
      </c>
      <c r="C16" s="271">
        <v>171</v>
      </c>
      <c r="D16" s="474" t="s">
        <v>81</v>
      </c>
      <c r="E16" s="474" t="s">
        <v>81</v>
      </c>
      <c r="F16" s="473">
        <f t="shared" ref="F16:F18" si="0">0.5*(MAX(C16:E16)-MIN(C16:E16))</f>
        <v>0</v>
      </c>
      <c r="G16" s="470">
        <v>0.02</v>
      </c>
      <c r="I16" s="271">
        <v>500</v>
      </c>
      <c r="J16" s="271">
        <v>139.1</v>
      </c>
      <c r="K16" s="475" t="s">
        <v>81</v>
      </c>
      <c r="L16" s="475" t="s">
        <v>81</v>
      </c>
      <c r="M16" s="476">
        <v>1.0000000000000001E-5</v>
      </c>
      <c r="N16" s="470">
        <v>0.02</v>
      </c>
      <c r="P16" s="271">
        <v>500</v>
      </c>
      <c r="Q16" s="476">
        <v>1.0000000000000001E-5</v>
      </c>
      <c r="R16" s="475" t="s">
        <v>81</v>
      </c>
      <c r="S16" s="475" t="s">
        <v>81</v>
      </c>
      <c r="T16" s="468">
        <f t="shared" ref="T16:T18" si="1">0.5*(MAX(Q16:S16)-MIN(Q16:S16))</f>
        <v>0</v>
      </c>
      <c r="U16" s="477">
        <v>0.02</v>
      </c>
    </row>
    <row r="17" spans="1:21" x14ac:dyDescent="0.2">
      <c r="B17" s="271">
        <v>1000</v>
      </c>
      <c r="C17" s="271">
        <v>332.1</v>
      </c>
      <c r="D17" s="474" t="s">
        <v>81</v>
      </c>
      <c r="E17" s="474" t="s">
        <v>81</v>
      </c>
      <c r="F17" s="473">
        <f t="shared" si="0"/>
        <v>0</v>
      </c>
      <c r="G17" s="470">
        <v>0.02</v>
      </c>
      <c r="I17" s="271">
        <v>1000</v>
      </c>
      <c r="J17" s="271">
        <v>2.66</v>
      </c>
      <c r="K17" s="475" t="s">
        <v>81</v>
      </c>
      <c r="L17" s="475" t="s">
        <v>81</v>
      </c>
      <c r="M17" s="476">
        <v>1.0000000000000001E-5</v>
      </c>
      <c r="N17" s="470">
        <v>0.02</v>
      </c>
      <c r="P17" s="271">
        <v>1000</v>
      </c>
      <c r="Q17" s="476">
        <v>1.0000000000000001E-5</v>
      </c>
      <c r="R17" s="475" t="s">
        <v>81</v>
      </c>
      <c r="S17" s="475" t="s">
        <v>81</v>
      </c>
      <c r="T17" s="468">
        <f t="shared" si="1"/>
        <v>0</v>
      </c>
      <c r="U17" s="477">
        <v>0.02</v>
      </c>
    </row>
    <row r="18" spans="1:21" x14ac:dyDescent="0.2">
      <c r="B18" s="271">
        <v>2000</v>
      </c>
      <c r="C18" s="271">
        <v>625.4</v>
      </c>
      <c r="D18" s="474" t="s">
        <v>81</v>
      </c>
      <c r="E18" s="474" t="s">
        <v>81</v>
      </c>
      <c r="F18" s="473">
        <f t="shared" si="0"/>
        <v>0</v>
      </c>
      <c r="G18" s="470">
        <v>0.02</v>
      </c>
      <c r="I18" s="271">
        <v>2000</v>
      </c>
      <c r="J18" s="271">
        <v>405.4</v>
      </c>
      <c r="K18" s="475" t="s">
        <v>81</v>
      </c>
      <c r="L18" s="475" t="s">
        <v>81</v>
      </c>
      <c r="M18" s="476">
        <v>1.0000000000000001E-5</v>
      </c>
      <c r="N18" s="470">
        <v>0.02</v>
      </c>
      <c r="P18" s="271">
        <v>2000</v>
      </c>
      <c r="Q18" s="476">
        <v>1.0000000000000001E-5</v>
      </c>
      <c r="R18" s="475" t="s">
        <v>81</v>
      </c>
      <c r="S18" s="475" t="s">
        <v>81</v>
      </c>
      <c r="T18" s="468">
        <f t="shared" si="1"/>
        <v>0</v>
      </c>
      <c r="U18" s="477">
        <v>0.02</v>
      </c>
    </row>
    <row r="19" spans="1:21" x14ac:dyDescent="0.2">
      <c r="H19" s="471"/>
      <c r="I19" s="471"/>
      <c r="J19" s="471"/>
    </row>
    <row r="20" spans="1:21" x14ac:dyDescent="0.2">
      <c r="B20" s="469"/>
    </row>
    <row r="21" spans="1:21" ht="45.6" customHeight="1" x14ac:dyDescent="0.2">
      <c r="B21" s="596" t="s">
        <v>151</v>
      </c>
      <c r="C21" s="596"/>
      <c r="D21" s="596"/>
      <c r="E21" s="596"/>
      <c r="F21" s="596"/>
      <c r="G21" s="596"/>
      <c r="H21" s="469"/>
      <c r="I21" s="596" t="s">
        <v>133</v>
      </c>
      <c r="J21" s="596"/>
      <c r="K21" s="596"/>
      <c r="L21" s="596"/>
      <c r="M21" s="596"/>
      <c r="N21" s="596"/>
      <c r="P21" s="596" t="s">
        <v>152</v>
      </c>
      <c r="Q21" s="596"/>
      <c r="R21" s="596"/>
      <c r="S21" s="596"/>
      <c r="T21" s="596"/>
      <c r="U21" s="596"/>
    </row>
    <row r="22" spans="1:21" x14ac:dyDescent="0.2">
      <c r="B22" s="688" t="s">
        <v>155</v>
      </c>
      <c r="C22" s="689" t="s">
        <v>156</v>
      </c>
      <c r="D22" s="690"/>
      <c r="E22" s="691"/>
      <c r="F22" s="618" t="s">
        <v>157</v>
      </c>
      <c r="G22" s="617" t="s">
        <v>158</v>
      </c>
      <c r="H22" s="469"/>
      <c r="I22" s="688" t="s">
        <v>155</v>
      </c>
      <c r="J22" s="689" t="s">
        <v>156</v>
      </c>
      <c r="K22" s="690"/>
      <c r="L22" s="691"/>
      <c r="M22" s="618" t="s">
        <v>157</v>
      </c>
      <c r="N22" s="688" t="s">
        <v>158</v>
      </c>
      <c r="P22" s="688" t="s">
        <v>155</v>
      </c>
      <c r="Q22" s="689" t="s">
        <v>156</v>
      </c>
      <c r="R22" s="690"/>
      <c r="S22" s="691"/>
      <c r="T22" s="618" t="s">
        <v>157</v>
      </c>
      <c r="U22" s="688" t="s">
        <v>158</v>
      </c>
    </row>
    <row r="23" spans="1:21" x14ac:dyDescent="0.2">
      <c r="B23" s="618"/>
      <c r="C23" s="468">
        <v>2022</v>
      </c>
      <c r="D23" s="474" t="s">
        <v>81</v>
      </c>
      <c r="E23" s="474" t="s">
        <v>81</v>
      </c>
      <c r="F23" s="677"/>
      <c r="G23" s="618"/>
      <c r="H23" s="469"/>
      <c r="I23" s="618"/>
      <c r="J23" s="468">
        <v>2021</v>
      </c>
      <c r="K23" s="474" t="s">
        <v>81</v>
      </c>
      <c r="L23" s="474" t="s">
        <v>81</v>
      </c>
      <c r="M23" s="677"/>
      <c r="N23" s="618"/>
      <c r="P23" s="618"/>
      <c r="Q23" s="468">
        <v>2021</v>
      </c>
      <c r="R23" s="474" t="s">
        <v>81</v>
      </c>
      <c r="S23" s="474" t="s">
        <v>81</v>
      </c>
      <c r="T23" s="677"/>
      <c r="U23" s="618"/>
    </row>
    <row r="24" spans="1:21" x14ac:dyDescent="0.2">
      <c r="B24" s="476">
        <v>1.0000000000000001E-5</v>
      </c>
      <c r="C24" s="476">
        <v>1.0000000000000001E-5</v>
      </c>
      <c r="D24" s="474" t="s">
        <v>81</v>
      </c>
      <c r="E24" s="474" t="s">
        <v>81</v>
      </c>
      <c r="F24" s="476">
        <v>1.0000000000000001E-5</v>
      </c>
      <c r="G24" s="476">
        <v>1.0000000000000001E-5</v>
      </c>
      <c r="H24" s="469"/>
      <c r="I24" s="476">
        <v>1.0000000000000001E-5</v>
      </c>
      <c r="J24" s="476">
        <v>1.0000000000000001E-5</v>
      </c>
      <c r="K24" s="474" t="s">
        <v>81</v>
      </c>
      <c r="L24" s="474" t="s">
        <v>81</v>
      </c>
      <c r="M24" s="476">
        <v>1.0000000000000001E-5</v>
      </c>
      <c r="N24" s="476">
        <v>1.0000000000000001E-5</v>
      </c>
      <c r="P24" s="476">
        <v>1.0000000000000001E-5</v>
      </c>
      <c r="Q24" s="476">
        <v>1.0000000000000001E-5</v>
      </c>
      <c r="R24" s="474" t="s">
        <v>81</v>
      </c>
      <c r="S24" s="474" t="s">
        <v>81</v>
      </c>
      <c r="T24" s="476">
        <v>1.0000000000000001E-5</v>
      </c>
      <c r="U24" s="476">
        <v>1.0000000000000001E-5</v>
      </c>
    </row>
    <row r="25" spans="1:21" x14ac:dyDescent="0.2">
      <c r="B25" s="271">
        <v>100</v>
      </c>
      <c r="C25" s="476">
        <v>1.0000000000000001E-5</v>
      </c>
      <c r="D25" s="474" t="s">
        <v>81</v>
      </c>
      <c r="E25" s="474" t="s">
        <v>81</v>
      </c>
      <c r="F25" s="473">
        <f>0.5*(MAX(C25:E25)-MIN(C25:E25))</f>
        <v>0</v>
      </c>
      <c r="G25" s="271">
        <f>((AVERAGE(ID!$E$31:$I$31))*5%)</f>
        <v>6.5400000000000009</v>
      </c>
      <c r="H25" s="469"/>
      <c r="I25" s="271">
        <v>100</v>
      </c>
      <c r="J25" s="271">
        <v>44</v>
      </c>
      <c r="K25" s="474" t="s">
        <v>81</v>
      </c>
      <c r="L25" s="474" t="s">
        <v>81</v>
      </c>
      <c r="M25" s="473">
        <f>0.5*(MAX(J25:L25)-MIN(J25:L25))</f>
        <v>0</v>
      </c>
      <c r="N25" s="470">
        <v>0.02</v>
      </c>
      <c r="P25" s="271">
        <v>100</v>
      </c>
      <c r="Q25" s="271">
        <v>44</v>
      </c>
      <c r="R25" s="474" t="s">
        <v>81</v>
      </c>
      <c r="S25" s="474" t="s">
        <v>81</v>
      </c>
      <c r="T25" s="473">
        <f>0.5*(MAX(Q25:S25)-MIN(Q25:S25))</f>
        <v>0</v>
      </c>
      <c r="U25" s="470">
        <v>0.02</v>
      </c>
    </row>
    <row r="26" spans="1:21" x14ac:dyDescent="0.2">
      <c r="B26" s="271">
        <v>500</v>
      </c>
      <c r="C26" s="476">
        <v>1.0000000000000001E-5</v>
      </c>
      <c r="D26" s="474" t="s">
        <v>81</v>
      </c>
      <c r="E26" s="474" t="s">
        <v>81</v>
      </c>
      <c r="F26" s="473">
        <f t="shared" ref="F26:F28" si="2">0.5*(MAX(C26:E26)-MIN(C26:E26))</f>
        <v>0</v>
      </c>
      <c r="G26" s="271">
        <f>((AVERAGE(ID!$E$31:$I$31))*5%)</f>
        <v>6.5400000000000009</v>
      </c>
      <c r="I26" s="271">
        <v>500</v>
      </c>
      <c r="J26" s="271">
        <v>193</v>
      </c>
      <c r="K26" s="474" t="s">
        <v>81</v>
      </c>
      <c r="L26" s="474" t="s">
        <v>81</v>
      </c>
      <c r="M26" s="473">
        <f t="shared" ref="M26:M28" si="3">0.5*(MAX(J26:L26)-MIN(J26:L26))</f>
        <v>0</v>
      </c>
      <c r="N26" s="470">
        <v>0.02</v>
      </c>
      <c r="P26" s="271">
        <v>500</v>
      </c>
      <c r="Q26" s="271">
        <v>197</v>
      </c>
      <c r="R26" s="474" t="s">
        <v>81</v>
      </c>
      <c r="S26" s="474" t="s">
        <v>81</v>
      </c>
      <c r="T26" s="473">
        <f t="shared" ref="T26:T28" si="4">0.5*(MAX(Q26:S26)-MIN(Q26:S26))</f>
        <v>0</v>
      </c>
      <c r="U26" s="470">
        <v>0.02</v>
      </c>
    </row>
    <row r="27" spans="1:21" x14ac:dyDescent="0.2">
      <c r="B27" s="271">
        <v>1000</v>
      </c>
      <c r="C27" s="476">
        <v>1.0000000000000001E-5</v>
      </c>
      <c r="D27" s="474" t="s">
        <v>81</v>
      </c>
      <c r="E27" s="474" t="s">
        <v>81</v>
      </c>
      <c r="F27" s="473">
        <f t="shared" si="2"/>
        <v>0</v>
      </c>
      <c r="G27" s="271">
        <f>((AVERAGE(ID!$E$31:$I$31))*5%)</f>
        <v>6.5400000000000009</v>
      </c>
      <c r="I27" s="271">
        <v>1000</v>
      </c>
      <c r="J27" s="271">
        <v>353</v>
      </c>
      <c r="K27" s="474" t="s">
        <v>81</v>
      </c>
      <c r="L27" s="474" t="s">
        <v>81</v>
      </c>
      <c r="M27" s="473">
        <f t="shared" si="3"/>
        <v>0</v>
      </c>
      <c r="N27" s="470">
        <v>0.02</v>
      </c>
      <c r="P27" s="271">
        <v>1000</v>
      </c>
      <c r="Q27" s="271">
        <v>363</v>
      </c>
      <c r="R27" s="474" t="s">
        <v>81</v>
      </c>
      <c r="S27" s="474" t="s">
        <v>81</v>
      </c>
      <c r="T27" s="473">
        <f t="shared" si="4"/>
        <v>0</v>
      </c>
      <c r="U27" s="470">
        <v>0.02</v>
      </c>
    </row>
    <row r="28" spans="1:21" x14ac:dyDescent="0.2">
      <c r="B28" s="271">
        <v>2000</v>
      </c>
      <c r="C28" s="476">
        <v>1.0000000000000001E-5</v>
      </c>
      <c r="D28" s="474" t="s">
        <v>81</v>
      </c>
      <c r="E28" s="474" t="s">
        <v>81</v>
      </c>
      <c r="F28" s="473">
        <f t="shared" si="2"/>
        <v>0</v>
      </c>
      <c r="G28" s="271">
        <f>((AVERAGE(ID!$E$31:$I$31))*5%)</f>
        <v>6.5400000000000009</v>
      </c>
      <c r="I28" s="271">
        <v>2000</v>
      </c>
      <c r="J28" s="271">
        <v>499</v>
      </c>
      <c r="K28" s="474" t="s">
        <v>81</v>
      </c>
      <c r="L28" s="474" t="s">
        <v>81</v>
      </c>
      <c r="M28" s="473">
        <f t="shared" si="3"/>
        <v>0</v>
      </c>
      <c r="N28" s="470">
        <v>0.02</v>
      </c>
      <c r="P28" s="271">
        <v>2000</v>
      </c>
      <c r="Q28" s="271">
        <v>511</v>
      </c>
      <c r="R28" s="474" t="s">
        <v>81</v>
      </c>
      <c r="S28" s="474" t="s">
        <v>81</v>
      </c>
      <c r="T28" s="473">
        <f t="shared" si="4"/>
        <v>0</v>
      </c>
      <c r="U28" s="470">
        <v>0.02</v>
      </c>
    </row>
    <row r="30" spans="1:21" ht="12.95" customHeight="1" x14ac:dyDescent="0.2">
      <c r="B30" s="682" t="s">
        <v>159</v>
      </c>
      <c r="C30" s="683" t="s">
        <v>156</v>
      </c>
      <c r="D30" s="684"/>
      <c r="E30" s="685"/>
      <c r="F30" s="677" t="s">
        <v>157</v>
      </c>
      <c r="G30" s="677" t="s">
        <v>158</v>
      </c>
      <c r="J30" s="682" t="s">
        <v>159</v>
      </c>
      <c r="K30" s="683" t="s">
        <v>156</v>
      </c>
      <c r="L30" s="684"/>
      <c r="M30" s="685"/>
      <c r="N30" s="677" t="s">
        <v>157</v>
      </c>
      <c r="O30" s="677" t="s">
        <v>158</v>
      </c>
    </row>
    <row r="31" spans="1:21" x14ac:dyDescent="0.2">
      <c r="B31" s="682"/>
      <c r="C31" s="271">
        <v>2022</v>
      </c>
      <c r="D31" s="479" t="s">
        <v>81</v>
      </c>
      <c r="E31" s="479" t="s">
        <v>81</v>
      </c>
      <c r="F31" s="677"/>
      <c r="G31" s="677"/>
      <c r="J31" s="682"/>
      <c r="K31" s="271">
        <v>2022</v>
      </c>
      <c r="L31" s="479" t="s">
        <v>81</v>
      </c>
      <c r="M31" s="479" t="s">
        <v>81</v>
      </c>
      <c r="N31" s="677"/>
      <c r="O31" s="677"/>
    </row>
    <row r="32" spans="1:21" x14ac:dyDescent="0.2">
      <c r="A32" s="678">
        <v>100</v>
      </c>
      <c r="B32" s="271">
        <v>1</v>
      </c>
      <c r="C32" s="468">
        <f>C15</f>
        <v>37</v>
      </c>
      <c r="D32" s="271" t="str">
        <f>D15</f>
        <v>-</v>
      </c>
      <c r="E32" s="271" t="str">
        <f t="shared" ref="E32:G32" si="5">E15</f>
        <v>-</v>
      </c>
      <c r="F32" s="271">
        <f t="shared" si="5"/>
        <v>0</v>
      </c>
      <c r="G32" s="271">
        <f t="shared" si="5"/>
        <v>0.02</v>
      </c>
      <c r="I32" s="678">
        <v>1000</v>
      </c>
      <c r="J32" s="271">
        <v>1</v>
      </c>
      <c r="K32" s="468">
        <f>C17</f>
        <v>332.1</v>
      </c>
      <c r="L32" s="468" t="str">
        <f t="shared" ref="L32:O32" si="6">D17</f>
        <v>-</v>
      </c>
      <c r="M32" s="468" t="str">
        <f t="shared" si="6"/>
        <v>-</v>
      </c>
      <c r="N32" s="468">
        <f t="shared" si="6"/>
        <v>0</v>
      </c>
      <c r="O32" s="468">
        <f t="shared" si="6"/>
        <v>0.02</v>
      </c>
    </row>
    <row r="33" spans="1:15" x14ac:dyDescent="0.2">
      <c r="A33" s="678"/>
      <c r="B33" s="271">
        <v>2</v>
      </c>
      <c r="C33" s="271">
        <f>J15</f>
        <v>29.2</v>
      </c>
      <c r="D33" s="271" t="str">
        <f t="shared" ref="D33:G33" si="7">K15</f>
        <v>-</v>
      </c>
      <c r="E33" s="271" t="str">
        <f t="shared" si="7"/>
        <v>-</v>
      </c>
      <c r="F33" s="579">
        <f t="shared" si="7"/>
        <v>1.0000000000000001E-5</v>
      </c>
      <c r="G33" s="271">
        <f t="shared" si="7"/>
        <v>0.02</v>
      </c>
      <c r="I33" s="678"/>
      <c r="J33" s="271">
        <v>2</v>
      </c>
      <c r="K33" s="271">
        <f>J17</f>
        <v>2.66</v>
      </c>
      <c r="L33" s="271" t="str">
        <f t="shared" ref="L33:O33" si="8">K17</f>
        <v>-</v>
      </c>
      <c r="M33" s="271" t="str">
        <f t="shared" si="8"/>
        <v>-</v>
      </c>
      <c r="N33" s="271">
        <f t="shared" si="8"/>
        <v>1.0000000000000001E-5</v>
      </c>
      <c r="O33" s="271">
        <f t="shared" si="8"/>
        <v>0.02</v>
      </c>
    </row>
    <row r="34" spans="1:15" x14ac:dyDescent="0.2">
      <c r="A34" s="678"/>
      <c r="B34" s="271">
        <v>3</v>
      </c>
      <c r="C34" s="271">
        <f>Q15</f>
        <v>1.0000000000000001E-5</v>
      </c>
      <c r="D34" s="271" t="str">
        <f t="shared" ref="D34:G34" si="9">R15</f>
        <v>-</v>
      </c>
      <c r="E34" s="271" t="str">
        <f t="shared" si="9"/>
        <v>-</v>
      </c>
      <c r="F34" s="271">
        <f t="shared" si="9"/>
        <v>0</v>
      </c>
      <c r="G34" s="271">
        <f t="shared" si="9"/>
        <v>1.3080000000000001</v>
      </c>
      <c r="I34" s="678"/>
      <c r="J34" s="271">
        <v>3</v>
      </c>
      <c r="K34" s="271">
        <f>Q17</f>
        <v>1.0000000000000001E-5</v>
      </c>
      <c r="L34" s="271" t="str">
        <f t="shared" ref="L34:O34" si="10">R17</f>
        <v>-</v>
      </c>
      <c r="M34" s="271" t="str">
        <f t="shared" si="10"/>
        <v>-</v>
      </c>
      <c r="N34" s="271">
        <f t="shared" si="10"/>
        <v>0</v>
      </c>
      <c r="O34" s="271">
        <f t="shared" si="10"/>
        <v>0.02</v>
      </c>
    </row>
    <row r="35" spans="1:15" x14ac:dyDescent="0.2">
      <c r="A35" s="678"/>
      <c r="B35" s="271">
        <v>4</v>
      </c>
      <c r="C35" s="271">
        <f>C25</f>
        <v>1.0000000000000001E-5</v>
      </c>
      <c r="D35" s="271" t="str">
        <f t="shared" ref="D35:G35" si="11">D25</f>
        <v>-</v>
      </c>
      <c r="E35" s="271" t="str">
        <f t="shared" si="11"/>
        <v>-</v>
      </c>
      <c r="F35" s="271">
        <f t="shared" si="11"/>
        <v>0</v>
      </c>
      <c r="G35" s="271">
        <f t="shared" si="11"/>
        <v>6.5400000000000009</v>
      </c>
      <c r="I35" s="678"/>
      <c r="J35" s="271">
        <v>4</v>
      </c>
      <c r="K35" s="271">
        <f>C27</f>
        <v>1.0000000000000001E-5</v>
      </c>
      <c r="L35" s="271" t="str">
        <f t="shared" ref="L35:O35" si="12">D27</f>
        <v>-</v>
      </c>
      <c r="M35" s="271" t="str">
        <f t="shared" si="12"/>
        <v>-</v>
      </c>
      <c r="N35" s="271">
        <f t="shared" si="12"/>
        <v>0</v>
      </c>
      <c r="O35" s="271">
        <f t="shared" si="12"/>
        <v>6.5400000000000009</v>
      </c>
    </row>
    <row r="36" spans="1:15" x14ac:dyDescent="0.2">
      <c r="A36" s="678"/>
      <c r="B36" s="271">
        <v>5</v>
      </c>
      <c r="C36" s="271">
        <f>J25</f>
        <v>44</v>
      </c>
      <c r="D36" s="271" t="str">
        <f t="shared" ref="D36:G36" si="13">K25</f>
        <v>-</v>
      </c>
      <c r="E36" s="271" t="str">
        <f t="shared" si="13"/>
        <v>-</v>
      </c>
      <c r="F36" s="271">
        <f t="shared" si="13"/>
        <v>0</v>
      </c>
      <c r="G36" s="271">
        <f t="shared" si="13"/>
        <v>0.02</v>
      </c>
      <c r="I36" s="678"/>
      <c r="J36" s="271">
        <v>5</v>
      </c>
      <c r="K36" s="271">
        <f>J27</f>
        <v>353</v>
      </c>
      <c r="L36" s="271" t="str">
        <f t="shared" ref="L36:O36" si="14">K27</f>
        <v>-</v>
      </c>
      <c r="M36" s="271" t="str">
        <f t="shared" si="14"/>
        <v>-</v>
      </c>
      <c r="N36" s="271">
        <f t="shared" si="14"/>
        <v>0</v>
      </c>
      <c r="O36" s="271">
        <f t="shared" si="14"/>
        <v>0.02</v>
      </c>
    </row>
    <row r="37" spans="1:15" x14ac:dyDescent="0.2">
      <c r="A37" s="678"/>
      <c r="B37" s="271">
        <v>6</v>
      </c>
      <c r="C37" s="271">
        <f>Q25</f>
        <v>44</v>
      </c>
      <c r="D37" s="271" t="str">
        <f t="shared" ref="D37:G37" si="15">R25</f>
        <v>-</v>
      </c>
      <c r="E37" s="271" t="str">
        <f t="shared" si="15"/>
        <v>-</v>
      </c>
      <c r="F37" s="271">
        <f t="shared" si="15"/>
        <v>0</v>
      </c>
      <c r="G37" s="271">
        <f t="shared" si="15"/>
        <v>0.02</v>
      </c>
      <c r="I37" s="678"/>
      <c r="J37" s="271">
        <v>6</v>
      </c>
      <c r="K37" s="271">
        <f>Q27</f>
        <v>363</v>
      </c>
      <c r="L37" s="271" t="str">
        <f t="shared" ref="L37:O37" si="16">R27</f>
        <v>-</v>
      </c>
      <c r="M37" s="271" t="str">
        <f t="shared" si="16"/>
        <v>-</v>
      </c>
      <c r="N37" s="271">
        <f t="shared" si="16"/>
        <v>0</v>
      </c>
      <c r="O37" s="271">
        <f t="shared" si="16"/>
        <v>0.02</v>
      </c>
    </row>
    <row r="39" spans="1:15" x14ac:dyDescent="0.2">
      <c r="B39" s="682" t="s">
        <v>159</v>
      </c>
      <c r="C39" s="683" t="s">
        <v>156</v>
      </c>
      <c r="D39" s="684"/>
      <c r="E39" s="685"/>
      <c r="F39" s="677" t="s">
        <v>157</v>
      </c>
      <c r="G39" s="677" t="s">
        <v>158</v>
      </c>
      <c r="J39" s="682" t="s">
        <v>159</v>
      </c>
      <c r="K39" s="683" t="s">
        <v>156</v>
      </c>
      <c r="L39" s="684"/>
      <c r="M39" s="685"/>
      <c r="N39" s="677" t="s">
        <v>157</v>
      </c>
      <c r="O39" s="677" t="s">
        <v>158</v>
      </c>
    </row>
    <row r="40" spans="1:15" x14ac:dyDescent="0.2">
      <c r="B40" s="682"/>
      <c r="C40" s="271">
        <v>2022</v>
      </c>
      <c r="D40" s="479" t="s">
        <v>81</v>
      </c>
      <c r="E40" s="479" t="s">
        <v>81</v>
      </c>
      <c r="F40" s="677"/>
      <c r="G40" s="677"/>
      <c r="J40" s="682"/>
      <c r="K40" s="271">
        <v>2022</v>
      </c>
      <c r="L40" s="479" t="s">
        <v>81</v>
      </c>
      <c r="M40" s="479" t="s">
        <v>81</v>
      </c>
      <c r="N40" s="677"/>
      <c r="O40" s="677"/>
    </row>
    <row r="41" spans="1:15" x14ac:dyDescent="0.2">
      <c r="A41" s="678">
        <v>500</v>
      </c>
      <c r="B41" s="271">
        <v>1</v>
      </c>
      <c r="C41" s="468">
        <f>C16</f>
        <v>171</v>
      </c>
      <c r="D41" s="468" t="str">
        <f t="shared" ref="D41:G41" si="17">D16</f>
        <v>-</v>
      </c>
      <c r="E41" s="468" t="str">
        <f t="shared" si="17"/>
        <v>-</v>
      </c>
      <c r="F41" s="468">
        <f t="shared" si="17"/>
        <v>0</v>
      </c>
      <c r="G41" s="468">
        <f t="shared" si="17"/>
        <v>0.02</v>
      </c>
      <c r="I41" s="678">
        <v>2000</v>
      </c>
      <c r="J41" s="271">
        <v>1</v>
      </c>
      <c r="K41" s="468">
        <f>C18</f>
        <v>625.4</v>
      </c>
      <c r="L41" s="468" t="str">
        <f t="shared" ref="L41:O41" si="18">D18</f>
        <v>-</v>
      </c>
      <c r="M41" s="468" t="str">
        <f t="shared" si="18"/>
        <v>-</v>
      </c>
      <c r="N41" s="468">
        <f t="shared" si="18"/>
        <v>0</v>
      </c>
      <c r="O41" s="468">
        <f t="shared" si="18"/>
        <v>0.02</v>
      </c>
    </row>
    <row r="42" spans="1:15" x14ac:dyDescent="0.2">
      <c r="A42" s="678"/>
      <c r="B42" s="271">
        <v>2</v>
      </c>
      <c r="C42" s="271">
        <f>J16</f>
        <v>139.1</v>
      </c>
      <c r="D42" s="271" t="str">
        <f t="shared" ref="D42:G42" si="19">K16</f>
        <v>-</v>
      </c>
      <c r="E42" s="271" t="str">
        <f t="shared" si="19"/>
        <v>-</v>
      </c>
      <c r="F42" s="271">
        <f t="shared" si="19"/>
        <v>1.0000000000000001E-5</v>
      </c>
      <c r="G42" s="271">
        <f t="shared" si="19"/>
        <v>0.02</v>
      </c>
      <c r="I42" s="678"/>
      <c r="J42" s="271">
        <v>2</v>
      </c>
      <c r="K42" s="271">
        <f>J18</f>
        <v>405.4</v>
      </c>
      <c r="L42" s="271" t="str">
        <f t="shared" ref="L42:O42" si="20">K18</f>
        <v>-</v>
      </c>
      <c r="M42" s="271" t="str">
        <f t="shared" si="20"/>
        <v>-</v>
      </c>
      <c r="N42" s="271">
        <f t="shared" si="20"/>
        <v>1.0000000000000001E-5</v>
      </c>
      <c r="O42" s="271">
        <f t="shared" si="20"/>
        <v>0.02</v>
      </c>
    </row>
    <row r="43" spans="1:15" x14ac:dyDescent="0.2">
      <c r="A43" s="678"/>
      <c r="B43" s="271">
        <v>3</v>
      </c>
      <c r="C43" s="271">
        <f>Q16</f>
        <v>1.0000000000000001E-5</v>
      </c>
      <c r="D43" s="271" t="str">
        <f t="shared" ref="D43:G43" si="21">R16</f>
        <v>-</v>
      </c>
      <c r="E43" s="271" t="str">
        <f t="shared" si="21"/>
        <v>-</v>
      </c>
      <c r="F43" s="271">
        <f t="shared" si="21"/>
        <v>0</v>
      </c>
      <c r="G43" s="271">
        <f t="shared" si="21"/>
        <v>0.02</v>
      </c>
      <c r="I43" s="678"/>
      <c r="J43" s="271">
        <v>3</v>
      </c>
      <c r="K43" s="271">
        <f>Q18</f>
        <v>1.0000000000000001E-5</v>
      </c>
      <c r="L43" s="271" t="str">
        <f t="shared" ref="L43:O43" si="22">R18</f>
        <v>-</v>
      </c>
      <c r="M43" s="271" t="str">
        <f t="shared" si="22"/>
        <v>-</v>
      </c>
      <c r="N43" s="271">
        <f t="shared" si="22"/>
        <v>0</v>
      </c>
      <c r="O43" s="271">
        <f t="shared" si="22"/>
        <v>0.02</v>
      </c>
    </row>
    <row r="44" spans="1:15" x14ac:dyDescent="0.2">
      <c r="A44" s="678"/>
      <c r="B44" s="271">
        <v>4</v>
      </c>
      <c r="C44" s="271">
        <f>C26</f>
        <v>1.0000000000000001E-5</v>
      </c>
      <c r="D44" s="271" t="str">
        <f t="shared" ref="D44:G44" si="23">D26</f>
        <v>-</v>
      </c>
      <c r="E44" s="271" t="str">
        <f t="shared" si="23"/>
        <v>-</v>
      </c>
      <c r="F44" s="271">
        <f t="shared" si="23"/>
        <v>0</v>
      </c>
      <c r="G44" s="271">
        <f t="shared" si="23"/>
        <v>6.5400000000000009</v>
      </c>
      <c r="I44" s="678"/>
      <c r="J44" s="271">
        <v>4</v>
      </c>
      <c r="K44" s="271">
        <f>C28</f>
        <v>1.0000000000000001E-5</v>
      </c>
      <c r="L44" s="271" t="str">
        <f t="shared" ref="L44:O44" si="24">D28</f>
        <v>-</v>
      </c>
      <c r="M44" s="271" t="str">
        <f t="shared" si="24"/>
        <v>-</v>
      </c>
      <c r="N44" s="271">
        <f t="shared" si="24"/>
        <v>0</v>
      </c>
      <c r="O44" s="271">
        <f t="shared" si="24"/>
        <v>6.5400000000000009</v>
      </c>
    </row>
    <row r="45" spans="1:15" x14ac:dyDescent="0.2">
      <c r="A45" s="678"/>
      <c r="B45" s="271">
        <v>5</v>
      </c>
      <c r="C45" s="271">
        <f>J26</f>
        <v>193</v>
      </c>
      <c r="D45" s="271" t="str">
        <f t="shared" ref="D45:G45" si="25">K26</f>
        <v>-</v>
      </c>
      <c r="E45" s="271" t="str">
        <f t="shared" si="25"/>
        <v>-</v>
      </c>
      <c r="F45" s="271">
        <f t="shared" si="25"/>
        <v>0</v>
      </c>
      <c r="G45" s="271">
        <f t="shared" si="25"/>
        <v>0.02</v>
      </c>
      <c r="I45" s="678"/>
      <c r="J45" s="271">
        <v>5</v>
      </c>
      <c r="K45" s="271">
        <f>J28</f>
        <v>499</v>
      </c>
      <c r="L45" s="271" t="str">
        <f t="shared" ref="L45:O45" si="26">K28</f>
        <v>-</v>
      </c>
      <c r="M45" s="271" t="str">
        <f t="shared" si="26"/>
        <v>-</v>
      </c>
      <c r="N45" s="271">
        <f t="shared" si="26"/>
        <v>0</v>
      </c>
      <c r="O45" s="271">
        <f t="shared" si="26"/>
        <v>0.02</v>
      </c>
    </row>
    <row r="46" spans="1:15" x14ac:dyDescent="0.2">
      <c r="A46" s="678"/>
      <c r="B46" s="271">
        <v>6</v>
      </c>
      <c r="C46" s="271">
        <f>Q26</f>
        <v>197</v>
      </c>
      <c r="D46" s="271" t="str">
        <f t="shared" ref="D46:G46" si="27">R26</f>
        <v>-</v>
      </c>
      <c r="E46" s="271" t="str">
        <f t="shared" si="27"/>
        <v>-</v>
      </c>
      <c r="F46" s="271">
        <f t="shared" si="27"/>
        <v>0</v>
      </c>
      <c r="G46" s="271">
        <f t="shared" si="27"/>
        <v>0.02</v>
      </c>
      <c r="I46" s="678"/>
      <c r="J46" s="271">
        <v>6</v>
      </c>
      <c r="K46" s="271">
        <f>Q28</f>
        <v>511</v>
      </c>
      <c r="L46" s="271" t="str">
        <f t="shared" ref="L46:O46" si="28">R28</f>
        <v>-</v>
      </c>
      <c r="M46" s="271" t="str">
        <f t="shared" si="28"/>
        <v>-</v>
      </c>
      <c r="N46" s="271">
        <f t="shared" si="28"/>
        <v>0</v>
      </c>
      <c r="O46" s="271">
        <f t="shared" si="28"/>
        <v>0.02</v>
      </c>
    </row>
    <row r="51" spans="1:31" ht="37.5" customHeight="1" thickBot="1" x14ac:dyDescent="0.25">
      <c r="A51" s="478">
        <f>B69</f>
        <v>5</v>
      </c>
      <c r="B51" s="687" t="str">
        <f>B62</f>
        <v>Phototherapy Radiometer, Merek : DALE Technology, Model : DALE 40, SN : 4769005</v>
      </c>
      <c r="C51" s="687"/>
      <c r="D51" s="687"/>
      <c r="E51" s="687"/>
      <c r="F51" s="687"/>
      <c r="G51" s="687"/>
      <c r="I51" s="480" t="s">
        <v>160</v>
      </c>
      <c r="J51" s="481" t="s">
        <v>156</v>
      </c>
      <c r="K51" s="480" t="s">
        <v>161</v>
      </c>
      <c r="L51" s="481" t="s">
        <v>158</v>
      </c>
      <c r="M51" s="481" t="s">
        <v>162</v>
      </c>
      <c r="N51" s="680" t="s">
        <v>163</v>
      </c>
      <c r="O51" s="680"/>
      <c r="P51" s="680"/>
      <c r="Q51" s="680"/>
      <c r="R51" s="680"/>
      <c r="S51" s="680"/>
      <c r="T51" s="680"/>
      <c r="U51" s="680"/>
      <c r="V51" s="680"/>
    </row>
    <row r="52" spans="1:31" x14ac:dyDescent="0.2">
      <c r="B52" s="688" t="s">
        <v>155</v>
      </c>
      <c r="C52" s="689" t="s">
        <v>156</v>
      </c>
      <c r="D52" s="690"/>
      <c r="E52" s="691"/>
      <c r="F52" s="618" t="s">
        <v>157</v>
      </c>
      <c r="G52" s="617" t="s">
        <v>158</v>
      </c>
      <c r="I52" s="271">
        <f>AVERAGE(ID!E31:I31)</f>
        <v>130.80000000000001</v>
      </c>
      <c r="J52" s="482">
        <f>P54</f>
        <v>55.473000000000006</v>
      </c>
      <c r="K52" s="483">
        <f>I52+J52</f>
        <v>186.27300000000002</v>
      </c>
      <c r="L52" s="473">
        <f>U54</f>
        <v>0.02</v>
      </c>
      <c r="M52" s="476">
        <f>Z54</f>
        <v>0</v>
      </c>
      <c r="N52" s="679" t="s">
        <v>156</v>
      </c>
      <c r="O52" s="668"/>
      <c r="P52" s="668"/>
      <c r="Q52" s="669"/>
      <c r="S52" s="667" t="s">
        <v>158</v>
      </c>
      <c r="T52" s="668"/>
      <c r="U52" s="668"/>
      <c r="V52" s="669"/>
      <c r="X52" s="667" t="s">
        <v>162</v>
      </c>
      <c r="Y52" s="668"/>
      <c r="Z52" s="668"/>
      <c r="AA52" s="669"/>
    </row>
    <row r="53" spans="1:31" x14ac:dyDescent="0.2">
      <c r="B53" s="618"/>
      <c r="C53" s="468">
        <v>2022</v>
      </c>
      <c r="D53" s="474" t="s">
        <v>81</v>
      </c>
      <c r="E53" s="474" t="s">
        <v>81</v>
      </c>
      <c r="F53" s="677"/>
      <c r="G53" s="618"/>
      <c r="N53" s="383"/>
      <c r="O53" s="384">
        <f>IF($N$54&lt;=$B$55,$B$54,IF($N$54&lt;=$B$56,$B$55,IF($N$54&lt;=$B$57,$B$56,IF($N$54&lt;=$B$58,$B$57))))</f>
        <v>100</v>
      </c>
      <c r="P53" s="384"/>
      <c r="Q53" s="384">
        <f>IF($N$54&lt;=$B$55,C54,IF($N$54&lt;=$B$56,C55,IF($N$54&lt;=$B$57,C56,IF($N$54&lt;=$B$58,C57,IF($N$54&lt;=$B$58,C58)))))</f>
        <v>44</v>
      </c>
      <c r="S53" s="383"/>
      <c r="T53" s="384">
        <f>IF($N$54&lt;=$B$55,$B$54,IF($N$54&lt;=$B$56,$B$55,IF($N$54&lt;=$B$57,$B$56,IF($N$54&lt;=$B$58,$B$57))))</f>
        <v>100</v>
      </c>
      <c r="U53" s="384"/>
      <c r="V53" s="384">
        <f>IF($N$54&lt;=$B$55,G54,IF($N$54&lt;=$B$56,G55,IF($N$54&lt;=$B$57,G56,IF($N$54&lt;=$B$58,G57,IF($N$54&lt;=$B$58,G58)))))</f>
        <v>0.02</v>
      </c>
      <c r="X53" s="383"/>
      <c r="Y53" s="384">
        <f>IF($N$54&lt;=$B$55,$B$54,IF($N$54&lt;=$B$56,$B$55,IF($N$54&lt;=$B$57,$B$56,IF($N$54&lt;=$B$58,$B$57))))</f>
        <v>100</v>
      </c>
      <c r="Z53" s="384"/>
      <c r="AA53" s="581">
        <f>IF($N$54&lt;=$B$55,F54,IF($N$54&lt;=$B$56,F55,IF($N$54&lt;=$B$57,F56,IF($N$54&lt;=$B$58,F57,IF($N$54&lt;=$B$58,F58)))))</f>
        <v>0</v>
      </c>
    </row>
    <row r="54" spans="1:31" x14ac:dyDescent="0.2">
      <c r="B54" s="476">
        <v>1.0000000000000001E-5</v>
      </c>
      <c r="C54" s="476">
        <v>1.0000000000000001E-5</v>
      </c>
      <c r="D54" s="474" t="s">
        <v>81</v>
      </c>
      <c r="E54" s="474" t="s">
        <v>81</v>
      </c>
      <c r="F54" s="476">
        <v>1.0000000000000001E-5</v>
      </c>
      <c r="G54" s="476">
        <v>1.0000000000000001E-5</v>
      </c>
      <c r="N54" s="386">
        <f>I52</f>
        <v>130.80000000000001</v>
      </c>
      <c r="O54" s="384"/>
      <c r="P54" s="387">
        <f>((N54-O53)/(O55-O53)*(Q55-Q53)+Q53)</f>
        <v>55.473000000000006</v>
      </c>
      <c r="Q54" s="385"/>
      <c r="S54" s="386">
        <f>I52</f>
        <v>130.80000000000001</v>
      </c>
      <c r="T54" s="384"/>
      <c r="U54" s="388">
        <f>((S54-T53)/(T55-T53)*(V55-V53)+V53)</f>
        <v>0.02</v>
      </c>
      <c r="V54" s="385"/>
      <c r="X54" s="386">
        <f>I52</f>
        <v>130.80000000000001</v>
      </c>
      <c r="Y54" s="384"/>
      <c r="Z54" s="388">
        <f>((X54-Y53)/(Y55-Y53)*(AA55-AA53)+AA53)</f>
        <v>0</v>
      </c>
      <c r="AA54" s="385"/>
    </row>
    <row r="55" spans="1:31" x14ac:dyDescent="0.2">
      <c r="B55" s="271">
        <v>100</v>
      </c>
      <c r="C55" s="271">
        <f>VLOOKUP($A$51,$B$32:$G$37,2,FALSE)</f>
        <v>44</v>
      </c>
      <c r="D55" s="271" t="str">
        <f>VLOOKUP($A$51,$B$32:$G$37,3,FALSE)</f>
        <v>-</v>
      </c>
      <c r="E55" s="271" t="str">
        <f>VLOOKUP($A$51,$B$32:$G$37,4,FALSE)</f>
        <v>-</v>
      </c>
      <c r="F55" s="271">
        <f>VLOOKUP($A$51,$B$32:$G$37,5,FALSE)</f>
        <v>0</v>
      </c>
      <c r="G55" s="271">
        <f>VLOOKUP($A$51,$B$32:$G$37,6,FALSE)</f>
        <v>0.02</v>
      </c>
      <c r="N55" s="383"/>
      <c r="O55" s="384">
        <f>IF($N$54&lt;=$B$54,$B$54,IF($N$54&lt;=$B$55,$B$55,IF($N$54&lt;=$B$56,$B$56,IF($N$54&lt;=$B$57,$B$57,IF($N$54&lt;=$B$58,$B$58)))))</f>
        <v>500</v>
      </c>
      <c r="P55" s="384"/>
      <c r="Q55" s="384">
        <f>IF($N$54&lt;=$B$55,C55,IF($N$54&lt;=$B$56,C56,IF($N$54&lt;=$B$57,C57,IF($N$54&lt;=$B$58,C58))))</f>
        <v>193</v>
      </c>
      <c r="S55" s="383"/>
      <c r="T55" s="384">
        <f>IF($N$54&lt;=$B$54,$B$54,IF($N$54&lt;=$B$55,$B$55,IF($N$54&lt;=$B$56,$B$56,IF($N$54&lt;=$B$57,$B$57,IF($N$54&lt;=$B$58,$B$58)))))</f>
        <v>500</v>
      </c>
      <c r="U55" s="384"/>
      <c r="V55" s="384">
        <f>IF($N$54&lt;=$B$55,G55,IF($N$54&lt;=$B$56,G56,IF($N$54&lt;=$B$57,G57,IF($N$54&lt;=$B$58,G58))))</f>
        <v>0.02</v>
      </c>
      <c r="X55" s="383"/>
      <c r="Y55" s="384">
        <f>IF($N$54&lt;=$B$54,$B$54,IF($N$54&lt;=$B$55,$B$55,IF($N$54&lt;=$B$56,$B$56,IF($N$54&lt;=$B$57,$B$57,IF($N$54&lt;=$B$58,$B$58)))))</f>
        <v>500</v>
      </c>
      <c r="Z55" s="384"/>
      <c r="AA55" s="384">
        <f>IF($N$54&lt;=$B$55,F55,IF($N$54&lt;=$B$56,F56,IF($N$54&lt;=$B$57,F57,IF($N$54&lt;=$B$58,F58))))</f>
        <v>0</v>
      </c>
    </row>
    <row r="56" spans="1:31" x14ac:dyDescent="0.2">
      <c r="B56" s="271">
        <v>500</v>
      </c>
      <c r="C56" s="271">
        <f>VLOOKUP($A$51,$B$41:$F$46,2,FALSE)</f>
        <v>193</v>
      </c>
      <c r="D56" s="271" t="str">
        <f>VLOOKUP($A$51,$B$41:$F$46,3,FALSE)</f>
        <v>-</v>
      </c>
      <c r="E56" s="271" t="str">
        <f>VLOOKUP($A$51,$B$41:$F$46,4,FALSE)</f>
        <v>-</v>
      </c>
      <c r="F56" s="271">
        <f>VLOOKUP($A$51,$B$41:$F$46,5,FALSE)</f>
        <v>0</v>
      </c>
      <c r="G56" s="271">
        <f>VLOOKUP($A$51,$B$41:$G$46,6,FALSE)</f>
        <v>0.02</v>
      </c>
    </row>
    <row r="57" spans="1:31" x14ac:dyDescent="0.2">
      <c r="B57" s="271">
        <v>1000</v>
      </c>
      <c r="C57" s="271">
        <f>VLOOKUP($A$51,$J$32:$O$37,2,FALSE)</f>
        <v>353</v>
      </c>
      <c r="D57" s="271" t="str">
        <f>VLOOKUP($A$51,$J$32:$O$37,3,FALSE)</f>
        <v>-</v>
      </c>
      <c r="E57" s="271" t="str">
        <f>VLOOKUP($A$51,$J$32:$O$37,4,FALSE)</f>
        <v>-</v>
      </c>
      <c r="F57" s="271">
        <f>VLOOKUP($A$51,$J$32:$O$37,5,FALSE)</f>
        <v>0</v>
      </c>
      <c r="G57" s="271">
        <f>VLOOKUP($A$51,$J$32:$O$37,6,FALSE)</f>
        <v>0.02</v>
      </c>
    </row>
    <row r="58" spans="1:31" x14ac:dyDescent="0.2">
      <c r="B58" s="271">
        <v>2000</v>
      </c>
      <c r="C58" s="271">
        <f>VLOOKUP($A$51,$J$41:$O$46,2,FALSE)</f>
        <v>499</v>
      </c>
      <c r="D58" s="271" t="str">
        <f>VLOOKUP($A$51,$J$41:$O$46,3,FALSE)</f>
        <v>-</v>
      </c>
      <c r="E58" s="271" t="str">
        <f>VLOOKUP($A$51,$J$41:$O$46,4,FALSE)</f>
        <v>-</v>
      </c>
      <c r="F58" s="271">
        <f>VLOOKUP($A$51,$J$41:$O$46,5,FALSE)</f>
        <v>0</v>
      </c>
      <c r="G58" s="271">
        <f>VLOOKUP($A$51,$J$41:$O$46,6,FALSE)</f>
        <v>0.02</v>
      </c>
    </row>
    <row r="62" spans="1:31" x14ac:dyDescent="0.2">
      <c r="B62" s="692" t="str">
        <f>ID!B40</f>
        <v>Phototherapy Radiometer, Merek : DALE Technology, Model : DALE 40, SN : 4769005</v>
      </c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391"/>
      <c r="P62" s="391"/>
      <c r="Q62" s="681">
        <f>B69</f>
        <v>5</v>
      </c>
      <c r="R62" s="681"/>
      <c r="S62" s="681"/>
      <c r="T62" s="681"/>
      <c r="U62" s="681"/>
      <c r="V62" s="681"/>
      <c r="W62" s="681"/>
      <c r="X62" s="681"/>
      <c r="Y62" s="681"/>
      <c r="Z62" s="681"/>
      <c r="AA62" s="681"/>
      <c r="AB62" s="681"/>
      <c r="AC62" s="681"/>
      <c r="AD62" s="681"/>
      <c r="AE62" s="681"/>
    </row>
    <row r="63" spans="1:31" ht="15.75" x14ac:dyDescent="0.25">
      <c r="B63" s="485" t="s">
        <v>141</v>
      </c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68">
        <v>1</v>
      </c>
      <c r="P63" s="391">
        <v>1</v>
      </c>
      <c r="Q63" s="670" t="s">
        <v>164</v>
      </c>
      <c r="R63" s="670"/>
      <c r="S63" s="670"/>
      <c r="T63" s="670"/>
      <c r="U63" s="670"/>
      <c r="V63" s="670"/>
      <c r="W63" s="670"/>
      <c r="X63" s="670"/>
      <c r="Y63" s="670"/>
      <c r="Z63" s="670"/>
      <c r="AA63" s="670"/>
      <c r="AB63" s="670"/>
      <c r="AC63" s="670"/>
      <c r="AD63" s="670"/>
      <c r="AE63" s="670"/>
    </row>
    <row r="64" spans="1:31" ht="15.75" x14ac:dyDescent="0.25">
      <c r="B64" s="485" t="s">
        <v>146</v>
      </c>
      <c r="C64" s="485"/>
      <c r="D64" s="485"/>
      <c r="E64" s="485"/>
      <c r="F64" s="485"/>
      <c r="G64" s="485"/>
      <c r="H64" s="485"/>
      <c r="I64" s="485"/>
      <c r="J64" s="485"/>
      <c r="K64" s="485"/>
      <c r="L64" s="485"/>
      <c r="M64" s="485"/>
      <c r="N64" s="468">
        <v>2</v>
      </c>
      <c r="P64" s="391">
        <v>2</v>
      </c>
      <c r="Q64" s="670" t="s">
        <v>164</v>
      </c>
      <c r="R64" s="670"/>
      <c r="S64" s="670"/>
      <c r="T64" s="670"/>
      <c r="U64" s="670"/>
      <c r="V64" s="670"/>
      <c r="W64" s="670"/>
      <c r="X64" s="670"/>
      <c r="Y64" s="670"/>
      <c r="Z64" s="670"/>
      <c r="AA64" s="670"/>
      <c r="AB64" s="670"/>
      <c r="AC64" s="670"/>
      <c r="AD64" s="670"/>
      <c r="AE64" s="670"/>
    </row>
    <row r="65" spans="2:31" ht="15.75" x14ac:dyDescent="0.25">
      <c r="B65" s="485" t="s">
        <v>147</v>
      </c>
      <c r="C65" s="485"/>
      <c r="D65" s="485"/>
      <c r="E65" s="485"/>
      <c r="F65" s="485"/>
      <c r="G65" s="485"/>
      <c r="H65" s="485"/>
      <c r="I65" s="485"/>
      <c r="J65" s="485"/>
      <c r="K65" s="485"/>
      <c r="L65" s="485"/>
      <c r="M65" s="485"/>
      <c r="N65" s="468">
        <v>3</v>
      </c>
      <c r="P65" s="391">
        <v>3</v>
      </c>
      <c r="Q65" s="670" t="s">
        <v>165</v>
      </c>
      <c r="R65" s="670"/>
      <c r="S65" s="670"/>
      <c r="T65" s="670"/>
      <c r="U65" s="670"/>
      <c r="V65" s="670"/>
      <c r="W65" s="670"/>
      <c r="X65" s="670"/>
      <c r="Y65" s="670"/>
      <c r="Z65" s="670"/>
      <c r="AA65" s="670"/>
      <c r="AB65" s="670"/>
      <c r="AC65" s="670"/>
      <c r="AD65" s="670"/>
      <c r="AE65" s="670"/>
    </row>
    <row r="66" spans="2:31" ht="15.75" x14ac:dyDescent="0.25">
      <c r="B66" s="485" t="s">
        <v>151</v>
      </c>
      <c r="C66" s="485"/>
      <c r="D66" s="485"/>
      <c r="E66" s="485"/>
      <c r="F66" s="485"/>
      <c r="G66" s="485"/>
      <c r="H66" s="485"/>
      <c r="I66" s="485"/>
      <c r="J66" s="485"/>
      <c r="K66" s="485"/>
      <c r="L66" s="485"/>
      <c r="M66" s="485"/>
      <c r="N66" s="468">
        <v>4</v>
      </c>
      <c r="P66" s="391">
        <v>4</v>
      </c>
      <c r="Q66" s="670" t="s">
        <v>166</v>
      </c>
      <c r="R66" s="670"/>
      <c r="S66" s="670"/>
      <c r="T66" s="670"/>
      <c r="U66" s="670"/>
      <c r="V66" s="670"/>
      <c r="W66" s="670"/>
      <c r="X66" s="670"/>
      <c r="Y66" s="670"/>
      <c r="Z66" s="670"/>
      <c r="AA66" s="670"/>
      <c r="AB66" s="670"/>
      <c r="AC66" s="670"/>
      <c r="AD66" s="670"/>
      <c r="AE66" s="670"/>
    </row>
    <row r="67" spans="2:31" ht="15.75" x14ac:dyDescent="0.25">
      <c r="B67" s="485" t="s">
        <v>133</v>
      </c>
      <c r="C67" s="485"/>
      <c r="D67" s="485"/>
      <c r="E67" s="485"/>
      <c r="F67" s="485"/>
      <c r="G67" s="485"/>
      <c r="H67" s="485"/>
      <c r="I67" s="485"/>
      <c r="J67" s="485"/>
      <c r="K67" s="485"/>
      <c r="L67" s="485"/>
      <c r="M67" s="485"/>
      <c r="N67" s="468">
        <v>5</v>
      </c>
      <c r="P67" s="391">
        <v>5</v>
      </c>
      <c r="Q67" s="670" t="s">
        <v>164</v>
      </c>
      <c r="R67" s="670"/>
      <c r="S67" s="670"/>
      <c r="T67" s="670"/>
      <c r="U67" s="670"/>
      <c r="V67" s="670"/>
      <c r="W67" s="670"/>
      <c r="X67" s="670"/>
      <c r="Y67" s="670"/>
      <c r="Z67" s="670"/>
      <c r="AA67" s="670"/>
      <c r="AB67" s="670"/>
      <c r="AC67" s="670"/>
      <c r="AD67" s="670"/>
      <c r="AE67" s="670"/>
    </row>
    <row r="68" spans="2:31" ht="15.75" x14ac:dyDescent="0.25">
      <c r="B68" s="485" t="s">
        <v>152</v>
      </c>
      <c r="C68" s="485"/>
      <c r="D68" s="485"/>
      <c r="E68" s="485"/>
      <c r="F68" s="485"/>
      <c r="G68" s="485"/>
      <c r="H68" s="485"/>
      <c r="I68" s="485"/>
      <c r="J68" s="485"/>
      <c r="K68" s="485"/>
      <c r="L68" s="485"/>
      <c r="M68" s="485"/>
      <c r="N68" s="468">
        <v>6</v>
      </c>
      <c r="P68" s="391">
        <v>6</v>
      </c>
      <c r="Q68" s="670" t="s">
        <v>164</v>
      </c>
      <c r="R68" s="670"/>
      <c r="S68" s="670"/>
      <c r="T68" s="670"/>
      <c r="U68" s="670"/>
      <c r="V68" s="670"/>
      <c r="W68" s="670"/>
      <c r="X68" s="670"/>
      <c r="Y68" s="670"/>
      <c r="Z68" s="670"/>
      <c r="AA68" s="670"/>
      <c r="AB68" s="670"/>
      <c r="AC68" s="670"/>
      <c r="AD68" s="670"/>
      <c r="AE68" s="670"/>
    </row>
    <row r="69" spans="2:31" x14ac:dyDescent="0.2">
      <c r="B69" s="686">
        <f>VLOOKUP(B62,B63:N68,13,FALSE)</f>
        <v>5</v>
      </c>
      <c r="C69" s="686"/>
      <c r="D69" s="686"/>
      <c r="E69" s="686"/>
      <c r="F69" s="686"/>
      <c r="G69" s="686"/>
      <c r="H69" s="686"/>
      <c r="I69" s="686"/>
      <c r="J69" s="686"/>
      <c r="K69" s="686"/>
      <c r="L69" s="686"/>
      <c r="M69" s="686"/>
      <c r="N69" s="391"/>
      <c r="P69" s="391"/>
      <c r="Q69" s="671" t="str">
        <f>VLOOKUP(Q62,P63:AE68,2,FALSE)</f>
        <v>Hasil pengujian kinerja spectral radiance tertelusur ke Laboratorium Standar Nasional Satuan Ukuran, Badan Standarisasi Nasional (SNSU-BSN)</v>
      </c>
      <c r="R69" s="672"/>
      <c r="S69" s="672"/>
      <c r="T69" s="672"/>
      <c r="U69" s="672"/>
      <c r="V69" s="672"/>
      <c r="W69" s="672"/>
      <c r="X69" s="672"/>
      <c r="Y69" s="672"/>
      <c r="Z69" s="672"/>
      <c r="AA69" s="672"/>
      <c r="AB69" s="672"/>
      <c r="AC69" s="672"/>
      <c r="AD69" s="672"/>
      <c r="AE69" s="673"/>
    </row>
    <row r="72" spans="2:31" x14ac:dyDescent="0.2">
      <c r="P72" s="391"/>
      <c r="Q72" s="674">
        <f>B69</f>
        <v>5</v>
      </c>
      <c r="R72" s="675"/>
      <c r="S72" s="675"/>
      <c r="T72" s="675"/>
      <c r="U72" s="675"/>
      <c r="V72" s="675"/>
      <c r="W72" s="675"/>
      <c r="X72" s="675"/>
      <c r="Y72" s="675"/>
      <c r="Z72" s="675"/>
      <c r="AA72" s="675"/>
      <c r="AB72" s="676"/>
    </row>
    <row r="73" spans="2:31" ht="14.25" x14ac:dyDescent="0.2">
      <c r="P73" s="391">
        <v>1</v>
      </c>
      <c r="Q73" s="486" t="s">
        <v>167</v>
      </c>
      <c r="R73" s="391"/>
      <c r="S73" s="391"/>
      <c r="T73" s="391"/>
      <c r="U73" s="391"/>
      <c r="V73" s="391"/>
      <c r="W73" s="391"/>
      <c r="X73" s="391"/>
      <c r="Y73" s="391"/>
      <c r="Z73" s="391"/>
      <c r="AA73" s="391"/>
      <c r="AB73" s="391"/>
    </row>
    <row r="74" spans="2:31" ht="14.25" x14ac:dyDescent="0.2">
      <c r="P74" s="391">
        <v>2</v>
      </c>
      <c r="Q74" s="486" t="s">
        <v>167</v>
      </c>
      <c r="R74" s="391"/>
      <c r="S74" s="391"/>
      <c r="T74" s="391"/>
      <c r="U74" s="391"/>
      <c r="V74" s="391"/>
      <c r="W74" s="391"/>
      <c r="X74" s="391"/>
      <c r="Y74" s="391"/>
      <c r="Z74" s="391"/>
      <c r="AA74" s="391"/>
      <c r="AB74" s="391"/>
    </row>
    <row r="75" spans="2:31" ht="14.25" x14ac:dyDescent="0.2">
      <c r="P75" s="391">
        <v>3</v>
      </c>
      <c r="Q75" s="486" t="s">
        <v>168</v>
      </c>
      <c r="R75" s="391"/>
      <c r="S75" s="391"/>
      <c r="T75" s="391"/>
      <c r="U75" s="391"/>
      <c r="V75" s="391"/>
      <c r="W75" s="391"/>
      <c r="X75" s="391"/>
      <c r="Y75" s="391"/>
      <c r="Z75" s="391"/>
      <c r="AA75" s="391"/>
      <c r="AB75" s="391"/>
    </row>
    <row r="76" spans="2:31" ht="14.25" x14ac:dyDescent="0.2">
      <c r="P76" s="391">
        <v>4</v>
      </c>
      <c r="Q76" s="486" t="s">
        <v>168</v>
      </c>
      <c r="R76" s="391"/>
      <c r="S76" s="391"/>
      <c r="T76" s="391"/>
      <c r="U76" s="391"/>
      <c r="V76" s="391"/>
      <c r="W76" s="391"/>
      <c r="X76" s="391"/>
      <c r="Y76" s="391"/>
      <c r="Z76" s="391"/>
      <c r="AA76" s="391"/>
      <c r="AB76" s="391"/>
    </row>
    <row r="77" spans="2:31" ht="14.25" x14ac:dyDescent="0.2">
      <c r="P77" s="391">
        <v>5</v>
      </c>
      <c r="Q77" s="486" t="s">
        <v>168</v>
      </c>
      <c r="R77" s="391"/>
      <c r="S77" s="391"/>
      <c r="T77" s="391"/>
      <c r="U77" s="391"/>
      <c r="V77" s="391"/>
      <c r="W77" s="391"/>
      <c r="X77" s="391"/>
      <c r="Y77" s="391"/>
      <c r="Z77" s="391"/>
      <c r="AA77" s="391"/>
      <c r="AB77" s="391"/>
    </row>
    <row r="78" spans="2:31" ht="14.25" x14ac:dyDescent="0.2">
      <c r="P78" s="391">
        <v>6</v>
      </c>
      <c r="Q78" s="486" t="s">
        <v>168</v>
      </c>
      <c r="R78" s="391"/>
      <c r="S78" s="391"/>
      <c r="T78" s="391"/>
      <c r="U78" s="391"/>
      <c r="V78" s="391"/>
      <c r="W78" s="391"/>
      <c r="X78" s="391"/>
      <c r="Y78" s="391"/>
      <c r="Z78" s="391"/>
      <c r="AA78" s="391"/>
      <c r="AB78" s="391"/>
    </row>
    <row r="79" spans="2:31" x14ac:dyDescent="0.2">
      <c r="P79" s="391"/>
      <c r="Q79" s="671" t="str">
        <f>VLOOKUP(Q72,P73:Q78,2,FALSE)</f>
        <v>Ketidakpastian pengukuran diperoleh dari sumber kesalalahan tipe A dan tipe B</v>
      </c>
      <c r="R79" s="672"/>
      <c r="S79" s="672"/>
      <c r="T79" s="672"/>
      <c r="U79" s="672"/>
      <c r="V79" s="672"/>
      <c r="W79" s="672"/>
      <c r="X79" s="672"/>
      <c r="Y79" s="672"/>
      <c r="Z79" s="672"/>
      <c r="AA79" s="672"/>
      <c r="AB79" s="673"/>
    </row>
  </sheetData>
  <mergeCells count="70">
    <mergeCell ref="B11:G11"/>
    <mergeCell ref="C12:E12"/>
    <mergeCell ref="I11:N11"/>
    <mergeCell ref="J12:L12"/>
    <mergeCell ref="M12:M13"/>
    <mergeCell ref="N12:N13"/>
    <mergeCell ref="I12:I13"/>
    <mergeCell ref="B12:B13"/>
    <mergeCell ref="F12:F13"/>
    <mergeCell ref="P11:U11"/>
    <mergeCell ref="P12:P13"/>
    <mergeCell ref="Q12:S12"/>
    <mergeCell ref="T12:T13"/>
    <mergeCell ref="U12:U13"/>
    <mergeCell ref="I21:N21"/>
    <mergeCell ref="I22:I23"/>
    <mergeCell ref="J22:L22"/>
    <mergeCell ref="M22:M23"/>
    <mergeCell ref="N22:N23"/>
    <mergeCell ref="B22:B23"/>
    <mergeCell ref="C22:E22"/>
    <mergeCell ref="F22:F23"/>
    <mergeCell ref="B21:G21"/>
    <mergeCell ref="G22:G23"/>
    <mergeCell ref="P21:U21"/>
    <mergeCell ref="P22:P23"/>
    <mergeCell ref="Q22:S22"/>
    <mergeCell ref="T22:T23"/>
    <mergeCell ref="U22:U23"/>
    <mergeCell ref="B69:M69"/>
    <mergeCell ref="B51:G51"/>
    <mergeCell ref="B52:B53"/>
    <mergeCell ref="C52:E52"/>
    <mergeCell ref="F52:F53"/>
    <mergeCell ref="G52:G53"/>
    <mergeCell ref="B62:M62"/>
    <mergeCell ref="O30:O31"/>
    <mergeCell ref="I32:I37"/>
    <mergeCell ref="J39:J40"/>
    <mergeCell ref="K39:M39"/>
    <mergeCell ref="N39:N40"/>
    <mergeCell ref="G39:G40"/>
    <mergeCell ref="A41:A46"/>
    <mergeCell ref="J30:J31"/>
    <mergeCell ref="K30:M30"/>
    <mergeCell ref="N30:N31"/>
    <mergeCell ref="A32:A37"/>
    <mergeCell ref="B30:B31"/>
    <mergeCell ref="F30:F31"/>
    <mergeCell ref="C30:E30"/>
    <mergeCell ref="G30:G31"/>
    <mergeCell ref="B39:B40"/>
    <mergeCell ref="C39:E39"/>
    <mergeCell ref="F39:F40"/>
    <mergeCell ref="Q66:AE66"/>
    <mergeCell ref="O39:O40"/>
    <mergeCell ref="I41:I46"/>
    <mergeCell ref="N52:Q52"/>
    <mergeCell ref="S52:V52"/>
    <mergeCell ref="N51:V51"/>
    <mergeCell ref="X52:AA52"/>
    <mergeCell ref="Q62:AE62"/>
    <mergeCell ref="Q63:AE63"/>
    <mergeCell ref="Q64:AE64"/>
    <mergeCell ref="Q65:AE65"/>
    <mergeCell ref="Q67:AE67"/>
    <mergeCell ref="Q68:AE68"/>
    <mergeCell ref="Q69:AE69"/>
    <mergeCell ref="Q72:AB72"/>
    <mergeCell ref="Q79:AB79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showGridLines="0" view="pageBreakPreview" zoomScale="90" zoomScaleNormal="100" zoomScaleSheetLayoutView="90" workbookViewId="0">
      <selection activeCell="A5" sqref="A5"/>
    </sheetView>
  </sheetViews>
  <sheetFormatPr defaultRowHeight="12.75" x14ac:dyDescent="0.2"/>
  <cols>
    <col min="1" max="1" width="19.140625" customWidth="1"/>
    <col min="2" max="2" width="10.5703125" customWidth="1"/>
    <col min="3" max="3" width="12.42578125" customWidth="1"/>
    <col min="5" max="5" width="11.5703125" customWidth="1"/>
    <col min="9" max="9" width="10.28515625" customWidth="1"/>
    <col min="11" max="11" width="11.140625" customWidth="1"/>
    <col min="12" max="12" width="18.28515625" customWidth="1"/>
    <col min="15" max="15" width="17.28515625" customWidth="1"/>
    <col min="16" max="16" width="12.28515625" customWidth="1"/>
    <col min="17" max="17" width="13.7109375" bestFit="1" customWidth="1"/>
    <col min="18" max="18" width="9.7109375" customWidth="1"/>
    <col min="21" max="21" width="9.140625" customWidth="1"/>
    <col min="22" max="22" width="11.42578125" customWidth="1"/>
    <col min="23" max="23" width="11.7109375" customWidth="1"/>
    <col min="24" max="24" width="11.42578125" customWidth="1"/>
  </cols>
  <sheetData>
    <row r="1" spans="1:25" ht="18" customHeight="1" thickBot="1" x14ac:dyDescent="0.25">
      <c r="A1" s="732" t="s">
        <v>203</v>
      </c>
      <c r="B1" s="733"/>
      <c r="C1" s="733"/>
      <c r="D1" s="733"/>
      <c r="E1" s="733"/>
      <c r="F1" s="733"/>
      <c r="G1" s="733"/>
      <c r="H1" s="733"/>
      <c r="I1" s="733"/>
      <c r="J1" s="733"/>
      <c r="K1" s="734"/>
      <c r="L1" s="709" t="s">
        <v>204</v>
      </c>
      <c r="M1" s="710"/>
      <c r="N1" s="710"/>
      <c r="O1" s="710"/>
      <c r="P1" s="710"/>
      <c r="Q1" s="710"/>
      <c r="R1" s="710"/>
      <c r="S1" s="710"/>
      <c r="T1" s="710"/>
      <c r="U1" s="710"/>
      <c r="V1" s="711"/>
    </row>
    <row r="2" spans="1:25" ht="18" customHeight="1" x14ac:dyDescent="0.2">
      <c r="A2" s="61" t="s">
        <v>205</v>
      </c>
      <c r="B2" s="62" t="s">
        <v>206</v>
      </c>
      <c r="C2" s="62" t="s">
        <v>207</v>
      </c>
      <c r="D2" s="62" t="s">
        <v>208</v>
      </c>
      <c r="E2" s="62" t="s">
        <v>209</v>
      </c>
      <c r="F2" s="62" t="s">
        <v>210</v>
      </c>
      <c r="G2" s="62" t="s">
        <v>211</v>
      </c>
      <c r="H2" s="62" t="s">
        <v>212</v>
      </c>
      <c r="I2" s="62" t="s">
        <v>213</v>
      </c>
      <c r="J2" s="62" t="s">
        <v>214</v>
      </c>
      <c r="K2" s="63" t="s">
        <v>215</v>
      </c>
      <c r="L2" s="99" t="s">
        <v>205</v>
      </c>
      <c r="M2" s="100" t="s">
        <v>206</v>
      </c>
      <c r="N2" s="100" t="s">
        <v>207</v>
      </c>
      <c r="O2" s="100" t="s">
        <v>208</v>
      </c>
      <c r="P2" s="100" t="s">
        <v>209</v>
      </c>
      <c r="Q2" s="100" t="s">
        <v>210</v>
      </c>
      <c r="R2" s="100" t="s">
        <v>211</v>
      </c>
      <c r="S2" s="100" t="s">
        <v>212</v>
      </c>
      <c r="T2" s="100" t="s">
        <v>213</v>
      </c>
      <c r="U2" s="100" t="s">
        <v>214</v>
      </c>
      <c r="V2" s="101" t="s">
        <v>215</v>
      </c>
    </row>
    <row r="3" spans="1:25" ht="18" customHeight="1" x14ac:dyDescent="0.2">
      <c r="A3" s="64" t="s">
        <v>216</v>
      </c>
      <c r="B3" s="69">
        <f>ID!J31</f>
        <v>1.0954451150103321</v>
      </c>
      <c r="C3" s="66" t="str">
        <f>ID!K67</f>
        <v xml:space="preserve">µW/cm²   </v>
      </c>
      <c r="D3" s="66" t="s">
        <v>217</v>
      </c>
      <c r="E3" s="89">
        <f>SQRT(5)</f>
        <v>2.2360679774997898</v>
      </c>
      <c r="F3" s="67">
        <f>B3/E3</f>
        <v>0.48989794855663554</v>
      </c>
      <c r="G3" s="67">
        <v>5</v>
      </c>
      <c r="H3" s="67">
        <v>1</v>
      </c>
      <c r="I3" s="67">
        <f>F3*H3</f>
        <v>0.48989794855663554</v>
      </c>
      <c r="J3" s="67">
        <f>I3^2</f>
        <v>0.23999999999999994</v>
      </c>
      <c r="K3" s="68">
        <f>(J3^2)/G3</f>
        <v>1.1519999999999994E-2</v>
      </c>
      <c r="L3" s="102" t="s">
        <v>216</v>
      </c>
      <c r="M3" s="103">
        <f>B3</f>
        <v>1.0954451150103321</v>
      </c>
      <c r="N3" s="96" t="str">
        <f>C3</f>
        <v xml:space="preserve">µW/cm²   </v>
      </c>
      <c r="O3" s="96" t="s">
        <v>217</v>
      </c>
      <c r="P3" s="104">
        <f>SQRT(6)</f>
        <v>2.4494897427831779</v>
      </c>
      <c r="Q3" s="96">
        <f>M3/2.449489743</f>
        <v>0.44721359546037182</v>
      </c>
      <c r="R3" s="96">
        <v>5</v>
      </c>
      <c r="S3" s="96">
        <v>1</v>
      </c>
      <c r="T3" s="96">
        <f>Q3*S3</f>
        <v>0.44721359546037182</v>
      </c>
      <c r="U3" s="96">
        <f>(Q3*1)^2</f>
        <v>0.19999999996459308</v>
      </c>
      <c r="V3" s="98">
        <f>(Q3*1)^4/5</f>
        <v>7.9999999971674465E-3</v>
      </c>
      <c r="W3" s="4"/>
      <c r="X3" s="4"/>
      <c r="Y3" s="4"/>
    </row>
    <row r="4" spans="1:25" ht="18" customHeight="1" x14ac:dyDescent="0.2">
      <c r="A4" s="64" t="str">
        <f>ID!K68</f>
        <v>Sertifikat Standar</v>
      </c>
      <c r="B4" s="70">
        <f>'Data Sertifikat'!L52</f>
        <v>0.02</v>
      </c>
      <c r="C4" s="66" t="str">
        <f>C3</f>
        <v xml:space="preserve">µW/cm²   </v>
      </c>
      <c r="D4" s="66" t="s">
        <v>217</v>
      </c>
      <c r="E4" s="89">
        <v>2</v>
      </c>
      <c r="F4" s="67">
        <f>B4/E4</f>
        <v>0.01</v>
      </c>
      <c r="G4" s="67">
        <v>50</v>
      </c>
      <c r="H4" s="67">
        <v>1</v>
      </c>
      <c r="I4" s="67">
        <f>F4*H4</f>
        <v>0.01</v>
      </c>
      <c r="J4" s="67">
        <f>I4^2</f>
        <v>1E-4</v>
      </c>
      <c r="K4" s="68">
        <f>(J4^2)/G4</f>
        <v>2.0000000000000001E-10</v>
      </c>
      <c r="L4" s="102" t="s">
        <v>218</v>
      </c>
      <c r="M4" s="103">
        <f t="shared" ref="M4:M5" si="0">B4</f>
        <v>0.02</v>
      </c>
      <c r="N4" s="96" t="str">
        <f>N3</f>
        <v xml:space="preserve">µW/cm²   </v>
      </c>
      <c r="O4" s="96" t="s">
        <v>217</v>
      </c>
      <c r="P4" s="104">
        <v>2</v>
      </c>
      <c r="Q4" s="105">
        <f>M4/2</f>
        <v>0.01</v>
      </c>
      <c r="R4" s="96">
        <v>50</v>
      </c>
      <c r="S4" s="96">
        <v>1</v>
      </c>
      <c r="T4" s="96">
        <f>Q4*S4</f>
        <v>0.01</v>
      </c>
      <c r="U4" s="96">
        <f>(Q4*1)^2</f>
        <v>1E-4</v>
      </c>
      <c r="V4" s="97">
        <f>(Q4*1)^4/50</f>
        <v>2.0000000000000001E-10</v>
      </c>
    </row>
    <row r="5" spans="1:25" ht="18" customHeight="1" x14ac:dyDescent="0.2">
      <c r="A5" s="64" t="s">
        <v>219</v>
      </c>
      <c r="B5" s="70">
        <f>'Data Sertifikat'!M52</f>
        <v>0</v>
      </c>
      <c r="C5" s="66" t="str">
        <f>C3</f>
        <v xml:space="preserve">µW/cm²   </v>
      </c>
      <c r="D5" s="66" t="s">
        <v>220</v>
      </c>
      <c r="E5" s="89">
        <f>SQRT(3)</f>
        <v>1.7320508075688772</v>
      </c>
      <c r="F5" s="67">
        <f>B5/E5</f>
        <v>0</v>
      </c>
      <c r="G5" s="67">
        <v>50</v>
      </c>
      <c r="H5" s="67">
        <v>1</v>
      </c>
      <c r="I5" s="67">
        <f>F5*H5</f>
        <v>0</v>
      </c>
      <c r="J5" s="67">
        <f>I5^2</f>
        <v>0</v>
      </c>
      <c r="K5" s="68">
        <f>(J5^2)/G5</f>
        <v>0</v>
      </c>
      <c r="L5" s="102" t="s">
        <v>219</v>
      </c>
      <c r="M5" s="103">
        <f t="shared" si="0"/>
        <v>0</v>
      </c>
      <c r="N5" s="96" t="str">
        <f>N3</f>
        <v xml:space="preserve">µW/cm²   </v>
      </c>
      <c r="O5" s="96" t="s">
        <v>220</v>
      </c>
      <c r="P5" s="104">
        <f>SQRT(3)</f>
        <v>1.7320508075688772</v>
      </c>
      <c r="Q5" s="105">
        <f>M5/1.732050808</f>
        <v>0</v>
      </c>
      <c r="R5" s="96">
        <v>50</v>
      </c>
      <c r="S5" s="96">
        <v>1</v>
      </c>
      <c r="T5" s="96">
        <f>Q5*S5</f>
        <v>0</v>
      </c>
      <c r="U5" s="96">
        <f>(Q5*1)^2</f>
        <v>0</v>
      </c>
      <c r="V5" s="97">
        <f>(Q5*1)^4/50</f>
        <v>0</v>
      </c>
    </row>
    <row r="6" spans="1:25" ht="18" customHeight="1" x14ac:dyDescent="0.2">
      <c r="A6" s="726"/>
      <c r="B6" s="727"/>
      <c r="C6" s="727"/>
      <c r="D6" s="727"/>
      <c r="E6" s="727"/>
      <c r="F6" s="727"/>
      <c r="G6" s="727"/>
      <c r="H6" s="727"/>
      <c r="I6" s="728"/>
      <c r="J6" s="67">
        <f>SUM(J3:J5)</f>
        <v>0.24009999999999992</v>
      </c>
      <c r="K6" s="68">
        <f>SUM(K3:K5)</f>
        <v>1.1520000199999993E-2</v>
      </c>
      <c r="L6" s="697"/>
      <c r="M6" s="698"/>
      <c r="N6" s="698"/>
      <c r="O6" s="698"/>
      <c r="P6" s="698"/>
      <c r="Q6" s="698"/>
      <c r="R6" s="698"/>
      <c r="S6" s="698"/>
      <c r="T6" s="699"/>
      <c r="U6" s="96">
        <f>U3+U4+U5</f>
        <v>0.20009999996459307</v>
      </c>
      <c r="V6" s="98">
        <f>V3+V4+V5</f>
        <v>8.0000001971674457E-3</v>
      </c>
      <c r="W6" s="3"/>
    </row>
    <row r="7" spans="1:25" ht="18" customHeight="1" x14ac:dyDescent="0.2">
      <c r="A7" s="726" t="s">
        <v>221</v>
      </c>
      <c r="B7" s="727"/>
      <c r="C7" s="727"/>
      <c r="D7" s="727"/>
      <c r="E7" s="727"/>
      <c r="F7" s="728"/>
      <c r="G7" s="729" t="s">
        <v>222</v>
      </c>
      <c r="H7" s="730"/>
      <c r="I7" s="731"/>
      <c r="J7" s="67">
        <f>SQRT(J6)</f>
        <v>0.48999999999999994</v>
      </c>
      <c r="K7" s="68"/>
      <c r="L7" s="697" t="s">
        <v>221</v>
      </c>
      <c r="M7" s="698"/>
      <c r="N7" s="698"/>
      <c r="O7" s="698"/>
      <c r="P7" s="698"/>
      <c r="Q7" s="699"/>
      <c r="R7" s="712" t="s">
        <v>223</v>
      </c>
      <c r="S7" s="713"/>
      <c r="T7" s="714"/>
      <c r="U7" s="96">
        <f>SQRT(((Q3*1)^2)+((Q4*1)^2)+((Q5*1)^2))</f>
        <v>0.4473253848873246</v>
      </c>
      <c r="V7" s="97"/>
      <c r="W7" s="3"/>
    </row>
    <row r="8" spans="1:25" ht="18" customHeight="1" x14ac:dyDescent="0.2">
      <c r="A8" s="735" t="s">
        <v>224</v>
      </c>
      <c r="B8" s="736"/>
      <c r="C8" s="736"/>
      <c r="D8" s="736"/>
      <c r="E8" s="736"/>
      <c r="F8" s="736"/>
      <c r="G8" s="737" t="s">
        <v>225</v>
      </c>
      <c r="H8" s="738"/>
      <c r="I8" s="739"/>
      <c r="J8" s="65">
        <f>J7^4/(K6)</f>
        <v>5.0041674478443152</v>
      </c>
      <c r="K8" s="68"/>
      <c r="L8" s="715" t="s">
        <v>224</v>
      </c>
      <c r="M8" s="716"/>
      <c r="N8" s="716"/>
      <c r="O8" s="716"/>
      <c r="P8" s="716"/>
      <c r="Q8" s="716"/>
      <c r="R8" s="717" t="s">
        <v>226</v>
      </c>
      <c r="S8" s="718"/>
      <c r="T8" s="719"/>
      <c r="U8" s="106">
        <f>((SQRT(((Q3*1)^2)+((Q4*1)^2)+((Q5*1)^2)))^4)/0.0005</f>
        <v>80.08001997166032</v>
      </c>
      <c r="V8" s="97"/>
      <c r="W8" s="3"/>
      <c r="X8" s="5"/>
    </row>
    <row r="9" spans="1:25" ht="18" customHeight="1" x14ac:dyDescent="0.2">
      <c r="A9" s="726" t="s">
        <v>227</v>
      </c>
      <c r="B9" s="727"/>
      <c r="C9" s="727"/>
      <c r="D9" s="727"/>
      <c r="E9" s="727"/>
      <c r="F9" s="728"/>
      <c r="G9" s="740" t="s">
        <v>228</v>
      </c>
      <c r="H9" s="741"/>
      <c r="I9" s="742"/>
      <c r="J9" s="67">
        <f>TINV(0.05,J8)</f>
        <v>2.570581835636315</v>
      </c>
      <c r="K9" s="68"/>
      <c r="L9" s="697" t="s">
        <v>227</v>
      </c>
      <c r="M9" s="698"/>
      <c r="N9" s="698"/>
      <c r="O9" s="698"/>
      <c r="P9" s="698"/>
      <c r="Q9" s="699"/>
      <c r="R9" s="700" t="s">
        <v>228</v>
      </c>
      <c r="S9" s="701"/>
      <c r="T9" s="702"/>
      <c r="U9" s="96">
        <f>1.95996+(2.37356/U8)+(2.818745/U8^2)+(2.546662/U8^3)+(1.761829/U8^4)+(0.245458/U8^5)+(1.000764/U8^6)</f>
        <v>1.9900444038700296</v>
      </c>
      <c r="V9" s="97"/>
      <c r="W9" s="3"/>
    </row>
    <row r="10" spans="1:25" ht="18" customHeight="1" thickBot="1" x14ac:dyDescent="0.25">
      <c r="A10" s="720" t="s">
        <v>229</v>
      </c>
      <c r="B10" s="721"/>
      <c r="C10" s="721"/>
      <c r="D10" s="721"/>
      <c r="E10" s="721"/>
      <c r="F10" s="722"/>
      <c r="G10" s="723" t="s">
        <v>230</v>
      </c>
      <c r="H10" s="724"/>
      <c r="I10" s="725"/>
      <c r="J10" s="484">
        <f>J9*J7</f>
        <v>1.2595850994617943</v>
      </c>
      <c r="K10" s="71" t="str">
        <f>C3</f>
        <v xml:space="preserve">µW/cm²   </v>
      </c>
      <c r="L10" s="703" t="s">
        <v>229</v>
      </c>
      <c r="M10" s="704"/>
      <c r="N10" s="704"/>
      <c r="O10" s="704"/>
      <c r="P10" s="704"/>
      <c r="Q10" s="705"/>
      <c r="R10" s="706" t="s">
        <v>230</v>
      </c>
      <c r="S10" s="707"/>
      <c r="T10" s="708"/>
      <c r="U10" s="107">
        <f>U9*U7</f>
        <v>0.89019737890402739</v>
      </c>
      <c r="V10" s="108" t="str">
        <f>K10</f>
        <v xml:space="preserve">µW/cm²   </v>
      </c>
      <c r="W10" s="3"/>
      <c r="Y10" s="3"/>
    </row>
    <row r="11" spans="1:25" ht="18" customHeight="1" x14ac:dyDescent="0.2">
      <c r="A11" s="72"/>
      <c r="B11" s="72"/>
      <c r="C11" s="38"/>
      <c r="D11" s="72"/>
      <c r="E11" s="72"/>
      <c r="F11" s="38"/>
      <c r="G11" s="38"/>
      <c r="H11" s="38"/>
      <c r="I11" s="38"/>
      <c r="J11" s="38"/>
      <c r="K11" s="38"/>
      <c r="L11" s="6"/>
      <c r="M11" s="6"/>
    </row>
    <row r="16" spans="1:25" x14ac:dyDescent="0.2">
      <c r="R16" s="3"/>
    </row>
  </sheetData>
  <mergeCells count="20">
    <mergeCell ref="A1:K1"/>
    <mergeCell ref="A8:F8"/>
    <mergeCell ref="G8:I8"/>
    <mergeCell ref="A9:F9"/>
    <mergeCell ref="G9:I9"/>
    <mergeCell ref="A10:F10"/>
    <mergeCell ref="G10:I10"/>
    <mergeCell ref="A6:I6"/>
    <mergeCell ref="A7:F7"/>
    <mergeCell ref="G7:I7"/>
    <mergeCell ref="L9:Q9"/>
    <mergeCell ref="R9:T9"/>
    <mergeCell ref="L10:Q10"/>
    <mergeCell ref="R10:T10"/>
    <mergeCell ref="L1:V1"/>
    <mergeCell ref="L6:T6"/>
    <mergeCell ref="L7:Q7"/>
    <mergeCell ref="R7:T7"/>
    <mergeCell ref="L8:Q8"/>
    <mergeCell ref="R8:T8"/>
  </mergeCells>
  <printOptions horizontalCentered="1"/>
  <pageMargins left="0.5" right="0.25" top="0.75" bottom="0.25" header="0.25" footer="0.25"/>
  <pageSetup paperSize="9" scale="79" orientation="portrait" horizontalDpi="4294967293" r:id="rId1"/>
  <headerFooter>
    <oddHeader>&amp;R&amp;"-,Regular"&amp;8OA.UB - 038 - 18 / REV : 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61"/>
  <sheetViews>
    <sheetView zoomScale="50" zoomScaleNormal="50" zoomScaleSheetLayoutView="90" workbookViewId="0">
      <selection activeCell="H1" sqref="H1"/>
    </sheetView>
  </sheetViews>
  <sheetFormatPr defaultColWidth="9.140625" defaultRowHeight="12.75" x14ac:dyDescent="0.2"/>
  <cols>
    <col min="1" max="1" width="18.140625" style="404" customWidth="1"/>
    <col min="2" max="2" width="26.140625" style="404" customWidth="1"/>
    <col min="3" max="3" width="3.140625" style="404" customWidth="1"/>
    <col min="4" max="4" width="14.42578125" style="404" customWidth="1"/>
    <col min="5" max="5" width="9.42578125" style="404" customWidth="1"/>
    <col min="6" max="6" width="22.5703125" style="404" customWidth="1"/>
    <col min="7" max="7" width="9.140625" style="404"/>
    <col min="8" max="8" width="18.85546875" style="404" customWidth="1"/>
    <col min="9" max="9" width="12.140625" style="404" customWidth="1"/>
    <col min="10" max="16384" width="9.140625" style="404"/>
  </cols>
  <sheetData>
    <row r="1" spans="1:15" x14ac:dyDescent="0.2">
      <c r="H1" s="541" t="str">
        <f>IF(PENYELIA!H59&lt;70,"TIDAK LAIK","LAIK")</f>
        <v>LAIK</v>
      </c>
      <c r="I1" s="405"/>
      <c r="J1" s="405"/>
    </row>
    <row r="2" spans="1:15" ht="30" x14ac:dyDescent="0.2">
      <c r="A2" s="762" t="s">
        <v>250</v>
      </c>
      <c r="B2" s="762"/>
      <c r="C2" s="762"/>
      <c r="D2" s="762"/>
      <c r="E2" s="762"/>
      <c r="F2" s="762"/>
      <c r="H2" s="406"/>
      <c r="I2" s="763"/>
      <c r="J2" s="764"/>
    </row>
    <row r="3" spans="1:15" ht="14.25" x14ac:dyDescent="0.2">
      <c r="A3" s="765" t="str">
        <f>"Nomor : 41 /"&amp;" "&amp;ID!I2</f>
        <v>Nomor : 41 / 1 / X - 22 / E - 00.000 DL</v>
      </c>
      <c r="B3" s="765"/>
      <c r="C3" s="765"/>
      <c r="D3" s="765"/>
      <c r="E3" s="765"/>
      <c r="F3" s="765"/>
    </row>
    <row r="4" spans="1:15" x14ac:dyDescent="0.2">
      <c r="C4" s="404" t="s">
        <v>253</v>
      </c>
      <c r="D4" s="766" t="str">
        <f>LH!E11</f>
        <v>MK 038 - 18</v>
      </c>
      <c r="E4" s="766"/>
      <c r="F4" s="766"/>
      <c r="H4" s="524"/>
      <c r="I4" s="524"/>
      <c r="J4" s="524"/>
    </row>
    <row r="5" spans="1:15" ht="15" x14ac:dyDescent="0.25">
      <c r="H5" s="767"/>
      <c r="I5" s="767"/>
      <c r="J5" s="767"/>
    </row>
    <row r="6" spans="1:15" ht="28.5" x14ac:dyDescent="0.2">
      <c r="A6" s="407" t="s">
        <v>255</v>
      </c>
      <c r="B6" s="408" t="s">
        <v>598</v>
      </c>
      <c r="C6" s="409"/>
      <c r="D6" s="749" t="s">
        <v>257</v>
      </c>
      <c r="E6" s="750"/>
      <c r="F6" s="410" t="str">
        <f>MID(A3,SEARCH("E - ",A3),LEN(A3))</f>
        <v>E - 00.000 DL</v>
      </c>
    </row>
    <row r="7" spans="1:15" ht="14.25" x14ac:dyDescent="0.2">
      <c r="A7" s="411"/>
      <c r="B7" s="411"/>
      <c r="C7" s="411"/>
    </row>
    <row r="8" spans="1:15" ht="14.25" x14ac:dyDescent="0.2">
      <c r="A8" s="744" t="s">
        <v>2</v>
      </c>
      <c r="B8" s="744"/>
      <c r="C8" s="412" t="s">
        <v>20</v>
      </c>
      <c r="D8" s="744" t="str">
        <f>LH!E4</f>
        <v>GEA - MEDICAL</v>
      </c>
      <c r="E8" s="744"/>
      <c r="F8" s="744"/>
      <c r="I8" s="759"/>
      <c r="J8" s="759"/>
    </row>
    <row r="9" spans="1:15" ht="14.25" x14ac:dyDescent="0.2">
      <c r="A9" s="744" t="s">
        <v>258</v>
      </c>
      <c r="B9" s="744"/>
      <c r="C9" s="412" t="s">
        <v>20</v>
      </c>
      <c r="D9" s="744" t="str">
        <f>LH!E5</f>
        <v>XHZ - 90</v>
      </c>
      <c r="E9" s="744"/>
      <c r="F9" s="744"/>
      <c r="I9" s="759"/>
      <c r="J9" s="759"/>
    </row>
    <row r="10" spans="1:15" ht="15" x14ac:dyDescent="0.25">
      <c r="A10" s="744" t="s">
        <v>259</v>
      </c>
      <c r="B10" s="744"/>
      <c r="C10" s="412" t="s">
        <v>20</v>
      </c>
      <c r="D10" s="744" t="str">
        <f>LH!E6</f>
        <v>42140204033</v>
      </c>
      <c r="E10" s="744"/>
      <c r="F10" s="744"/>
      <c r="I10" s="760"/>
      <c r="J10" s="751"/>
      <c r="O10" s="413"/>
    </row>
    <row r="11" spans="1:15" s="405" customFormat="1" ht="15" x14ac:dyDescent="0.25">
      <c r="A11" s="761" t="s">
        <v>260</v>
      </c>
      <c r="B11" s="761"/>
      <c r="C11" s="414" t="s">
        <v>20</v>
      </c>
      <c r="D11"/>
      <c r="E11" s="415"/>
      <c r="F11" s="416">
        <f>J11</f>
        <v>0</v>
      </c>
      <c r="I11" s="417"/>
      <c r="J11" s="418"/>
      <c r="O11" s="418"/>
    </row>
    <row r="12" spans="1:15" s="405" customFormat="1" ht="15" x14ac:dyDescent="0.25">
      <c r="A12" s="761" t="s">
        <v>261</v>
      </c>
      <c r="B12" s="761"/>
      <c r="C12" s="414" t="s">
        <v>20</v>
      </c>
      <c r="D12" s="419"/>
      <c r="E12" s="419"/>
      <c r="F12" s="416"/>
      <c r="I12" s="420"/>
      <c r="J12" s="418"/>
      <c r="O12" s="418"/>
    </row>
    <row r="13" spans="1:15" ht="15" x14ac:dyDescent="0.25">
      <c r="A13" s="421"/>
      <c r="B13" s="421"/>
      <c r="C13" s="411"/>
      <c r="I13" s="758"/>
      <c r="J13" s="758"/>
      <c r="O13" s="413"/>
    </row>
    <row r="14" spans="1:15" ht="28.5" customHeight="1" x14ac:dyDescent="0.25">
      <c r="A14" s="422" t="s">
        <v>262</v>
      </c>
      <c r="B14" s="423"/>
      <c r="C14" s="411"/>
      <c r="D14" s="749" t="s">
        <v>263</v>
      </c>
      <c r="E14" s="750"/>
      <c r="F14" s="424"/>
      <c r="I14" s="751"/>
      <c r="J14" s="751"/>
      <c r="O14" s="413"/>
    </row>
    <row r="15" spans="1:15" ht="15" x14ac:dyDescent="0.2">
      <c r="A15" s="425"/>
      <c r="B15" s="411"/>
      <c r="C15" s="411"/>
      <c r="D15" s="411"/>
      <c r="E15" s="411"/>
      <c r="I15" s="752"/>
      <c r="J15" s="752"/>
    </row>
    <row r="16" spans="1:15" s="405" customFormat="1" ht="30" customHeight="1" x14ac:dyDescent="0.2">
      <c r="A16" s="753" t="s">
        <v>264</v>
      </c>
      <c r="B16" s="753"/>
      <c r="C16" s="426" t="s">
        <v>20</v>
      </c>
      <c r="D16" s="754" t="s">
        <v>265</v>
      </c>
      <c r="E16" s="754"/>
      <c r="F16" s="754"/>
      <c r="H16" s="427"/>
      <c r="I16" s="755"/>
      <c r="J16" s="756"/>
    </row>
    <row r="17" spans="1:10" ht="15" x14ac:dyDescent="0.25">
      <c r="A17" s="744" t="str">
        <f>"Nama Ruang "&amp;H20</f>
        <v xml:space="preserve">Nama Ruang </v>
      </c>
      <c r="B17" s="744"/>
      <c r="C17" s="412" t="s">
        <v>20</v>
      </c>
      <c r="D17" s="746" t="str">
        <f>LH!E10</f>
        <v>Ruang Perinatologi</v>
      </c>
      <c r="E17" s="746"/>
      <c r="F17" s="746"/>
      <c r="H17" s="757"/>
      <c r="I17" s="757"/>
      <c r="J17" s="757"/>
    </row>
    <row r="18" spans="1:10" ht="15" x14ac:dyDescent="0.25">
      <c r="A18" s="744" t="s">
        <v>6</v>
      </c>
      <c r="B18" s="744"/>
      <c r="C18" s="412" t="s">
        <v>20</v>
      </c>
      <c r="D18" s="748" t="str">
        <f>LH!E7</f>
        <v>12 Mei 2022</v>
      </c>
      <c r="E18" s="748"/>
      <c r="F18" s="748"/>
      <c r="H18" s="428"/>
      <c r="I18" s="428"/>
      <c r="J18" s="428"/>
    </row>
    <row r="19" spans="1:10" ht="14.25" x14ac:dyDescent="0.2">
      <c r="A19" s="744" t="str">
        <f>"Tanggal "&amp;H20</f>
        <v xml:space="preserve">Tanggal </v>
      </c>
      <c r="B19" s="744"/>
      <c r="C19" s="412" t="s">
        <v>20</v>
      </c>
      <c r="D19" s="748" t="str">
        <f>LH!E8</f>
        <v>12 Mei 2022</v>
      </c>
      <c r="E19" s="748"/>
      <c r="F19" s="748"/>
    </row>
    <row r="20" spans="1:10" ht="14.25" x14ac:dyDescent="0.2">
      <c r="A20" s="744" t="str">
        <f>"Penanggungjawab "&amp;H20</f>
        <v xml:space="preserve">Penanggungjawab </v>
      </c>
      <c r="B20" s="744"/>
      <c r="C20" s="412" t="s">
        <v>20</v>
      </c>
      <c r="D20" s="744" t="str">
        <f>LH!B50</f>
        <v>Isra Mahensa</v>
      </c>
      <c r="E20" s="744"/>
      <c r="F20" s="744"/>
    </row>
    <row r="21" spans="1:10" ht="15" x14ac:dyDescent="0.25">
      <c r="A21" s="744" t="str">
        <f>"Lokasi "&amp;H20</f>
        <v xml:space="preserve">Lokasi </v>
      </c>
      <c r="B21" s="744"/>
      <c r="C21" s="412" t="s">
        <v>20</v>
      </c>
      <c r="D21" s="746" t="str">
        <f>LH!E9</f>
        <v>Ruang Perinatologi</v>
      </c>
      <c r="E21" s="746"/>
      <c r="F21" s="746"/>
      <c r="H21" s="429"/>
    </row>
    <row r="22" spans="1:10" ht="31.5" customHeight="1" x14ac:dyDescent="0.2">
      <c r="A22" s="746" t="str">
        <f>"Hasil "&amp;H20</f>
        <v xml:space="preserve">Hasil </v>
      </c>
      <c r="B22" s="746"/>
      <c r="C22" s="430" t="s">
        <v>20</v>
      </c>
      <c r="D22" s="747" t="s">
        <v>599</v>
      </c>
      <c r="E22" s="747"/>
      <c r="F22" s="747"/>
    </row>
    <row r="23" spans="1:10" ht="14.25" x14ac:dyDescent="0.2">
      <c r="A23" s="744" t="s">
        <v>121</v>
      </c>
      <c r="B23" s="744"/>
      <c r="C23" s="412" t="s">
        <v>20</v>
      </c>
      <c r="D23" s="744" t="str">
        <f>LH!E11</f>
        <v>MK 038 - 18</v>
      </c>
      <c r="E23" s="744"/>
      <c r="F23" s="744"/>
    </row>
    <row r="26" spans="1:10" ht="26.25" customHeight="1" x14ac:dyDescent="0.2">
      <c r="D26" s="431" t="s">
        <v>267</v>
      </c>
      <c r="E26" s="745">
        <f ca="1">TODAY()</f>
        <v>45198</v>
      </c>
      <c r="F26" s="745"/>
    </row>
    <row r="27" spans="1:10" ht="14.25" x14ac:dyDescent="0.2">
      <c r="D27" s="744" t="s">
        <v>268</v>
      </c>
      <c r="E27" s="744"/>
      <c r="F27" s="744"/>
    </row>
    <row r="28" spans="1:10" ht="14.25" x14ac:dyDescent="0.2">
      <c r="D28" s="744" t="s">
        <v>269</v>
      </c>
      <c r="E28" s="744"/>
      <c r="F28" s="744"/>
    </row>
    <row r="29" spans="1:10" ht="14.25" x14ac:dyDescent="0.2">
      <c r="D29" s="432"/>
      <c r="E29" s="432"/>
    </row>
    <row r="30" spans="1:10" ht="14.25" x14ac:dyDescent="0.2">
      <c r="D30" s="432"/>
      <c r="E30" s="432"/>
    </row>
    <row r="31" spans="1:10" ht="14.25" x14ac:dyDescent="0.2">
      <c r="D31" s="432"/>
      <c r="E31" s="432"/>
    </row>
    <row r="32" spans="1:10" ht="14.25" x14ac:dyDescent="0.2">
      <c r="D32" s="744" t="s">
        <v>270</v>
      </c>
      <c r="E32" s="744"/>
      <c r="F32" s="744"/>
    </row>
    <row r="33" spans="1:6" ht="15" x14ac:dyDescent="0.2">
      <c r="D33" s="743" t="s">
        <v>271</v>
      </c>
      <c r="E33" s="743"/>
      <c r="F33" s="743"/>
    </row>
    <row r="36" spans="1:6" x14ac:dyDescent="0.2">
      <c r="A36" s="433"/>
      <c r="B36" s="433"/>
      <c r="C36" s="433"/>
      <c r="D36" s="433"/>
      <c r="E36" s="433"/>
      <c r="F36" s="433"/>
    </row>
    <row r="42" spans="1:6" ht="13.5" thickBot="1" x14ac:dyDescent="0.25"/>
    <row r="43" spans="1:6" x14ac:dyDescent="0.2">
      <c r="A43" s="525" t="s">
        <v>600</v>
      </c>
      <c r="B43" s="526" t="str">
        <f>MID([1]ID!I2,SEARCH("E - ",[1]ID!I2),LEN([1]ID!I2))</f>
        <v>E - 003.30 DL</v>
      </c>
    </row>
    <row r="44" spans="1:6" x14ac:dyDescent="0.2">
      <c r="A44" s="527"/>
      <c r="B44" s="528"/>
    </row>
    <row r="45" spans="1:6" ht="25.5" x14ac:dyDescent="0.2">
      <c r="A45" s="529" t="s">
        <v>601</v>
      </c>
      <c r="B45" s="530" t="str">
        <f>ID!A1</f>
        <v>INPUT DATA PENGUJIAN PHOTOTHERAPY</v>
      </c>
    </row>
    <row r="46" spans="1:6" ht="25.5" x14ac:dyDescent="0.2">
      <c r="A46" s="529" t="s">
        <v>602</v>
      </c>
      <c r="B46" s="531" t="str">
        <f>IF(B45="INPUT DATA PENGUJIAN PHOTOTERAPY",B47,B48)</f>
        <v>SERTIFIKAT PENGUJIAN</v>
      </c>
    </row>
    <row r="47" spans="1:6" x14ac:dyDescent="0.2">
      <c r="A47" s="529" t="s">
        <v>603</v>
      </c>
      <c r="B47" s="528" t="s">
        <v>604</v>
      </c>
    </row>
    <row r="48" spans="1:6" x14ac:dyDescent="0.2">
      <c r="A48" s="527"/>
      <c r="B48" s="528" t="s">
        <v>250</v>
      </c>
    </row>
    <row r="49" spans="1:2" x14ac:dyDescent="0.2">
      <c r="A49" s="527"/>
      <c r="B49" s="528"/>
    </row>
    <row r="50" spans="1:2" ht="38.25" x14ac:dyDescent="0.2">
      <c r="A50" s="529" t="s">
        <v>605</v>
      </c>
      <c r="B50" s="528" t="str">
        <f>IF(RIGHT(A2,10)=" KALIBRASI","Kalibrasi","Pengujian")</f>
        <v>Pengujian</v>
      </c>
    </row>
    <row r="51" spans="1:2" x14ac:dyDescent="0.2">
      <c r="A51" s="527"/>
      <c r="B51" s="528"/>
    </row>
    <row r="52" spans="1:2" ht="30" x14ac:dyDescent="0.25">
      <c r="A52" s="529" t="s">
        <v>606</v>
      </c>
      <c r="B52" s="532" t="s">
        <v>266</v>
      </c>
    </row>
    <row r="53" spans="1:2" x14ac:dyDescent="0.2">
      <c r="A53" s="527"/>
      <c r="B53" s="528"/>
    </row>
    <row r="54" spans="1:2" ht="45" x14ac:dyDescent="0.25">
      <c r="A54" s="533" t="s">
        <v>607</v>
      </c>
      <c r="B54" s="534"/>
    </row>
    <row r="55" spans="1:2" ht="38.25" x14ac:dyDescent="0.2">
      <c r="A55" s="529" t="s">
        <v>608</v>
      </c>
      <c r="B55" s="535"/>
    </row>
    <row r="56" spans="1:2" x14ac:dyDescent="0.2">
      <c r="A56" s="527"/>
      <c r="B56" s="528"/>
    </row>
    <row r="57" spans="1:2" ht="30" x14ac:dyDescent="0.25">
      <c r="A57" s="533" t="s">
        <v>609</v>
      </c>
      <c r="B57" s="536"/>
    </row>
    <row r="58" spans="1:2" ht="15" x14ac:dyDescent="0.25">
      <c r="A58" s="527" t="s">
        <v>610</v>
      </c>
      <c r="B58" s="537"/>
    </row>
    <row r="59" spans="1:2" ht="15" x14ac:dyDescent="0.25">
      <c r="A59" s="527"/>
      <c r="B59" s="537"/>
    </row>
    <row r="60" spans="1:2" ht="45" x14ac:dyDescent="0.25">
      <c r="A60" s="538" t="s">
        <v>603</v>
      </c>
      <c r="B60" s="537" t="s">
        <v>611</v>
      </c>
    </row>
    <row r="61" spans="1:2" ht="45.75" thickBot="1" x14ac:dyDescent="0.3">
      <c r="A61" s="539"/>
      <c r="B61" s="540" t="s">
        <v>612</v>
      </c>
    </row>
  </sheetData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00000000-0002-0000-0600-000000000000}">
      <formula1>$O$9:$O$14</formula1>
    </dataValidation>
    <dataValidation type="list" allowBlank="1" showInputMessage="1" showErrorMessage="1" sqref="J11" xr:uid="{00000000-0002-0000-0600-000001000000}">
      <formula1>$M$2:$M$22</formula1>
    </dataValidation>
    <dataValidation type="list" allowBlank="1" showInputMessage="1" showErrorMessage="1" sqref="A2:F2" xr:uid="{00000000-0002-0000-0600-000002000000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5000000}">
          <x14:formula1>
            <xm:f>'DB SERTIFIKAT'!$F$2:$F$13</xm:f>
          </x14:formula1>
          <xm:sqref>I4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LK</vt:lpstr>
      <vt:lpstr>Riwayat Revisi</vt:lpstr>
      <vt:lpstr>ID</vt:lpstr>
      <vt:lpstr>PENYELIA</vt:lpstr>
      <vt:lpstr>LH</vt:lpstr>
      <vt:lpstr>DB ESA</vt:lpstr>
      <vt:lpstr>Data Sertifikat</vt:lpstr>
      <vt:lpstr>UB</vt:lpstr>
      <vt:lpstr>SERTIFIKAT</vt:lpstr>
      <vt:lpstr>SURAT KETERANGAN</vt:lpstr>
      <vt:lpstr>DB SERTIFIKAT</vt:lpstr>
      <vt:lpstr>DB Thermohygro</vt:lpstr>
      <vt:lpstr>Verifikasi</vt:lpstr>
      <vt:lpstr>List cetik - cetik</vt:lpstr>
      <vt:lpstr>Kesimpulan</vt:lpstr>
      <vt:lpstr>'DB Thermohygro'!Print_Area</vt:lpstr>
      <vt:lpstr>ID!Print_Area</vt:lpstr>
      <vt:lpstr>LH!Print_Area</vt:lpstr>
      <vt:lpstr>LK!Print_Area</vt:lpstr>
      <vt:lpstr>PENYELIA!Print_Area</vt:lpstr>
      <vt:lpstr>SERTIFIKAT!Print_Area</vt:lpstr>
      <vt:lpstr>'SURAT KETERANGAN'!Print_Area</vt:lpstr>
      <vt:lpstr>UB!Print_Area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BPFK Banjarbaru</dc:creator>
  <cp:keywords/>
  <dc:description/>
  <cp:lastModifiedBy>Ryan Rama Chaesar R</cp:lastModifiedBy>
  <cp:revision/>
  <dcterms:created xsi:type="dcterms:W3CDTF">2004-10-18T02:55:41Z</dcterms:created>
  <dcterms:modified xsi:type="dcterms:W3CDTF">2023-09-29T03:39:55Z</dcterms:modified>
  <cp:category>sotfware 2017</cp:category>
  <cp:contentStatus/>
</cp:coreProperties>
</file>