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embeddings/oleObject9.bin" ContentType="application/vnd.openxmlformats-officedocument.oleObject"/>
  <Override PartName="/xl/embeddings/oleObject10.bin" ContentType="application/vnd.openxmlformats-officedocument.oleObject"/>
  <Override PartName="/xl/embeddings/oleObject11.bin" ContentType="application/vnd.openxmlformats-officedocument.oleObject"/>
  <Override PartName="/xl/embeddings/oleObject12.bin" ContentType="application/vnd.openxmlformats-officedocument.oleObject"/>
  <Override PartName="/xl/embeddings/oleObject13.bin" ContentType="application/vnd.openxmlformats-officedocument.oleObject"/>
  <Override PartName="/xl/embeddings/oleObject14.bin" ContentType="application/vnd.openxmlformats-officedocument.oleObject"/>
  <Override PartName="/xl/embeddings/oleObject15.bin" ContentType="application/vnd.openxmlformats-officedocument.oleObject"/>
  <Override PartName="/xl/embeddings/oleObject16.bin" ContentType="application/vnd.openxmlformats-officedocument.oleObject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isram\Documents\Soft Laragon Tambah\sudah cek\Pulse Oxymetri\"/>
    </mc:Choice>
  </mc:AlternateContent>
  <xr:revisionPtr revIDLastSave="0" documentId="13_ncr:1_{3F5E6AE1-795F-4B27-8FB6-DFE2EAE06605}" xr6:coauthVersionLast="47" xr6:coauthVersionMax="47" xr10:uidLastSave="{00000000-0000-0000-0000-000000000000}"/>
  <bookViews>
    <workbookView xWindow="-110" yWindow="-110" windowWidth="19420" windowHeight="10300" tabRatio="597" firstSheet="1" activeTab="6" xr2:uid="{00000000-000D-0000-FFFF-FFFF00000000}"/>
  </bookViews>
  <sheets>
    <sheet name="DB ESA" sheetId="40" r:id="rId1"/>
    <sheet name="ID" sheetId="3" r:id="rId2"/>
    <sheet name="LH" sheetId="23" r:id="rId3"/>
    <sheet name="Penyelia" sheetId="22" r:id="rId4"/>
    <sheet name="DB Thermohygro" sheetId="36" r:id="rId5"/>
    <sheet name="SERTIFIKAT" sheetId="39" r:id="rId6"/>
    <sheet name="FORECAST" sheetId="33" r:id="rId7"/>
    <sheet name="Lembar Kerja" sheetId="12" r:id="rId8"/>
    <sheet name="Riwayat Revisi" sheetId="28" r:id="rId9"/>
    <sheet name="UBBPM" sheetId="10" r:id="rId10"/>
    <sheet name="UBSPO2" sheetId="25" r:id="rId11"/>
    <sheet name="cetik" sheetId="13" r:id="rId12"/>
    <sheet name="kesimpulan" sheetId="14" state="hidden" r:id="rId13"/>
    <sheet name="DATA SERTIFIKAT(BPM)" sheetId="19" r:id="rId14"/>
    <sheet name="DATA SERTIFIKAT(O2)" sheetId="24" r:id="rId15"/>
  </sheets>
  <externalReferences>
    <externalReference r:id="rId16"/>
    <externalReference r:id="rId17"/>
    <externalReference r:id="rId18"/>
    <externalReference r:id="rId19"/>
  </externalReferences>
  <definedNames>
    <definedName name="_xlnm.Print_Area" localSheetId="4">'DB Thermohygro'!$A$1:$O$199,'DB Thermohygro'!$A$344:$O$358,'DB Thermohygro'!$Q$1:$AE$11</definedName>
    <definedName name="_xlnm.Print_Area" localSheetId="1">ID!$A$1:$N$69</definedName>
    <definedName name="_xlnm.Print_Area" localSheetId="7">'Lembar Kerja'!$A$1:$M$68</definedName>
    <definedName name="_xlnm.Print_Area" localSheetId="2">LH!$A$1:$L$74</definedName>
    <definedName name="_xlnm.Print_Area" localSheetId="3">Penyelia!$A$1:$L$76</definedName>
    <definedName name="_xlnm.Print_Area" localSheetId="5">SERTIFIKAT!$A$1:$F$33</definedName>
    <definedName name="_xlnm.Print_Area" localSheetId="9">UBBPM!$A$1:$L$43</definedName>
    <definedName name="_xlnm.Print_Area" localSheetId="10">UBSPO2!$A$1:$L$72</definedName>
  </definedNames>
  <calcPr calcId="191029"/>
</workbook>
</file>

<file path=xl/calcChain.xml><?xml version="1.0" encoding="utf-8"?>
<calcChain xmlns="http://schemas.openxmlformats.org/spreadsheetml/2006/main">
  <c r="B7" i="33" l="1"/>
  <c r="C7" i="33"/>
  <c r="J13" i="33"/>
  <c r="K13" i="33"/>
  <c r="L13" i="33" s="1"/>
  <c r="M13" i="33" s="1"/>
  <c r="J14" i="33"/>
  <c r="L14" i="33" s="1"/>
  <c r="M14" i="33" s="1"/>
  <c r="K14" i="33"/>
  <c r="J15" i="33"/>
  <c r="K15" i="33"/>
  <c r="L15" i="33"/>
  <c r="M15" i="33"/>
  <c r="J16" i="33"/>
  <c r="L16" i="33" s="1"/>
  <c r="M16" i="33" s="1"/>
  <c r="K16" i="33"/>
  <c r="J20" i="33"/>
  <c r="K20" i="33"/>
  <c r="L20" i="33"/>
  <c r="M20" i="33"/>
  <c r="J21" i="33"/>
  <c r="L21" i="33" s="1"/>
  <c r="M21" i="33" s="1"/>
  <c r="K21" i="33"/>
  <c r="J22" i="33"/>
  <c r="K22" i="33"/>
  <c r="L22" i="33"/>
  <c r="M22" i="33"/>
  <c r="J23" i="33"/>
  <c r="L23" i="33" s="1"/>
  <c r="M23" i="33" s="1"/>
  <c r="K23" i="33"/>
  <c r="J24" i="33"/>
  <c r="K24" i="33"/>
  <c r="L24" i="33"/>
  <c r="M24" i="33"/>
  <c r="J25" i="33"/>
  <c r="L25" i="33" s="1"/>
  <c r="M25" i="33" s="1"/>
  <c r="K25" i="33"/>
  <c r="J26" i="33"/>
  <c r="K26" i="33"/>
  <c r="L26" i="33"/>
  <c r="M26" i="33"/>
  <c r="B96" i="19"/>
  <c r="C99" i="19"/>
  <c r="C98" i="19"/>
  <c r="C97" i="19"/>
  <c r="C96" i="19"/>
  <c r="B99" i="19"/>
  <c r="B98" i="19"/>
  <c r="B97" i="19"/>
  <c r="O27" i="22"/>
  <c r="D79" i="33"/>
  <c r="D80" i="33"/>
  <c r="D81" i="33"/>
  <c r="D82" i="33"/>
  <c r="D83" i="33"/>
  <c r="D78" i="33"/>
  <c r="D71" i="33"/>
  <c r="D72" i="33"/>
  <c r="D73" i="33"/>
  <c r="D70" i="33"/>
  <c r="D65" i="33"/>
  <c r="D66" i="33"/>
  <c r="D67" i="33"/>
  <c r="D64" i="33"/>
  <c r="E57" i="33"/>
  <c r="E58" i="33"/>
  <c r="E59" i="33"/>
  <c r="E60" i="33"/>
  <c r="E61" i="33"/>
  <c r="E56" i="33"/>
  <c r="C53" i="33"/>
  <c r="B53" i="33"/>
  <c r="D57" i="33"/>
  <c r="D58" i="33"/>
  <c r="D59" i="33"/>
  <c r="D60" i="33"/>
  <c r="D61" i="33"/>
  <c r="D56" i="33"/>
  <c r="A234" i="40"/>
  <c r="J243" i="40"/>
  <c r="I243" i="40"/>
  <c r="J242" i="40"/>
  <c r="I242" i="40"/>
  <c r="J241" i="40"/>
  <c r="I241" i="40"/>
  <c r="J240" i="40"/>
  <c r="I240" i="40"/>
  <c r="J239" i="40"/>
  <c r="I239" i="40"/>
  <c r="J238" i="40"/>
  <c r="I238" i="40"/>
  <c r="J237" i="40"/>
  <c r="I237" i="40"/>
  <c r="J236" i="40"/>
  <c r="I236" i="40"/>
  <c r="J235" i="40"/>
  <c r="I235" i="40"/>
  <c r="A244" i="40"/>
  <c r="A219" i="40"/>
  <c r="A213" i="40"/>
  <c r="A205" i="40"/>
  <c r="L202" i="40"/>
  <c r="L201" i="40"/>
  <c r="L200" i="40"/>
  <c r="L199" i="40"/>
  <c r="L198" i="40"/>
  <c r="A197" i="40"/>
  <c r="O193" i="40"/>
  <c r="N193" i="40"/>
  <c r="M193" i="40"/>
  <c r="L193" i="40"/>
  <c r="K193" i="40"/>
  <c r="G193" i="40"/>
  <c r="E193" i="40"/>
  <c r="D193" i="40"/>
  <c r="C193" i="40"/>
  <c r="O192" i="40"/>
  <c r="N192" i="40"/>
  <c r="M192" i="40"/>
  <c r="L192" i="40"/>
  <c r="K192" i="40"/>
  <c r="G192" i="40"/>
  <c r="F192" i="40"/>
  <c r="E192" i="40"/>
  <c r="D192" i="40"/>
  <c r="C192" i="40"/>
  <c r="O191" i="40"/>
  <c r="N191" i="40"/>
  <c r="M191" i="40"/>
  <c r="L191" i="40"/>
  <c r="K191" i="40"/>
  <c r="G191" i="40"/>
  <c r="F191" i="40"/>
  <c r="E191" i="40"/>
  <c r="D191" i="40"/>
  <c r="C191" i="40"/>
  <c r="O190" i="40"/>
  <c r="N190" i="40"/>
  <c r="M190" i="40"/>
  <c r="L190" i="40"/>
  <c r="K190" i="40"/>
  <c r="G190" i="40"/>
  <c r="E190" i="40"/>
  <c r="D190" i="40"/>
  <c r="C190" i="40"/>
  <c r="O189" i="40"/>
  <c r="N189" i="40"/>
  <c r="M189" i="40"/>
  <c r="L189" i="40"/>
  <c r="K189" i="40"/>
  <c r="G189" i="40"/>
  <c r="E189" i="40"/>
  <c r="D189" i="40"/>
  <c r="C189" i="40"/>
  <c r="O188" i="40"/>
  <c r="N188" i="40"/>
  <c r="M188" i="40"/>
  <c r="L188" i="40"/>
  <c r="K188" i="40"/>
  <c r="G188" i="40"/>
  <c r="E188" i="40"/>
  <c r="D188" i="40"/>
  <c r="C188" i="40"/>
  <c r="O187" i="40"/>
  <c r="N187" i="40"/>
  <c r="M187" i="40"/>
  <c r="L187" i="40"/>
  <c r="K187" i="40"/>
  <c r="G187" i="40"/>
  <c r="E187" i="40"/>
  <c r="D187" i="40"/>
  <c r="C187" i="40"/>
  <c r="O186" i="40"/>
  <c r="N186" i="40"/>
  <c r="M186" i="40"/>
  <c r="L186" i="40"/>
  <c r="K186" i="40"/>
  <c r="G186" i="40"/>
  <c r="E186" i="40"/>
  <c r="D186" i="40"/>
  <c r="C186" i="40"/>
  <c r="O185" i="40"/>
  <c r="N185" i="40"/>
  <c r="M185" i="40"/>
  <c r="L185" i="40"/>
  <c r="K185" i="40"/>
  <c r="G185" i="40"/>
  <c r="F185" i="40"/>
  <c r="E185" i="40"/>
  <c r="D185" i="40"/>
  <c r="C185" i="40"/>
  <c r="O184" i="40"/>
  <c r="N184" i="40"/>
  <c r="M184" i="40"/>
  <c r="L184" i="40"/>
  <c r="K184" i="40"/>
  <c r="G184" i="40"/>
  <c r="E184" i="40"/>
  <c r="D184" i="40"/>
  <c r="C184" i="40"/>
  <c r="O183" i="40"/>
  <c r="N183" i="40"/>
  <c r="M183" i="40"/>
  <c r="L183" i="40"/>
  <c r="K183" i="40"/>
  <c r="G183" i="40"/>
  <c r="F183" i="40"/>
  <c r="E183" i="40"/>
  <c r="D183" i="40"/>
  <c r="C183" i="40"/>
  <c r="O182" i="40"/>
  <c r="N182" i="40"/>
  <c r="M182" i="40"/>
  <c r="L182" i="40"/>
  <c r="K182" i="40"/>
  <c r="G182" i="40"/>
  <c r="F182" i="40"/>
  <c r="E182" i="40"/>
  <c r="D182" i="40"/>
  <c r="C182" i="40"/>
  <c r="O181" i="40"/>
  <c r="N181" i="40"/>
  <c r="M181" i="40"/>
  <c r="L181" i="40"/>
  <c r="K181" i="40"/>
  <c r="G181" i="40"/>
  <c r="F181" i="40"/>
  <c r="E181" i="40"/>
  <c r="D181" i="40"/>
  <c r="C181" i="40"/>
  <c r="O180" i="40"/>
  <c r="N180" i="40"/>
  <c r="M180" i="40"/>
  <c r="L180" i="40"/>
  <c r="K180" i="40"/>
  <c r="G180" i="40"/>
  <c r="E180" i="40"/>
  <c r="D180" i="40"/>
  <c r="C180" i="40"/>
  <c r="O179" i="40"/>
  <c r="N179" i="40"/>
  <c r="M179" i="40"/>
  <c r="L179" i="40"/>
  <c r="K179" i="40"/>
  <c r="G179" i="40"/>
  <c r="E179" i="40"/>
  <c r="D179" i="40"/>
  <c r="C179" i="40"/>
  <c r="O178" i="40"/>
  <c r="N178" i="40"/>
  <c r="M178" i="40"/>
  <c r="L178" i="40"/>
  <c r="K178" i="40"/>
  <c r="G178" i="40"/>
  <c r="E178" i="40"/>
  <c r="D178" i="40"/>
  <c r="C178" i="40"/>
  <c r="O177" i="40"/>
  <c r="N177" i="40"/>
  <c r="M177" i="40"/>
  <c r="L177" i="40"/>
  <c r="K177" i="40"/>
  <c r="G177" i="40"/>
  <c r="E177" i="40"/>
  <c r="D177" i="40"/>
  <c r="C177" i="40"/>
  <c r="O176" i="40"/>
  <c r="N176" i="40"/>
  <c r="M176" i="40"/>
  <c r="L176" i="40"/>
  <c r="K176" i="40"/>
  <c r="G176" i="40"/>
  <c r="F176" i="40"/>
  <c r="E176" i="40"/>
  <c r="D176" i="40"/>
  <c r="C176" i="40"/>
  <c r="O175" i="40"/>
  <c r="N175" i="40"/>
  <c r="M175" i="40"/>
  <c r="L175" i="40"/>
  <c r="K175" i="40"/>
  <c r="G175" i="40"/>
  <c r="F175" i="40"/>
  <c r="E175" i="40"/>
  <c r="D175" i="40"/>
  <c r="C175" i="40"/>
  <c r="O174" i="40"/>
  <c r="N174" i="40"/>
  <c r="M174" i="40"/>
  <c r="L174" i="40"/>
  <c r="K174" i="40"/>
  <c r="G174" i="40"/>
  <c r="F174" i="40"/>
  <c r="E174" i="40"/>
  <c r="D174" i="40"/>
  <c r="C174" i="40"/>
  <c r="O173" i="40"/>
  <c r="N173" i="40"/>
  <c r="M173" i="40"/>
  <c r="L173" i="40"/>
  <c r="K173" i="40"/>
  <c r="G173" i="40"/>
  <c r="F173" i="40"/>
  <c r="E173" i="40"/>
  <c r="D173" i="40"/>
  <c r="C173" i="40"/>
  <c r="O172" i="40"/>
  <c r="N172" i="40"/>
  <c r="M172" i="40"/>
  <c r="L172" i="40"/>
  <c r="K172" i="40"/>
  <c r="G172" i="40"/>
  <c r="F172" i="40"/>
  <c r="E172" i="40"/>
  <c r="D172" i="40"/>
  <c r="C172" i="40"/>
  <c r="O171" i="40"/>
  <c r="N171" i="40"/>
  <c r="M171" i="40"/>
  <c r="L171" i="40"/>
  <c r="K171" i="40"/>
  <c r="G171" i="40"/>
  <c r="F171" i="40"/>
  <c r="E171" i="40"/>
  <c r="D171" i="40"/>
  <c r="C171" i="40"/>
  <c r="O170" i="40"/>
  <c r="N170" i="40"/>
  <c r="M170" i="40"/>
  <c r="L170" i="40"/>
  <c r="K170" i="40"/>
  <c r="G170" i="40"/>
  <c r="E170" i="40"/>
  <c r="D170" i="40"/>
  <c r="C170" i="40"/>
  <c r="O169" i="40"/>
  <c r="N169" i="40"/>
  <c r="M169" i="40"/>
  <c r="L169" i="40"/>
  <c r="K169" i="40"/>
  <c r="G169" i="40"/>
  <c r="F169" i="40"/>
  <c r="E169" i="40"/>
  <c r="D169" i="40"/>
  <c r="C169" i="40"/>
  <c r="O168" i="40"/>
  <c r="N168" i="40"/>
  <c r="M168" i="40"/>
  <c r="L168" i="40"/>
  <c r="K168" i="40"/>
  <c r="G168" i="40"/>
  <c r="F168" i="40"/>
  <c r="E168" i="40"/>
  <c r="D168" i="40"/>
  <c r="C168" i="40"/>
  <c r="O167" i="40"/>
  <c r="N167" i="40"/>
  <c r="M167" i="40"/>
  <c r="L167" i="40"/>
  <c r="K167" i="40"/>
  <c r="G167" i="40"/>
  <c r="F167" i="40"/>
  <c r="E167" i="40"/>
  <c r="D167" i="40"/>
  <c r="C167" i="40"/>
  <c r="O166" i="40"/>
  <c r="N166" i="40"/>
  <c r="M166" i="40"/>
  <c r="L166" i="40"/>
  <c r="K166" i="40"/>
  <c r="G166" i="40"/>
  <c r="F166" i="40"/>
  <c r="E166" i="40"/>
  <c r="D166" i="40"/>
  <c r="C166" i="40"/>
  <c r="O165" i="40"/>
  <c r="N165" i="40"/>
  <c r="M165" i="40"/>
  <c r="L165" i="40"/>
  <c r="K165" i="40"/>
  <c r="G165" i="40"/>
  <c r="F165" i="40"/>
  <c r="E165" i="40"/>
  <c r="D165" i="40"/>
  <c r="C165" i="40"/>
  <c r="O164" i="40"/>
  <c r="N164" i="40"/>
  <c r="M164" i="40"/>
  <c r="L164" i="40"/>
  <c r="K164" i="40"/>
  <c r="G164" i="40"/>
  <c r="F164" i="40"/>
  <c r="E164" i="40"/>
  <c r="D164" i="40"/>
  <c r="C164" i="40"/>
  <c r="O163" i="40"/>
  <c r="N163" i="40"/>
  <c r="M163" i="40"/>
  <c r="L163" i="40"/>
  <c r="K163" i="40"/>
  <c r="G163" i="40"/>
  <c r="E163" i="40"/>
  <c r="D163" i="40"/>
  <c r="C163" i="40"/>
  <c r="O162" i="40"/>
  <c r="N162" i="40"/>
  <c r="M162" i="40"/>
  <c r="L162" i="40"/>
  <c r="K162" i="40"/>
  <c r="G162" i="40"/>
  <c r="E162" i="40"/>
  <c r="D162" i="40"/>
  <c r="C162" i="40"/>
  <c r="O161" i="40"/>
  <c r="N161" i="40"/>
  <c r="M161" i="40"/>
  <c r="L161" i="40"/>
  <c r="K161" i="40"/>
  <c r="G161" i="40"/>
  <c r="E161" i="40"/>
  <c r="D161" i="40"/>
  <c r="C161" i="40"/>
  <c r="O160" i="40"/>
  <c r="N160" i="40"/>
  <c r="M160" i="40"/>
  <c r="L160" i="40"/>
  <c r="K160" i="40"/>
  <c r="G160" i="40"/>
  <c r="F160" i="40"/>
  <c r="E160" i="40"/>
  <c r="D160" i="40"/>
  <c r="C160" i="40"/>
  <c r="O159" i="40"/>
  <c r="N159" i="40"/>
  <c r="M159" i="40"/>
  <c r="L159" i="40"/>
  <c r="K159" i="40"/>
  <c r="G159" i="40"/>
  <c r="E159" i="40"/>
  <c r="D159" i="40"/>
  <c r="C159" i="40"/>
  <c r="O158" i="40"/>
  <c r="N158" i="40"/>
  <c r="M158" i="40"/>
  <c r="L158" i="40"/>
  <c r="K158" i="40"/>
  <c r="G158" i="40"/>
  <c r="F158" i="40"/>
  <c r="E158" i="40"/>
  <c r="D158" i="40"/>
  <c r="C158" i="40"/>
  <c r="K156" i="40"/>
  <c r="C156" i="40"/>
  <c r="O153" i="40"/>
  <c r="M153" i="40"/>
  <c r="L153" i="40"/>
  <c r="K153" i="40"/>
  <c r="G153" i="40"/>
  <c r="E153" i="40"/>
  <c r="D153" i="40"/>
  <c r="C153" i="40"/>
  <c r="O152" i="40"/>
  <c r="M152" i="40"/>
  <c r="L152" i="40"/>
  <c r="K152" i="40"/>
  <c r="G152" i="40"/>
  <c r="F152" i="40"/>
  <c r="E152" i="40"/>
  <c r="D152" i="40"/>
  <c r="C152" i="40"/>
  <c r="O151" i="40"/>
  <c r="M151" i="40"/>
  <c r="L151" i="40"/>
  <c r="K151" i="40"/>
  <c r="G151" i="40"/>
  <c r="F151" i="40"/>
  <c r="E151" i="40"/>
  <c r="D151" i="40"/>
  <c r="C151" i="40"/>
  <c r="O150" i="40"/>
  <c r="N150" i="40"/>
  <c r="M150" i="40"/>
  <c r="L150" i="40"/>
  <c r="K150" i="40"/>
  <c r="G150" i="40"/>
  <c r="F150" i="40"/>
  <c r="E150" i="40"/>
  <c r="D150" i="40"/>
  <c r="C150" i="40"/>
  <c r="O149" i="40"/>
  <c r="M149" i="40"/>
  <c r="L149" i="40"/>
  <c r="K149" i="40"/>
  <c r="G149" i="40"/>
  <c r="F149" i="40"/>
  <c r="E149" i="40"/>
  <c r="D149" i="40"/>
  <c r="C149" i="40"/>
  <c r="O148" i="40"/>
  <c r="N148" i="40"/>
  <c r="M148" i="40"/>
  <c r="L148" i="40"/>
  <c r="K148" i="40"/>
  <c r="G148" i="40"/>
  <c r="F148" i="40"/>
  <c r="E148" i="40"/>
  <c r="D148" i="40"/>
  <c r="C148" i="40"/>
  <c r="O147" i="40"/>
  <c r="M147" i="40"/>
  <c r="L147" i="40"/>
  <c r="K147" i="40"/>
  <c r="G147" i="40"/>
  <c r="F147" i="40"/>
  <c r="E147" i="40"/>
  <c r="D147" i="40"/>
  <c r="C147" i="40"/>
  <c r="O146" i="40"/>
  <c r="N146" i="40"/>
  <c r="M146" i="40"/>
  <c r="L146" i="40"/>
  <c r="K146" i="40"/>
  <c r="G146" i="40"/>
  <c r="F146" i="40"/>
  <c r="E146" i="40"/>
  <c r="D146" i="40"/>
  <c r="C146" i="40"/>
  <c r="O145" i="40"/>
  <c r="M145" i="40"/>
  <c r="L145" i="40"/>
  <c r="K145" i="40"/>
  <c r="G145" i="40"/>
  <c r="F145" i="40"/>
  <c r="E145" i="40"/>
  <c r="D145" i="40"/>
  <c r="C145" i="40"/>
  <c r="O144" i="40"/>
  <c r="M144" i="40"/>
  <c r="L144" i="40"/>
  <c r="K144" i="40"/>
  <c r="G144" i="40"/>
  <c r="E144" i="40"/>
  <c r="D144" i="40"/>
  <c r="C144" i="40"/>
  <c r="O143" i="40"/>
  <c r="N143" i="40"/>
  <c r="M143" i="40"/>
  <c r="L143" i="40"/>
  <c r="K143" i="40"/>
  <c r="G143" i="40"/>
  <c r="E143" i="40"/>
  <c r="D143" i="40"/>
  <c r="C143" i="40"/>
  <c r="O142" i="40"/>
  <c r="N142" i="40"/>
  <c r="M142" i="40"/>
  <c r="L142" i="40"/>
  <c r="K142" i="40"/>
  <c r="G142" i="40"/>
  <c r="F142" i="40"/>
  <c r="E142" i="40"/>
  <c r="D142" i="40"/>
  <c r="C142" i="40"/>
  <c r="O141" i="40"/>
  <c r="M141" i="40"/>
  <c r="L141" i="40"/>
  <c r="K141" i="40"/>
  <c r="G141" i="40"/>
  <c r="E141" i="40"/>
  <c r="D141" i="40"/>
  <c r="C141" i="40"/>
  <c r="O140" i="40"/>
  <c r="N140" i="40"/>
  <c r="M140" i="40"/>
  <c r="L140" i="40"/>
  <c r="K140" i="40"/>
  <c r="G140" i="40"/>
  <c r="E140" i="40"/>
  <c r="D140" i="40"/>
  <c r="C140" i="40"/>
  <c r="O139" i="40"/>
  <c r="N139" i="40"/>
  <c r="M139" i="40"/>
  <c r="L139" i="40"/>
  <c r="K139" i="40"/>
  <c r="G139" i="40"/>
  <c r="E139" i="40"/>
  <c r="D139" i="40"/>
  <c r="C139" i="40"/>
  <c r="O138" i="40"/>
  <c r="N138" i="40"/>
  <c r="M138" i="40"/>
  <c r="L138" i="40"/>
  <c r="K138" i="40"/>
  <c r="G138" i="40"/>
  <c r="F138" i="40"/>
  <c r="E138" i="40"/>
  <c r="D138" i="40"/>
  <c r="C138" i="40"/>
  <c r="O137" i="40"/>
  <c r="M137" i="40"/>
  <c r="L137" i="40"/>
  <c r="K137" i="40"/>
  <c r="G137" i="40"/>
  <c r="F137" i="40"/>
  <c r="E137" i="40"/>
  <c r="D137" i="40"/>
  <c r="C137" i="40"/>
  <c r="O136" i="40"/>
  <c r="N136" i="40"/>
  <c r="M136" i="40"/>
  <c r="L136" i="40"/>
  <c r="K136" i="40"/>
  <c r="G136" i="40"/>
  <c r="E136" i="40"/>
  <c r="D136" i="40"/>
  <c r="C136" i="40"/>
  <c r="O135" i="40"/>
  <c r="N135" i="40"/>
  <c r="M135" i="40"/>
  <c r="L135" i="40"/>
  <c r="K135" i="40"/>
  <c r="G135" i="40"/>
  <c r="F135" i="40"/>
  <c r="E135" i="40"/>
  <c r="D135" i="40"/>
  <c r="C135" i="40"/>
  <c r="O134" i="40"/>
  <c r="N134" i="40"/>
  <c r="M134" i="40"/>
  <c r="L134" i="40"/>
  <c r="K134" i="40"/>
  <c r="G134" i="40"/>
  <c r="F134" i="40"/>
  <c r="E134" i="40"/>
  <c r="D134" i="40"/>
  <c r="C134" i="40"/>
  <c r="O133" i="40"/>
  <c r="N133" i="40"/>
  <c r="M133" i="40"/>
  <c r="L133" i="40"/>
  <c r="K133" i="40"/>
  <c r="G133" i="40"/>
  <c r="F133" i="40"/>
  <c r="E133" i="40"/>
  <c r="D133" i="40"/>
  <c r="C133" i="40"/>
  <c r="O132" i="40"/>
  <c r="M132" i="40"/>
  <c r="L132" i="40"/>
  <c r="K132" i="40"/>
  <c r="G132" i="40"/>
  <c r="E132" i="40"/>
  <c r="D132" i="40"/>
  <c r="C132" i="40"/>
  <c r="O131" i="40"/>
  <c r="M131" i="40"/>
  <c r="L131" i="40"/>
  <c r="K131" i="40"/>
  <c r="G131" i="40"/>
  <c r="E131" i="40"/>
  <c r="D131" i="40"/>
  <c r="C131" i="40"/>
  <c r="O130" i="40"/>
  <c r="N130" i="40"/>
  <c r="M130" i="40"/>
  <c r="L130" i="40"/>
  <c r="K130" i="40"/>
  <c r="G130" i="40"/>
  <c r="F130" i="40"/>
  <c r="E130" i="40"/>
  <c r="D130" i="40"/>
  <c r="C130" i="40"/>
  <c r="O129" i="40"/>
  <c r="M129" i="40"/>
  <c r="L129" i="40"/>
  <c r="K129" i="40"/>
  <c r="G129" i="40"/>
  <c r="E129" i="40"/>
  <c r="D129" i="40"/>
  <c r="C129" i="40"/>
  <c r="O128" i="40"/>
  <c r="M128" i="40"/>
  <c r="L128" i="40"/>
  <c r="K128" i="40"/>
  <c r="G128" i="40"/>
  <c r="E128" i="40"/>
  <c r="D128" i="40"/>
  <c r="C128" i="40"/>
  <c r="O127" i="40"/>
  <c r="M127" i="40"/>
  <c r="L127" i="40"/>
  <c r="K127" i="40"/>
  <c r="G127" i="40"/>
  <c r="E127" i="40"/>
  <c r="D127" i="40"/>
  <c r="C127" i="40"/>
  <c r="O126" i="40"/>
  <c r="N126" i="40"/>
  <c r="M126" i="40"/>
  <c r="L126" i="40"/>
  <c r="K126" i="40"/>
  <c r="G126" i="40"/>
  <c r="F126" i="40"/>
  <c r="E126" i="40"/>
  <c r="D126" i="40"/>
  <c r="C126" i="40"/>
  <c r="O125" i="40"/>
  <c r="M125" i="40"/>
  <c r="L125" i="40"/>
  <c r="K125" i="40"/>
  <c r="G125" i="40"/>
  <c r="F125" i="40"/>
  <c r="E125" i="40"/>
  <c r="D125" i="40"/>
  <c r="C125" i="40"/>
  <c r="O124" i="40"/>
  <c r="N124" i="40"/>
  <c r="M124" i="40"/>
  <c r="L124" i="40"/>
  <c r="K124" i="40"/>
  <c r="G124" i="40"/>
  <c r="F124" i="40"/>
  <c r="E124" i="40"/>
  <c r="D124" i="40"/>
  <c r="C124" i="40"/>
  <c r="O123" i="40"/>
  <c r="M123" i="40"/>
  <c r="L123" i="40"/>
  <c r="K123" i="40"/>
  <c r="G123" i="40"/>
  <c r="E123" i="40"/>
  <c r="D123" i="40"/>
  <c r="C123" i="40"/>
  <c r="O122" i="40"/>
  <c r="N122" i="40"/>
  <c r="M122" i="40"/>
  <c r="L122" i="40"/>
  <c r="K122" i="40"/>
  <c r="G122" i="40"/>
  <c r="E122" i="40"/>
  <c r="D122" i="40"/>
  <c r="C122" i="40"/>
  <c r="O121" i="40"/>
  <c r="M121" i="40"/>
  <c r="L121" i="40"/>
  <c r="K121" i="40"/>
  <c r="G121" i="40"/>
  <c r="E121" i="40"/>
  <c r="D121" i="40"/>
  <c r="C121" i="40"/>
  <c r="O120" i="40"/>
  <c r="M120" i="40"/>
  <c r="L120" i="40"/>
  <c r="K120" i="40"/>
  <c r="G120" i="40"/>
  <c r="E120" i="40"/>
  <c r="D120" i="40"/>
  <c r="C120" i="40"/>
  <c r="O119" i="40"/>
  <c r="M119" i="40"/>
  <c r="L119" i="40"/>
  <c r="K119" i="40"/>
  <c r="G119" i="40"/>
  <c r="E119" i="40"/>
  <c r="D119" i="40"/>
  <c r="C119" i="40"/>
  <c r="O118" i="40"/>
  <c r="N118" i="40"/>
  <c r="M118" i="40"/>
  <c r="L118" i="40"/>
  <c r="K118" i="40"/>
  <c r="G118" i="40"/>
  <c r="F118" i="40"/>
  <c r="E118" i="40"/>
  <c r="D118" i="40"/>
  <c r="C118" i="40"/>
  <c r="O117" i="40"/>
  <c r="M117" i="40"/>
  <c r="L117" i="40"/>
  <c r="K117" i="40"/>
  <c r="G117" i="40"/>
  <c r="F117" i="40"/>
  <c r="E117" i="40"/>
  <c r="D117" i="40"/>
  <c r="C117" i="40"/>
  <c r="O116" i="40"/>
  <c r="M116" i="40"/>
  <c r="L116" i="40"/>
  <c r="K116" i="40"/>
  <c r="G116" i="40"/>
  <c r="E116" i="40"/>
  <c r="D116" i="40"/>
  <c r="C116" i="40"/>
  <c r="O115" i="40"/>
  <c r="N115" i="40"/>
  <c r="M115" i="40"/>
  <c r="L115" i="40"/>
  <c r="K115" i="40"/>
  <c r="G115" i="40"/>
  <c r="F115" i="40"/>
  <c r="E115" i="40"/>
  <c r="D115" i="40"/>
  <c r="C115" i="40"/>
  <c r="O114" i="40"/>
  <c r="N114" i="40"/>
  <c r="M114" i="40"/>
  <c r="L114" i="40"/>
  <c r="K114" i="40"/>
  <c r="G114" i="40"/>
  <c r="E114" i="40"/>
  <c r="D114" i="40"/>
  <c r="C114" i="40"/>
  <c r="O113" i="40"/>
  <c r="M113" i="40"/>
  <c r="L113" i="40"/>
  <c r="K113" i="40"/>
  <c r="G113" i="40"/>
  <c r="F113" i="40"/>
  <c r="E113" i="40"/>
  <c r="D113" i="40"/>
  <c r="C113" i="40"/>
  <c r="O112" i="40"/>
  <c r="M112" i="40"/>
  <c r="L112" i="40"/>
  <c r="K112" i="40"/>
  <c r="G112" i="40"/>
  <c r="E112" i="40"/>
  <c r="D112" i="40"/>
  <c r="C112" i="40"/>
  <c r="O111" i="40"/>
  <c r="N111" i="40"/>
  <c r="M111" i="40"/>
  <c r="L111" i="40"/>
  <c r="K111" i="40"/>
  <c r="G111" i="40"/>
  <c r="E111" i="40"/>
  <c r="D111" i="40"/>
  <c r="C111" i="40"/>
  <c r="O110" i="40"/>
  <c r="N110" i="40"/>
  <c r="M110" i="40"/>
  <c r="L110" i="40"/>
  <c r="K110" i="40"/>
  <c r="G110" i="40"/>
  <c r="E110" i="40"/>
  <c r="D110" i="40"/>
  <c r="C110" i="40"/>
  <c r="O109" i="40"/>
  <c r="M109" i="40"/>
  <c r="L109" i="40"/>
  <c r="K109" i="40"/>
  <c r="G109" i="40"/>
  <c r="E109" i="40"/>
  <c r="D109" i="40"/>
  <c r="C109" i="40"/>
  <c r="O108" i="40"/>
  <c r="N108" i="40"/>
  <c r="M108" i="40"/>
  <c r="L108" i="40"/>
  <c r="K108" i="40"/>
  <c r="G108" i="40"/>
  <c r="E108" i="40"/>
  <c r="D108" i="40"/>
  <c r="C108" i="40"/>
  <c r="O107" i="40"/>
  <c r="N107" i="40"/>
  <c r="M107" i="40"/>
  <c r="L107" i="40"/>
  <c r="K107" i="40"/>
  <c r="G107" i="40"/>
  <c r="E107" i="40"/>
  <c r="D107" i="40"/>
  <c r="C107" i="40"/>
  <c r="O106" i="40"/>
  <c r="N106" i="40"/>
  <c r="M106" i="40"/>
  <c r="L106" i="40"/>
  <c r="K106" i="40"/>
  <c r="G106" i="40"/>
  <c r="F106" i="40"/>
  <c r="E106" i="40"/>
  <c r="D106" i="40"/>
  <c r="C106" i="40"/>
  <c r="O105" i="40"/>
  <c r="N105" i="40"/>
  <c r="M105" i="40"/>
  <c r="L105" i="40"/>
  <c r="K105" i="40"/>
  <c r="G105" i="40"/>
  <c r="F105" i="40"/>
  <c r="E105" i="40"/>
  <c r="D105" i="40"/>
  <c r="C105" i="40"/>
  <c r="O104" i="40"/>
  <c r="N104" i="40"/>
  <c r="M104" i="40"/>
  <c r="L104" i="40"/>
  <c r="K104" i="40"/>
  <c r="G104" i="40"/>
  <c r="E104" i="40"/>
  <c r="D104" i="40"/>
  <c r="C104" i="40"/>
  <c r="O103" i="40"/>
  <c r="N103" i="40"/>
  <c r="M103" i="40"/>
  <c r="L103" i="40"/>
  <c r="K103" i="40"/>
  <c r="G103" i="40"/>
  <c r="E103" i="40"/>
  <c r="D103" i="40"/>
  <c r="C103" i="40"/>
  <c r="O102" i="40"/>
  <c r="N102" i="40"/>
  <c r="M102" i="40"/>
  <c r="L102" i="40"/>
  <c r="K102" i="40"/>
  <c r="G102" i="40"/>
  <c r="E102" i="40"/>
  <c r="D102" i="40"/>
  <c r="C102" i="40"/>
  <c r="O101" i="40"/>
  <c r="N101" i="40"/>
  <c r="M101" i="40"/>
  <c r="L101" i="40"/>
  <c r="K101" i="40"/>
  <c r="G101" i="40"/>
  <c r="F101" i="40"/>
  <c r="E101" i="40"/>
  <c r="D101" i="40"/>
  <c r="C101" i="40"/>
  <c r="O100" i="40"/>
  <c r="N100" i="40"/>
  <c r="M100" i="40"/>
  <c r="L100" i="40"/>
  <c r="K100" i="40"/>
  <c r="G100" i="40"/>
  <c r="E100" i="40"/>
  <c r="D100" i="40"/>
  <c r="C100" i="40"/>
  <c r="K98" i="40"/>
  <c r="C98" i="40"/>
  <c r="S93" i="40"/>
  <c r="R89" i="40"/>
  <c r="Q89" i="40"/>
  <c r="K89" i="40"/>
  <c r="J89" i="40"/>
  <c r="D89" i="40"/>
  <c r="C89" i="40"/>
  <c r="P88" i="40"/>
  <c r="S87" i="40"/>
  <c r="F193" i="40" s="1"/>
  <c r="S86" i="40"/>
  <c r="F184" i="40" s="1"/>
  <c r="R83" i="40"/>
  <c r="Q83" i="40"/>
  <c r="K83" i="40"/>
  <c r="J83" i="40"/>
  <c r="S81" i="40"/>
  <c r="N153" i="40" s="1"/>
  <c r="L81" i="40"/>
  <c r="N152" i="40" s="1"/>
  <c r="E81" i="40"/>
  <c r="N151" i="40" s="1"/>
  <c r="S80" i="40"/>
  <c r="N144" i="40" s="1"/>
  <c r="L80" i="40"/>
  <c r="S79" i="40"/>
  <c r="L79" i="40"/>
  <c r="S78" i="40"/>
  <c r="L78" i="40"/>
  <c r="N125" i="40" s="1"/>
  <c r="S77" i="40"/>
  <c r="N117" i="40" s="1"/>
  <c r="L77" i="40"/>
  <c r="N116" i="40" s="1"/>
  <c r="R75" i="40"/>
  <c r="Q75" i="40"/>
  <c r="K75" i="40"/>
  <c r="J75" i="40"/>
  <c r="D75" i="40"/>
  <c r="C75" i="40"/>
  <c r="P74" i="40"/>
  <c r="I74" i="40"/>
  <c r="S73" i="40"/>
  <c r="F153" i="40" s="1"/>
  <c r="S72" i="40"/>
  <c r="F144" i="40" s="1"/>
  <c r="L72" i="40"/>
  <c r="F143" i="40" s="1"/>
  <c r="L71" i="40"/>
  <c r="S70" i="40"/>
  <c r="L70" i="40"/>
  <c r="S69" i="40"/>
  <c r="L69" i="40"/>
  <c r="F116" i="40" s="1"/>
  <c r="S68" i="40"/>
  <c r="F108" i="40" s="1"/>
  <c r="L68" i="40"/>
  <c r="F107" i="40" s="1"/>
  <c r="P66" i="40"/>
  <c r="I66" i="40"/>
  <c r="R58" i="40"/>
  <c r="Q58" i="40"/>
  <c r="K58" i="40"/>
  <c r="J58" i="40"/>
  <c r="D58" i="40"/>
  <c r="C58" i="40"/>
  <c r="B57" i="40"/>
  <c r="I57" i="40" s="1"/>
  <c r="P57" i="40" s="1"/>
  <c r="S56" i="40"/>
  <c r="F190" i="40" s="1"/>
  <c r="L56" i="40"/>
  <c r="F189" i="40" s="1"/>
  <c r="E56" i="40"/>
  <c r="F188" i="40" s="1"/>
  <c r="L55" i="40"/>
  <c r="F180" i="40" s="1"/>
  <c r="E55" i="40"/>
  <c r="F179" i="40" s="1"/>
  <c r="E54" i="40"/>
  <c r="F170" i="40" s="1"/>
  <c r="S53" i="40"/>
  <c r="F163" i="40" s="1"/>
  <c r="L53" i="40"/>
  <c r="F162" i="40" s="1"/>
  <c r="E53" i="40"/>
  <c r="F161" i="40" s="1"/>
  <c r="R52" i="40"/>
  <c r="Q52" i="40"/>
  <c r="K52" i="40"/>
  <c r="J52" i="40"/>
  <c r="D52" i="40"/>
  <c r="C52" i="40"/>
  <c r="B51" i="40"/>
  <c r="I51" i="40" s="1"/>
  <c r="P51" i="40" s="1"/>
  <c r="S50" i="40"/>
  <c r="L50" i="40"/>
  <c r="N149" i="40" s="1"/>
  <c r="E50" i="40"/>
  <c r="S49" i="40"/>
  <c r="N141" i="40" s="1"/>
  <c r="L49" i="40"/>
  <c r="E49" i="40"/>
  <c r="S48" i="40"/>
  <c r="N132" i="40" s="1"/>
  <c r="L48" i="40"/>
  <c r="N131" i="40" s="1"/>
  <c r="E48" i="40"/>
  <c r="S47" i="40"/>
  <c r="N123" i="40" s="1"/>
  <c r="L47" i="40"/>
  <c r="E47" i="40"/>
  <c r="N121" i="40" s="1"/>
  <c r="S46" i="40"/>
  <c r="L46" i="40"/>
  <c r="N113" i="40" s="1"/>
  <c r="E46" i="40"/>
  <c r="N112" i="40" s="1"/>
  <c r="R44" i="40"/>
  <c r="Q44" i="40"/>
  <c r="K44" i="40"/>
  <c r="J44" i="40"/>
  <c r="D44" i="40"/>
  <c r="C44" i="40"/>
  <c r="B43" i="40"/>
  <c r="I43" i="40" s="1"/>
  <c r="P43" i="40" s="1"/>
  <c r="S41" i="40"/>
  <c r="F141" i="40" s="1"/>
  <c r="L41" i="40"/>
  <c r="F140" i="40" s="1"/>
  <c r="E41" i="40"/>
  <c r="F139" i="40" s="1"/>
  <c r="S40" i="40"/>
  <c r="F132" i="40" s="1"/>
  <c r="L40" i="40"/>
  <c r="F131" i="40" s="1"/>
  <c r="E40" i="40"/>
  <c r="S39" i="40"/>
  <c r="F123" i="40" s="1"/>
  <c r="L39" i="40"/>
  <c r="F122" i="40" s="1"/>
  <c r="E39" i="40"/>
  <c r="F121" i="40" s="1"/>
  <c r="S38" i="40"/>
  <c r="F114" i="40" s="1"/>
  <c r="L38" i="40"/>
  <c r="E38" i="40"/>
  <c r="F112" i="40" s="1"/>
  <c r="S37" i="40"/>
  <c r="L37" i="40"/>
  <c r="F104" i="40" s="1"/>
  <c r="E37" i="40"/>
  <c r="F103" i="40" s="1"/>
  <c r="B35" i="40"/>
  <c r="I35" i="40" s="1"/>
  <c r="P35" i="40" s="1"/>
  <c r="L30" i="40"/>
  <c r="R27" i="40"/>
  <c r="Q27" i="40"/>
  <c r="K27" i="40"/>
  <c r="J27" i="40"/>
  <c r="D27" i="40"/>
  <c r="C27" i="40"/>
  <c r="P26" i="40"/>
  <c r="I26" i="40"/>
  <c r="S25" i="40"/>
  <c r="F187" i="40" s="1"/>
  <c r="L25" i="40"/>
  <c r="F186" i="40" s="1"/>
  <c r="S24" i="40"/>
  <c r="F178" i="40" s="1"/>
  <c r="L24" i="40"/>
  <c r="F177" i="40" s="1"/>
  <c r="L23" i="40"/>
  <c r="L22" i="40"/>
  <c r="F159" i="40" s="1"/>
  <c r="R21" i="40"/>
  <c r="Q21" i="40"/>
  <c r="K21" i="40"/>
  <c r="J21" i="40"/>
  <c r="P20" i="40"/>
  <c r="I20" i="40"/>
  <c r="S19" i="40"/>
  <c r="N147" i="40" s="1"/>
  <c r="L19" i="40"/>
  <c r="E19" i="40"/>
  <c r="N145" i="40" s="1"/>
  <c r="S18" i="40"/>
  <c r="L18" i="40"/>
  <c r="N137" i="40" s="1"/>
  <c r="E18" i="40"/>
  <c r="S17" i="40"/>
  <c r="N129" i="40" s="1"/>
  <c r="L17" i="40"/>
  <c r="N128" i="40" s="1"/>
  <c r="E17" i="40"/>
  <c r="N127" i="40" s="1"/>
  <c r="S16" i="40"/>
  <c r="N120" i="40" s="1"/>
  <c r="L16" i="40"/>
  <c r="N119" i="40" s="1"/>
  <c r="E16" i="40"/>
  <c r="S15" i="40"/>
  <c r="E15" i="40"/>
  <c r="N109" i="40" s="1"/>
  <c r="R13" i="40"/>
  <c r="Q13" i="40"/>
  <c r="K13" i="40"/>
  <c r="J13" i="40"/>
  <c r="D13" i="40"/>
  <c r="C13" i="40"/>
  <c r="P12" i="40"/>
  <c r="I12" i="40"/>
  <c r="S10" i="40"/>
  <c r="L10" i="40"/>
  <c r="E10" i="40"/>
  <c r="F136" i="40" s="1"/>
  <c r="S9" i="40"/>
  <c r="F129" i="40" s="1"/>
  <c r="L9" i="40"/>
  <c r="F128" i="40" s="1"/>
  <c r="E9" i="40"/>
  <c r="F127" i="40" s="1"/>
  <c r="S8" i="40"/>
  <c r="F120" i="40" s="1"/>
  <c r="L8" i="40"/>
  <c r="F119" i="40" s="1"/>
  <c r="E8" i="40"/>
  <c r="S7" i="40"/>
  <c r="F111" i="40" s="1"/>
  <c r="L7" i="40"/>
  <c r="F110" i="40" s="1"/>
  <c r="E7" i="40"/>
  <c r="F109" i="40" s="1"/>
  <c r="S6" i="40"/>
  <c r="F102" i="40" s="1"/>
  <c r="L6" i="40"/>
  <c r="E6" i="40"/>
  <c r="F100" i="40" s="1"/>
  <c r="P4" i="40"/>
  <c r="I4" i="40"/>
  <c r="M234" i="40" l="1"/>
  <c r="M244" i="40" s="1"/>
  <c r="B52" i="3" s="1"/>
  <c r="A195" i="40"/>
  <c r="B195" i="40"/>
  <c r="C198" i="40" l="1"/>
  <c r="C206" i="40" s="1"/>
  <c r="C214" i="40" s="1"/>
  <c r="C220" i="40" s="1"/>
  <c r="B198" i="40"/>
  <c r="B206" i="40" s="1"/>
  <c r="B214" i="40" s="1"/>
  <c r="B220" i="40" s="1"/>
  <c r="C224" i="40"/>
  <c r="E222" i="40"/>
  <c r="B221" i="40"/>
  <c r="B218" i="40"/>
  <c r="D216" i="40"/>
  <c r="A215" i="40"/>
  <c r="A212" i="40"/>
  <c r="C210" i="40"/>
  <c r="E208" i="40"/>
  <c r="B207" i="40"/>
  <c r="B204" i="40"/>
  <c r="D201" i="40"/>
  <c r="B200" i="40"/>
  <c r="C211" i="40"/>
  <c r="B211" i="40"/>
  <c r="D203" i="40"/>
  <c r="C207" i="40"/>
  <c r="B224" i="40"/>
  <c r="D222" i="40"/>
  <c r="A221" i="40"/>
  <c r="A218" i="40"/>
  <c r="C216" i="40"/>
  <c r="E211" i="40"/>
  <c r="B210" i="40"/>
  <c r="D208" i="40"/>
  <c r="A207" i="40"/>
  <c r="A204" i="40"/>
  <c r="E202" i="40"/>
  <c r="C201" i="40"/>
  <c r="A200" i="40"/>
  <c r="E209" i="40"/>
  <c r="A222" i="40"/>
  <c r="C217" i="40"/>
  <c r="E212" i="40"/>
  <c r="A208" i="40"/>
  <c r="B202" i="40"/>
  <c r="D199" i="40"/>
  <c r="B217" i="40"/>
  <c r="A211" i="40"/>
  <c r="E204" i="40"/>
  <c r="E200" i="40"/>
  <c r="D218" i="40"/>
  <c r="D207" i="40"/>
  <c r="B199" i="40"/>
  <c r="E216" i="40"/>
  <c r="C200" i="40"/>
  <c r="A224" i="40"/>
  <c r="C222" i="40"/>
  <c r="E217" i="40"/>
  <c r="B216" i="40"/>
  <c r="D211" i="40"/>
  <c r="A210" i="40"/>
  <c r="C208" i="40"/>
  <c r="D202" i="40"/>
  <c r="B201" i="40"/>
  <c r="E223" i="40"/>
  <c r="B222" i="40"/>
  <c r="D217" i="40"/>
  <c r="A216" i="40"/>
  <c r="B208" i="40"/>
  <c r="E203" i="40"/>
  <c r="C202" i="40"/>
  <c r="A201" i="40"/>
  <c r="E199" i="40"/>
  <c r="D223" i="40"/>
  <c r="E215" i="40"/>
  <c r="D209" i="40"/>
  <c r="E221" i="40"/>
  <c r="E218" i="40"/>
  <c r="D215" i="40"/>
  <c r="D212" i="40"/>
  <c r="C209" i="40"/>
  <c r="E207" i="40"/>
  <c r="A202" i="40"/>
  <c r="C199" i="40"/>
  <c r="E224" i="40"/>
  <c r="C215" i="40"/>
  <c r="E210" i="40"/>
  <c r="D204" i="40"/>
  <c r="D224" i="40"/>
  <c r="C221" i="40"/>
  <c r="C218" i="40"/>
  <c r="B215" i="40"/>
  <c r="D210" i="40"/>
  <c r="A203" i="40"/>
  <c r="A199" i="40"/>
  <c r="C223" i="40"/>
  <c r="C203" i="40"/>
  <c r="B223" i="40"/>
  <c r="D221" i="40"/>
  <c r="A217" i="40"/>
  <c r="C212" i="40"/>
  <c r="B209" i="40"/>
  <c r="B203" i="40"/>
  <c r="D200" i="40"/>
  <c r="A223" i="40"/>
  <c r="B212" i="40"/>
  <c r="A209" i="40"/>
  <c r="C204" i="40"/>
  <c r="E201" i="40"/>
  <c r="N203" i="40" s="1"/>
  <c r="E259" i="36" l="1"/>
  <c r="F15" i="23"/>
  <c r="H15" i="23"/>
  <c r="F14" i="23"/>
  <c r="H14" i="23"/>
  <c r="H15" i="22"/>
  <c r="F15" i="22"/>
  <c r="H14" i="22"/>
  <c r="F14" i="22"/>
  <c r="I44" i="23" l="1"/>
  <c r="I45" i="23"/>
  <c r="I33" i="23"/>
  <c r="I34" i="23"/>
  <c r="I35" i="23"/>
  <c r="I36" i="23"/>
  <c r="I37" i="23"/>
  <c r="I38" i="23"/>
  <c r="B45" i="39" l="1"/>
  <c r="B46" i="39" s="1"/>
  <c r="B43" i="39"/>
  <c r="E26" i="39"/>
  <c r="D20" i="39"/>
  <c r="A17" i="39"/>
  <c r="D12" i="39"/>
  <c r="F11" i="39"/>
  <c r="D11" i="39"/>
  <c r="A2" i="39" l="1"/>
  <c r="B50" i="39" s="1"/>
  <c r="A19" i="39" l="1"/>
  <c r="A20" i="39"/>
  <c r="A22" i="39"/>
  <c r="A21" i="39"/>
  <c r="B50" i="22" l="1"/>
  <c r="B92" i="19" l="1"/>
  <c r="N5" i="10" l="1"/>
  <c r="B6" i="10" s="1"/>
  <c r="M28" i="3"/>
  <c r="J27" i="22" s="1"/>
  <c r="K27" i="23" s="1"/>
  <c r="L349" i="36"/>
  <c r="L348" i="36"/>
  <c r="A357" i="36" s="1"/>
  <c r="J382" i="36"/>
  <c r="I382" i="36"/>
  <c r="J381" i="36"/>
  <c r="I381" i="36"/>
  <c r="J380" i="36"/>
  <c r="I380" i="36"/>
  <c r="J379" i="36"/>
  <c r="I379" i="36"/>
  <c r="J378" i="36"/>
  <c r="I378" i="36"/>
  <c r="J377" i="36"/>
  <c r="I377" i="36"/>
  <c r="J376" i="36"/>
  <c r="I376" i="36"/>
  <c r="J375" i="36"/>
  <c r="I375" i="36"/>
  <c r="J374" i="36"/>
  <c r="I374" i="36"/>
  <c r="J373" i="36"/>
  <c r="I373" i="36"/>
  <c r="J372" i="36"/>
  <c r="I372" i="36"/>
  <c r="J371" i="36"/>
  <c r="I371" i="36"/>
  <c r="J370" i="36"/>
  <c r="I370" i="36"/>
  <c r="J369" i="36"/>
  <c r="I369" i="36"/>
  <c r="J368" i="36"/>
  <c r="I368" i="36"/>
  <c r="J367" i="36"/>
  <c r="I367" i="36"/>
  <c r="J366" i="36"/>
  <c r="I366" i="36"/>
  <c r="J365" i="36"/>
  <c r="I365" i="36"/>
  <c r="J364" i="36"/>
  <c r="I364" i="36"/>
  <c r="A363" i="36"/>
  <c r="A383" i="36" s="1"/>
  <c r="A344" i="36" s="1"/>
  <c r="C352" i="36" s="1"/>
  <c r="N349" i="36"/>
  <c r="N348" i="36"/>
  <c r="L342" i="36"/>
  <c r="K342" i="36"/>
  <c r="J342" i="36"/>
  <c r="E342" i="36"/>
  <c r="D342" i="36"/>
  <c r="C342" i="36"/>
  <c r="K341" i="36"/>
  <c r="J341" i="36"/>
  <c r="D341" i="36"/>
  <c r="C341" i="36"/>
  <c r="L340" i="36"/>
  <c r="K340" i="36"/>
  <c r="J340" i="36"/>
  <c r="E340" i="36"/>
  <c r="D340" i="36"/>
  <c r="C340" i="36"/>
  <c r="L339" i="36"/>
  <c r="K339" i="36"/>
  <c r="J339" i="36"/>
  <c r="E339" i="36"/>
  <c r="D339" i="36"/>
  <c r="C339" i="36"/>
  <c r="L338" i="36"/>
  <c r="K338" i="36"/>
  <c r="J338" i="36"/>
  <c r="E338" i="36"/>
  <c r="D338" i="36"/>
  <c r="C338" i="36"/>
  <c r="L337" i="36"/>
  <c r="K337" i="36"/>
  <c r="J337" i="36"/>
  <c r="E337" i="36"/>
  <c r="D337" i="36"/>
  <c r="C337" i="36"/>
  <c r="L336" i="36"/>
  <c r="K336" i="36"/>
  <c r="J336" i="36"/>
  <c r="E336" i="36"/>
  <c r="D336" i="36"/>
  <c r="C336" i="36"/>
  <c r="L335" i="36"/>
  <c r="K335" i="36"/>
  <c r="J335" i="36"/>
  <c r="E335" i="36"/>
  <c r="D335" i="36"/>
  <c r="C335" i="36"/>
  <c r="L334" i="36"/>
  <c r="K334" i="36"/>
  <c r="J334" i="36"/>
  <c r="E334" i="36"/>
  <c r="D334" i="36"/>
  <c r="C334" i="36"/>
  <c r="L333" i="36"/>
  <c r="K333" i="36"/>
  <c r="J333" i="36"/>
  <c r="E333" i="36"/>
  <c r="D333" i="36"/>
  <c r="C333" i="36"/>
  <c r="L332" i="36"/>
  <c r="K332" i="36"/>
  <c r="J332" i="36"/>
  <c r="E332" i="36"/>
  <c r="D332" i="36"/>
  <c r="C332" i="36"/>
  <c r="K331" i="36"/>
  <c r="J331" i="36"/>
  <c r="D331" i="36"/>
  <c r="C331" i="36"/>
  <c r="K330" i="36"/>
  <c r="J330" i="36"/>
  <c r="D330" i="36"/>
  <c r="C330" i="36"/>
  <c r="L329" i="36"/>
  <c r="K329" i="36"/>
  <c r="J329" i="36"/>
  <c r="E329" i="36"/>
  <c r="D329" i="36"/>
  <c r="C329" i="36"/>
  <c r="L328" i="36"/>
  <c r="K328" i="36"/>
  <c r="J328" i="36"/>
  <c r="E328" i="36"/>
  <c r="D328" i="36"/>
  <c r="C328" i="36"/>
  <c r="K327" i="36"/>
  <c r="J327" i="36"/>
  <c r="D327" i="36"/>
  <c r="C327" i="36"/>
  <c r="K326" i="36"/>
  <c r="J326" i="36"/>
  <c r="D326" i="36"/>
  <c r="C326" i="36"/>
  <c r="K325" i="36"/>
  <c r="J325" i="36"/>
  <c r="D325" i="36"/>
  <c r="C325" i="36"/>
  <c r="L324" i="36"/>
  <c r="K324" i="36"/>
  <c r="J324" i="36"/>
  <c r="E324" i="36"/>
  <c r="D324" i="36"/>
  <c r="C324" i="36"/>
  <c r="L322" i="36"/>
  <c r="K322" i="36"/>
  <c r="J322" i="36"/>
  <c r="E322" i="36"/>
  <c r="D322" i="36"/>
  <c r="C322" i="36"/>
  <c r="K321" i="36"/>
  <c r="J321" i="36"/>
  <c r="D321" i="36"/>
  <c r="C321" i="36"/>
  <c r="L320" i="36"/>
  <c r="K320" i="36"/>
  <c r="J320" i="36"/>
  <c r="E320" i="36"/>
  <c r="D320" i="36"/>
  <c r="C320" i="36"/>
  <c r="L319" i="36"/>
  <c r="K319" i="36"/>
  <c r="J319" i="36"/>
  <c r="E319" i="36"/>
  <c r="D319" i="36"/>
  <c r="C319" i="36"/>
  <c r="L318" i="36"/>
  <c r="K318" i="36"/>
  <c r="J318" i="36"/>
  <c r="E318" i="36"/>
  <c r="D318" i="36"/>
  <c r="C318" i="36"/>
  <c r="L317" i="36"/>
  <c r="K317" i="36"/>
  <c r="J317" i="36"/>
  <c r="E317" i="36"/>
  <c r="D317" i="36"/>
  <c r="C317" i="36"/>
  <c r="L316" i="36"/>
  <c r="K316" i="36"/>
  <c r="J316" i="36"/>
  <c r="E316" i="36"/>
  <c r="D316" i="36"/>
  <c r="C316" i="36"/>
  <c r="L315" i="36"/>
  <c r="K315" i="36"/>
  <c r="J315" i="36"/>
  <c r="E315" i="36"/>
  <c r="D315" i="36"/>
  <c r="C315" i="36"/>
  <c r="L314" i="36"/>
  <c r="K314" i="36"/>
  <c r="J314" i="36"/>
  <c r="E314" i="36"/>
  <c r="D314" i="36"/>
  <c r="C314" i="36"/>
  <c r="L313" i="36"/>
  <c r="K313" i="36"/>
  <c r="J313" i="36"/>
  <c r="E313" i="36"/>
  <c r="D313" i="36"/>
  <c r="C313" i="36"/>
  <c r="L312" i="36"/>
  <c r="K312" i="36"/>
  <c r="J312" i="36"/>
  <c r="E312" i="36"/>
  <c r="D312" i="36"/>
  <c r="C312" i="36"/>
  <c r="K311" i="36"/>
  <c r="J311" i="36"/>
  <c r="D311" i="36"/>
  <c r="C311" i="36"/>
  <c r="K310" i="36"/>
  <c r="J310" i="36"/>
  <c r="D310" i="36"/>
  <c r="C310" i="36"/>
  <c r="L309" i="36"/>
  <c r="K309" i="36"/>
  <c r="J309" i="36"/>
  <c r="E309" i="36"/>
  <c r="D309" i="36"/>
  <c r="C309" i="36"/>
  <c r="L308" i="36"/>
  <c r="K308" i="36"/>
  <c r="J308" i="36"/>
  <c r="E308" i="36"/>
  <c r="D308" i="36"/>
  <c r="C308" i="36"/>
  <c r="K307" i="36"/>
  <c r="J307" i="36"/>
  <c r="D307" i="36"/>
  <c r="C307" i="36"/>
  <c r="K306" i="36"/>
  <c r="J306" i="36"/>
  <c r="D306" i="36"/>
  <c r="C306" i="36"/>
  <c r="K305" i="36"/>
  <c r="J305" i="36"/>
  <c r="D305" i="36"/>
  <c r="C305" i="36"/>
  <c r="L304" i="36"/>
  <c r="K304" i="36"/>
  <c r="J304" i="36"/>
  <c r="E304" i="36"/>
  <c r="D304" i="36"/>
  <c r="C304" i="36"/>
  <c r="L302" i="36"/>
  <c r="K302" i="36"/>
  <c r="J302" i="36"/>
  <c r="E302" i="36"/>
  <c r="D302" i="36"/>
  <c r="C302" i="36"/>
  <c r="K301" i="36"/>
  <c r="J301" i="36"/>
  <c r="D301" i="36"/>
  <c r="C301" i="36"/>
  <c r="L300" i="36"/>
  <c r="K300" i="36"/>
  <c r="J300" i="36"/>
  <c r="E300" i="36"/>
  <c r="D300" i="36"/>
  <c r="C300" i="36"/>
  <c r="L299" i="36"/>
  <c r="K299" i="36"/>
  <c r="J299" i="36"/>
  <c r="E299" i="36"/>
  <c r="D299" i="36"/>
  <c r="C299" i="36"/>
  <c r="L298" i="36"/>
  <c r="K298" i="36"/>
  <c r="J298" i="36"/>
  <c r="E298" i="36"/>
  <c r="D298" i="36"/>
  <c r="C298" i="36"/>
  <c r="L297" i="36"/>
  <c r="K297" i="36"/>
  <c r="J297" i="36"/>
  <c r="E297" i="36"/>
  <c r="D297" i="36"/>
  <c r="C297" i="36"/>
  <c r="L296" i="36"/>
  <c r="K296" i="36"/>
  <c r="J296" i="36"/>
  <c r="E296" i="36"/>
  <c r="D296" i="36"/>
  <c r="C296" i="36"/>
  <c r="L295" i="36"/>
  <c r="K295" i="36"/>
  <c r="J295" i="36"/>
  <c r="E295" i="36"/>
  <c r="D295" i="36"/>
  <c r="C295" i="36"/>
  <c r="L294" i="36"/>
  <c r="K294" i="36"/>
  <c r="J294" i="36"/>
  <c r="E294" i="36"/>
  <c r="D294" i="36"/>
  <c r="C294" i="36"/>
  <c r="L293" i="36"/>
  <c r="K293" i="36"/>
  <c r="J293" i="36"/>
  <c r="E293" i="36"/>
  <c r="D293" i="36"/>
  <c r="C293" i="36"/>
  <c r="L292" i="36"/>
  <c r="K292" i="36"/>
  <c r="J292" i="36"/>
  <c r="E292" i="36"/>
  <c r="D292" i="36"/>
  <c r="C292" i="36"/>
  <c r="K291" i="36"/>
  <c r="J291" i="36"/>
  <c r="D291" i="36"/>
  <c r="C291" i="36"/>
  <c r="K290" i="36"/>
  <c r="J290" i="36"/>
  <c r="D290" i="36"/>
  <c r="C290" i="36"/>
  <c r="L289" i="36"/>
  <c r="K289" i="36"/>
  <c r="J289" i="36"/>
  <c r="E289" i="36"/>
  <c r="D289" i="36"/>
  <c r="C289" i="36"/>
  <c r="L288" i="36"/>
  <c r="K288" i="36"/>
  <c r="J288" i="36"/>
  <c r="E288" i="36"/>
  <c r="D288" i="36"/>
  <c r="C288" i="36"/>
  <c r="K287" i="36"/>
  <c r="J287" i="36"/>
  <c r="D287" i="36"/>
  <c r="C287" i="36"/>
  <c r="K286" i="36"/>
  <c r="J286" i="36"/>
  <c r="D286" i="36"/>
  <c r="C286" i="36"/>
  <c r="K285" i="36"/>
  <c r="J285" i="36"/>
  <c r="D285" i="36"/>
  <c r="C285" i="36"/>
  <c r="K284" i="36"/>
  <c r="J284" i="36"/>
  <c r="E284" i="36"/>
  <c r="D284" i="36"/>
  <c r="C284" i="36"/>
  <c r="L282" i="36"/>
  <c r="K282" i="36"/>
  <c r="J282" i="36"/>
  <c r="E282" i="36"/>
  <c r="D282" i="36"/>
  <c r="C282" i="36"/>
  <c r="K281" i="36"/>
  <c r="J281" i="36"/>
  <c r="D281" i="36"/>
  <c r="C281" i="36"/>
  <c r="L280" i="36"/>
  <c r="K280" i="36"/>
  <c r="J280" i="36"/>
  <c r="E280" i="36"/>
  <c r="D280" i="36"/>
  <c r="C280" i="36"/>
  <c r="L279" i="36"/>
  <c r="K279" i="36"/>
  <c r="J279" i="36"/>
  <c r="E279" i="36"/>
  <c r="D279" i="36"/>
  <c r="C279" i="36"/>
  <c r="M278" i="36"/>
  <c r="L278" i="36"/>
  <c r="K278" i="36"/>
  <c r="J278" i="36"/>
  <c r="E278" i="36"/>
  <c r="D278" i="36"/>
  <c r="C278" i="36"/>
  <c r="L277" i="36"/>
  <c r="K277" i="36"/>
  <c r="J277" i="36"/>
  <c r="E277" i="36"/>
  <c r="D277" i="36"/>
  <c r="C277" i="36"/>
  <c r="M276" i="36"/>
  <c r="L276" i="36"/>
  <c r="K276" i="36"/>
  <c r="J276" i="36"/>
  <c r="E276" i="36"/>
  <c r="D276" i="36"/>
  <c r="C276" i="36"/>
  <c r="L275" i="36"/>
  <c r="K275" i="36"/>
  <c r="J275" i="36"/>
  <c r="E275" i="36"/>
  <c r="D275" i="36"/>
  <c r="C275" i="36"/>
  <c r="L274" i="36"/>
  <c r="K274" i="36"/>
  <c r="J274" i="36"/>
  <c r="E274" i="36"/>
  <c r="D274" i="36"/>
  <c r="C274" i="36"/>
  <c r="L273" i="36"/>
  <c r="K273" i="36"/>
  <c r="J273" i="36"/>
  <c r="E273" i="36"/>
  <c r="D273" i="36"/>
  <c r="C273" i="36"/>
  <c r="L272" i="36"/>
  <c r="K272" i="36"/>
  <c r="J272" i="36"/>
  <c r="E272" i="36"/>
  <c r="D272" i="36"/>
  <c r="C272" i="36"/>
  <c r="K271" i="36"/>
  <c r="J271" i="36"/>
  <c r="D271" i="36"/>
  <c r="C271" i="36"/>
  <c r="M270" i="36"/>
  <c r="K270" i="36"/>
  <c r="J270" i="36"/>
  <c r="D270" i="36"/>
  <c r="C270" i="36"/>
  <c r="L269" i="36"/>
  <c r="K269" i="36"/>
  <c r="J269" i="36"/>
  <c r="E269" i="36"/>
  <c r="D269" i="36"/>
  <c r="C269" i="36"/>
  <c r="M268" i="36"/>
  <c r="L268" i="36"/>
  <c r="K268" i="36"/>
  <c r="J268" i="36"/>
  <c r="E268" i="36"/>
  <c r="D268" i="36"/>
  <c r="C268" i="36"/>
  <c r="K267" i="36"/>
  <c r="J267" i="36"/>
  <c r="D267" i="36"/>
  <c r="C267" i="36"/>
  <c r="K266" i="36"/>
  <c r="J266" i="36"/>
  <c r="D266" i="36"/>
  <c r="C266" i="36"/>
  <c r="K265" i="36"/>
  <c r="J265" i="36"/>
  <c r="F265" i="36"/>
  <c r="D265" i="36"/>
  <c r="C265" i="36"/>
  <c r="L264" i="36"/>
  <c r="K264" i="36"/>
  <c r="J264" i="36"/>
  <c r="F264" i="36"/>
  <c r="E264" i="36"/>
  <c r="D264" i="36"/>
  <c r="C264" i="36"/>
  <c r="L262" i="36"/>
  <c r="K262" i="36"/>
  <c r="J262" i="36"/>
  <c r="F262" i="36"/>
  <c r="E262" i="36"/>
  <c r="D262" i="36"/>
  <c r="C262" i="36"/>
  <c r="K261" i="36"/>
  <c r="J261" i="36"/>
  <c r="F261" i="36"/>
  <c r="D261" i="36"/>
  <c r="C261" i="36"/>
  <c r="L260" i="36"/>
  <c r="K260" i="36"/>
  <c r="J260" i="36"/>
  <c r="F260" i="36"/>
  <c r="E260" i="36"/>
  <c r="D260" i="36"/>
  <c r="C260" i="36"/>
  <c r="L259" i="36"/>
  <c r="K259" i="36"/>
  <c r="J259" i="36"/>
  <c r="F259" i="36"/>
  <c r="D259" i="36"/>
  <c r="C259" i="36"/>
  <c r="L258" i="36"/>
  <c r="K258" i="36"/>
  <c r="J258" i="36"/>
  <c r="E258" i="36"/>
  <c r="D258" i="36"/>
  <c r="C258" i="36"/>
  <c r="L257" i="36"/>
  <c r="K257" i="36"/>
  <c r="J257" i="36"/>
  <c r="F257" i="36"/>
  <c r="E257" i="36"/>
  <c r="D257" i="36"/>
  <c r="C257" i="36"/>
  <c r="L256" i="36"/>
  <c r="K256" i="36"/>
  <c r="J256" i="36"/>
  <c r="E256" i="36"/>
  <c r="D256" i="36"/>
  <c r="C256" i="36"/>
  <c r="L255" i="36"/>
  <c r="K255" i="36"/>
  <c r="J255" i="36"/>
  <c r="F255" i="36"/>
  <c r="E255" i="36"/>
  <c r="D255" i="36"/>
  <c r="C255" i="36"/>
  <c r="L254" i="36"/>
  <c r="K254" i="36"/>
  <c r="J254" i="36"/>
  <c r="F254" i="36"/>
  <c r="E254" i="36"/>
  <c r="D254" i="36"/>
  <c r="C254" i="36"/>
  <c r="L253" i="36"/>
  <c r="K253" i="36"/>
  <c r="J253" i="36"/>
  <c r="F253" i="36"/>
  <c r="E253" i="36"/>
  <c r="D253" i="36"/>
  <c r="C253" i="36"/>
  <c r="L252" i="36"/>
  <c r="K252" i="36"/>
  <c r="J252" i="36"/>
  <c r="F252" i="36"/>
  <c r="E252" i="36"/>
  <c r="D252" i="36"/>
  <c r="C252" i="36"/>
  <c r="K251" i="36"/>
  <c r="J251" i="36"/>
  <c r="D251" i="36"/>
  <c r="C251" i="36"/>
  <c r="K250" i="36"/>
  <c r="J250" i="36"/>
  <c r="D250" i="36"/>
  <c r="C250" i="36"/>
  <c r="L249" i="36"/>
  <c r="K249" i="36"/>
  <c r="J249" i="36"/>
  <c r="F249" i="36"/>
  <c r="E249" i="36"/>
  <c r="D249" i="36"/>
  <c r="C249" i="36"/>
  <c r="L248" i="36"/>
  <c r="K248" i="36"/>
  <c r="J248" i="36"/>
  <c r="E248" i="36"/>
  <c r="D248" i="36"/>
  <c r="C248" i="36"/>
  <c r="K247" i="36"/>
  <c r="J247" i="36"/>
  <c r="F247" i="36"/>
  <c r="D247" i="36"/>
  <c r="C247" i="36"/>
  <c r="K246" i="36"/>
  <c r="J246" i="36"/>
  <c r="F246" i="36"/>
  <c r="D246" i="36"/>
  <c r="C246" i="36"/>
  <c r="K245" i="36"/>
  <c r="J245" i="36"/>
  <c r="F245" i="36"/>
  <c r="D245" i="36"/>
  <c r="C245" i="36"/>
  <c r="L244" i="36"/>
  <c r="K244" i="36"/>
  <c r="J244" i="36"/>
  <c r="E244" i="36"/>
  <c r="D244" i="36"/>
  <c r="C244" i="36"/>
  <c r="L242" i="36"/>
  <c r="K242" i="36"/>
  <c r="J242" i="36"/>
  <c r="E242" i="36"/>
  <c r="D242" i="36"/>
  <c r="C242" i="36"/>
  <c r="K241" i="36"/>
  <c r="J241" i="36"/>
  <c r="F241" i="36"/>
  <c r="D241" i="36"/>
  <c r="C241" i="36"/>
  <c r="L240" i="36"/>
  <c r="K240" i="36"/>
  <c r="J240" i="36"/>
  <c r="E240" i="36"/>
  <c r="D240" i="36"/>
  <c r="C240" i="36"/>
  <c r="L239" i="36"/>
  <c r="K239" i="36"/>
  <c r="J239" i="36"/>
  <c r="F239" i="36"/>
  <c r="E239" i="36"/>
  <c r="D239" i="36"/>
  <c r="C239" i="36"/>
  <c r="L238" i="36"/>
  <c r="K238" i="36"/>
  <c r="J238" i="36"/>
  <c r="E238" i="36"/>
  <c r="D238" i="36"/>
  <c r="C238" i="36"/>
  <c r="L237" i="36"/>
  <c r="K237" i="36"/>
  <c r="J237" i="36"/>
  <c r="F237" i="36"/>
  <c r="E237" i="36"/>
  <c r="D237" i="36"/>
  <c r="C237" i="36"/>
  <c r="L236" i="36"/>
  <c r="K236" i="36"/>
  <c r="J236" i="36"/>
  <c r="F236" i="36"/>
  <c r="E236" i="36"/>
  <c r="D236" i="36"/>
  <c r="C236" i="36"/>
  <c r="L235" i="36"/>
  <c r="K235" i="36"/>
  <c r="J235" i="36"/>
  <c r="F235" i="36"/>
  <c r="E235" i="36"/>
  <c r="D235" i="36"/>
  <c r="C235" i="36"/>
  <c r="L234" i="36"/>
  <c r="K234" i="36"/>
  <c r="J234" i="36"/>
  <c r="F234" i="36"/>
  <c r="E234" i="36"/>
  <c r="D234" i="36"/>
  <c r="C234" i="36"/>
  <c r="L233" i="36"/>
  <c r="K233" i="36"/>
  <c r="J233" i="36"/>
  <c r="F233" i="36"/>
  <c r="E233" i="36"/>
  <c r="D233" i="36"/>
  <c r="C233" i="36"/>
  <c r="L232" i="36"/>
  <c r="K232" i="36"/>
  <c r="J232" i="36"/>
  <c r="E232" i="36"/>
  <c r="D232" i="36"/>
  <c r="C232" i="36"/>
  <c r="K231" i="36"/>
  <c r="J231" i="36"/>
  <c r="F231" i="36"/>
  <c r="D231" i="36"/>
  <c r="C231" i="36"/>
  <c r="K230" i="36"/>
  <c r="J230" i="36"/>
  <c r="D230" i="36"/>
  <c r="C230" i="36"/>
  <c r="L229" i="36"/>
  <c r="K229" i="36"/>
  <c r="J229" i="36"/>
  <c r="F229" i="36"/>
  <c r="E229" i="36"/>
  <c r="D229" i="36"/>
  <c r="C229" i="36"/>
  <c r="L228" i="36"/>
  <c r="K228" i="36"/>
  <c r="J228" i="36"/>
  <c r="F228" i="36"/>
  <c r="E228" i="36"/>
  <c r="D228" i="36"/>
  <c r="C228" i="36"/>
  <c r="K227" i="36"/>
  <c r="J227" i="36"/>
  <c r="F227" i="36"/>
  <c r="D227" i="36"/>
  <c r="C227" i="36"/>
  <c r="K226" i="36"/>
  <c r="J226" i="36"/>
  <c r="F226" i="36"/>
  <c r="D226" i="36"/>
  <c r="C226" i="36"/>
  <c r="K225" i="36"/>
  <c r="J225" i="36"/>
  <c r="F225" i="36"/>
  <c r="D225" i="36"/>
  <c r="C225" i="36"/>
  <c r="L224" i="36"/>
  <c r="K224" i="36"/>
  <c r="J224" i="36"/>
  <c r="F224" i="36"/>
  <c r="E224" i="36"/>
  <c r="D224" i="36"/>
  <c r="C224" i="36"/>
  <c r="L222" i="36"/>
  <c r="K222" i="36"/>
  <c r="J222" i="36"/>
  <c r="F222" i="36"/>
  <c r="E222" i="36"/>
  <c r="D222" i="36"/>
  <c r="C222" i="36"/>
  <c r="Q221" i="36"/>
  <c r="P221" i="36"/>
  <c r="K221" i="36"/>
  <c r="J221" i="36"/>
  <c r="D221" i="36"/>
  <c r="C221" i="36"/>
  <c r="Q220" i="36"/>
  <c r="P220" i="36"/>
  <c r="M220" i="36"/>
  <c r="L220" i="36"/>
  <c r="K220" i="36"/>
  <c r="J220" i="36"/>
  <c r="E220" i="36"/>
  <c r="D220" i="36"/>
  <c r="C220" i="36"/>
  <c r="Q219" i="36"/>
  <c r="P219" i="36"/>
  <c r="L219" i="36"/>
  <c r="K219" i="36"/>
  <c r="J219" i="36"/>
  <c r="F219" i="36"/>
  <c r="E219" i="36"/>
  <c r="D219" i="36"/>
  <c r="C219" i="36"/>
  <c r="Q218" i="36"/>
  <c r="P218" i="36"/>
  <c r="M218" i="36"/>
  <c r="L218" i="36"/>
  <c r="K218" i="36"/>
  <c r="J218" i="36"/>
  <c r="F218" i="36"/>
  <c r="E218" i="36"/>
  <c r="D218" i="36"/>
  <c r="C218" i="36"/>
  <c r="Q217" i="36"/>
  <c r="P217" i="36"/>
  <c r="M217" i="36"/>
  <c r="L217" i="36"/>
  <c r="K217" i="36"/>
  <c r="J217" i="36"/>
  <c r="E217" i="36"/>
  <c r="D217" i="36"/>
  <c r="C217" i="36"/>
  <c r="Q216" i="36"/>
  <c r="P216" i="36"/>
  <c r="M216" i="36"/>
  <c r="L216" i="36"/>
  <c r="K216" i="36"/>
  <c r="J216" i="36"/>
  <c r="E216" i="36"/>
  <c r="D216" i="36"/>
  <c r="C216" i="36"/>
  <c r="Q215" i="36"/>
  <c r="P215" i="36"/>
  <c r="L215" i="36"/>
  <c r="K215" i="36"/>
  <c r="J215" i="36"/>
  <c r="F215" i="36"/>
  <c r="E215" i="36"/>
  <c r="D215" i="36"/>
  <c r="C215" i="36"/>
  <c r="Q214" i="36"/>
  <c r="P214" i="36"/>
  <c r="L214" i="36"/>
  <c r="K214" i="36"/>
  <c r="J214" i="36"/>
  <c r="E214" i="36"/>
  <c r="D214" i="36"/>
  <c r="C214" i="36"/>
  <c r="Q213" i="36"/>
  <c r="P213" i="36"/>
  <c r="L213" i="36"/>
  <c r="K213" i="36"/>
  <c r="J213" i="36"/>
  <c r="E213" i="36"/>
  <c r="D213" i="36"/>
  <c r="C213" i="36"/>
  <c r="Q212" i="36"/>
  <c r="P212" i="36"/>
  <c r="M212" i="36"/>
  <c r="L212" i="36"/>
  <c r="K212" i="36"/>
  <c r="J212" i="36"/>
  <c r="E212" i="36"/>
  <c r="D212" i="36"/>
  <c r="C212" i="36"/>
  <c r="Q211" i="36"/>
  <c r="P211" i="36"/>
  <c r="K211" i="36"/>
  <c r="J211" i="36"/>
  <c r="F211" i="36"/>
  <c r="D211" i="36"/>
  <c r="C211" i="36"/>
  <c r="Q210" i="36"/>
  <c r="P210" i="36"/>
  <c r="K210" i="36"/>
  <c r="J210" i="36"/>
  <c r="F210" i="36"/>
  <c r="D210" i="36"/>
  <c r="C210" i="36"/>
  <c r="Q209" i="36"/>
  <c r="P209" i="36"/>
  <c r="M209" i="36"/>
  <c r="L209" i="36"/>
  <c r="K209" i="36"/>
  <c r="J209" i="36"/>
  <c r="E209" i="36"/>
  <c r="D209" i="36"/>
  <c r="C209" i="36"/>
  <c r="Q208" i="36"/>
  <c r="P208" i="36"/>
  <c r="M208" i="36"/>
  <c r="L208" i="36"/>
  <c r="K208" i="36"/>
  <c r="J208" i="36"/>
  <c r="E208" i="36"/>
  <c r="D208" i="36"/>
  <c r="C208" i="36"/>
  <c r="Q207" i="36"/>
  <c r="P207" i="36"/>
  <c r="K207" i="36"/>
  <c r="J207" i="36"/>
  <c r="F207" i="36"/>
  <c r="D207" i="36"/>
  <c r="C207" i="36"/>
  <c r="Q206" i="36"/>
  <c r="P206" i="36"/>
  <c r="K206" i="36"/>
  <c r="J206" i="36"/>
  <c r="D206" i="36"/>
  <c r="C206" i="36"/>
  <c r="Q205" i="36"/>
  <c r="P205" i="36"/>
  <c r="K205" i="36"/>
  <c r="J205" i="36"/>
  <c r="D205" i="36"/>
  <c r="C205" i="36"/>
  <c r="Q204" i="36"/>
  <c r="P204" i="36"/>
  <c r="M204" i="36"/>
  <c r="L204" i="36"/>
  <c r="K204" i="36"/>
  <c r="J204" i="36"/>
  <c r="E204" i="36"/>
  <c r="D204" i="36"/>
  <c r="C204" i="36"/>
  <c r="Q203" i="36"/>
  <c r="P203" i="36"/>
  <c r="L198" i="36"/>
  <c r="M341" i="36" s="1"/>
  <c r="F198" i="36"/>
  <c r="F341" i="36" s="1"/>
  <c r="L197" i="36"/>
  <c r="M321" i="36" s="1"/>
  <c r="F197" i="36"/>
  <c r="F321" i="36" s="1"/>
  <c r="L196" i="36"/>
  <c r="M301" i="36" s="1"/>
  <c r="F196" i="36"/>
  <c r="F301" i="36" s="1"/>
  <c r="L195" i="36"/>
  <c r="M281" i="36" s="1"/>
  <c r="F195" i="36"/>
  <c r="F281" i="36" s="1"/>
  <c r="L194" i="36"/>
  <c r="M261" i="36" s="1"/>
  <c r="F194" i="36"/>
  <c r="L193" i="36"/>
  <c r="M241" i="36" s="1"/>
  <c r="F193" i="36"/>
  <c r="L192" i="36"/>
  <c r="M221" i="36" s="1"/>
  <c r="F192" i="36"/>
  <c r="F221" i="36" s="1"/>
  <c r="K191" i="36"/>
  <c r="J191" i="36"/>
  <c r="H189" i="36"/>
  <c r="L187" i="36"/>
  <c r="M340" i="36" s="1"/>
  <c r="F187" i="36"/>
  <c r="F340" i="36" s="1"/>
  <c r="L186" i="36"/>
  <c r="M320" i="36" s="1"/>
  <c r="F186" i="36"/>
  <c r="F320" i="36" s="1"/>
  <c r="L185" i="36"/>
  <c r="M300" i="36" s="1"/>
  <c r="F185" i="36"/>
  <c r="F300" i="36" s="1"/>
  <c r="L184" i="36"/>
  <c r="M280" i="36" s="1"/>
  <c r="F184" i="36"/>
  <c r="F280" i="36" s="1"/>
  <c r="L183" i="36"/>
  <c r="M260" i="36" s="1"/>
  <c r="F183" i="36"/>
  <c r="L182" i="36"/>
  <c r="M240" i="36" s="1"/>
  <c r="F182" i="36"/>
  <c r="F240" i="36" s="1"/>
  <c r="L181" i="36"/>
  <c r="F181" i="36"/>
  <c r="F220" i="36" s="1"/>
  <c r="K180" i="36"/>
  <c r="J180" i="36"/>
  <c r="H178" i="36"/>
  <c r="L176" i="36"/>
  <c r="M339" i="36" s="1"/>
  <c r="F176" i="36"/>
  <c r="F339" i="36" s="1"/>
  <c r="L175" i="36"/>
  <c r="M319" i="36" s="1"/>
  <c r="F175" i="36"/>
  <c r="F319" i="36" s="1"/>
  <c r="L174" i="36"/>
  <c r="M299" i="36" s="1"/>
  <c r="F174" i="36"/>
  <c r="F299" i="36" s="1"/>
  <c r="L173" i="36"/>
  <c r="M279" i="36" s="1"/>
  <c r="F173" i="36"/>
  <c r="F279" i="36" s="1"/>
  <c r="L172" i="36"/>
  <c r="M259" i="36" s="1"/>
  <c r="F172" i="36"/>
  <c r="L171" i="36"/>
  <c r="M239" i="36" s="1"/>
  <c r="F171" i="36"/>
  <c r="L170" i="36"/>
  <c r="M219" i="36" s="1"/>
  <c r="F170" i="36"/>
  <c r="K169" i="36"/>
  <c r="J169" i="36"/>
  <c r="H167" i="36"/>
  <c r="L165" i="36"/>
  <c r="M338" i="36" s="1"/>
  <c r="F165" i="36"/>
  <c r="F338" i="36" s="1"/>
  <c r="L164" i="36"/>
  <c r="M318" i="36" s="1"/>
  <c r="F164" i="36"/>
  <c r="F318" i="36" s="1"/>
  <c r="L163" i="36"/>
  <c r="M298" i="36" s="1"/>
  <c r="F163" i="36"/>
  <c r="F298" i="36" s="1"/>
  <c r="L162" i="36"/>
  <c r="F162" i="36"/>
  <c r="F278" i="36" s="1"/>
  <c r="L161" i="36"/>
  <c r="M258" i="36" s="1"/>
  <c r="F161" i="36"/>
  <c r="F258" i="36" s="1"/>
  <c r="L160" i="36"/>
  <c r="M238" i="36" s="1"/>
  <c r="F160" i="36"/>
  <c r="F238" i="36" s="1"/>
  <c r="L159" i="36"/>
  <c r="F159" i="36"/>
  <c r="K158" i="36"/>
  <c r="J158" i="36"/>
  <c r="H156" i="36"/>
  <c r="L154" i="36"/>
  <c r="M337" i="36" s="1"/>
  <c r="F154" i="36"/>
  <c r="F337" i="36" s="1"/>
  <c r="L153" i="36"/>
  <c r="M317" i="36" s="1"/>
  <c r="F153" i="36"/>
  <c r="F317" i="36" s="1"/>
  <c r="L152" i="36"/>
  <c r="M297" i="36" s="1"/>
  <c r="F152" i="36"/>
  <c r="F297" i="36" s="1"/>
  <c r="L151" i="36"/>
  <c r="M277" i="36" s="1"/>
  <c r="F151" i="36"/>
  <c r="F277" i="36" s="1"/>
  <c r="L150" i="36"/>
  <c r="M257" i="36" s="1"/>
  <c r="F150" i="36"/>
  <c r="L149" i="36"/>
  <c r="M237" i="36" s="1"/>
  <c r="F149" i="36"/>
  <c r="L148" i="36"/>
  <c r="F148" i="36"/>
  <c r="F217" i="36" s="1"/>
  <c r="K147" i="36"/>
  <c r="J147" i="36"/>
  <c r="H145" i="36"/>
  <c r="L143" i="36"/>
  <c r="M336" i="36" s="1"/>
  <c r="F143" i="36"/>
  <c r="F336" i="36" s="1"/>
  <c r="L142" i="36"/>
  <c r="M316" i="36" s="1"/>
  <c r="F142" i="36"/>
  <c r="F316" i="36" s="1"/>
  <c r="L141" i="36"/>
  <c r="M296" i="36" s="1"/>
  <c r="F141" i="36"/>
  <c r="F296" i="36" s="1"/>
  <c r="L140" i="36"/>
  <c r="F140" i="36"/>
  <c r="F276" i="36" s="1"/>
  <c r="L139" i="36"/>
  <c r="M256" i="36" s="1"/>
  <c r="F139" i="36"/>
  <c r="F256" i="36" s="1"/>
  <c r="L138" i="36"/>
  <c r="M236" i="36" s="1"/>
  <c r="F138" i="36"/>
  <c r="L137" i="36"/>
  <c r="F137" i="36"/>
  <c r="F216" i="36" s="1"/>
  <c r="K136" i="36"/>
  <c r="J136" i="36"/>
  <c r="H134" i="36"/>
  <c r="L132" i="36"/>
  <c r="M335" i="36" s="1"/>
  <c r="F132" i="36"/>
  <c r="F335" i="36" s="1"/>
  <c r="L131" i="36"/>
  <c r="M315" i="36" s="1"/>
  <c r="F131" i="36"/>
  <c r="F315" i="36" s="1"/>
  <c r="L130" i="36"/>
  <c r="M295" i="36" s="1"/>
  <c r="F130" i="36"/>
  <c r="F295" i="36" s="1"/>
  <c r="L129" i="36"/>
  <c r="M275" i="36" s="1"/>
  <c r="F129" i="36"/>
  <c r="F275" i="36" s="1"/>
  <c r="L128" i="36"/>
  <c r="M255" i="36" s="1"/>
  <c r="F128" i="36"/>
  <c r="L127" i="36"/>
  <c r="M235" i="36" s="1"/>
  <c r="F127" i="36"/>
  <c r="L126" i="36"/>
  <c r="M215" i="36" s="1"/>
  <c r="F126" i="36"/>
  <c r="K125" i="36"/>
  <c r="J125" i="36"/>
  <c r="H123" i="36"/>
  <c r="L121" i="36"/>
  <c r="M334" i="36" s="1"/>
  <c r="F121" i="36"/>
  <c r="F334" i="36" s="1"/>
  <c r="L120" i="36"/>
  <c r="M314" i="36" s="1"/>
  <c r="F120" i="36"/>
  <c r="F314" i="36" s="1"/>
  <c r="L119" i="36"/>
  <c r="M294" i="36" s="1"/>
  <c r="F119" i="36"/>
  <c r="F294" i="36" s="1"/>
  <c r="L118" i="36"/>
  <c r="M274" i="36" s="1"/>
  <c r="F118" i="36"/>
  <c r="F274" i="36" s="1"/>
  <c r="L117" i="36"/>
  <c r="M254" i="36" s="1"/>
  <c r="F117" i="36"/>
  <c r="L116" i="36"/>
  <c r="M234" i="36" s="1"/>
  <c r="F116" i="36"/>
  <c r="L115" i="36"/>
  <c r="M214" i="36" s="1"/>
  <c r="F115" i="36"/>
  <c r="F214" i="36" s="1"/>
  <c r="K114" i="36"/>
  <c r="J114" i="36"/>
  <c r="H112" i="36"/>
  <c r="L110" i="36"/>
  <c r="M333" i="36" s="1"/>
  <c r="F110" i="36"/>
  <c r="F333" i="36" s="1"/>
  <c r="L109" i="36"/>
  <c r="M313" i="36" s="1"/>
  <c r="F109" i="36"/>
  <c r="F313" i="36" s="1"/>
  <c r="L108" i="36"/>
  <c r="M293" i="36" s="1"/>
  <c r="F108" i="36"/>
  <c r="F293" i="36" s="1"/>
  <c r="L107" i="36"/>
  <c r="M273" i="36" s="1"/>
  <c r="F107" i="36"/>
  <c r="F273" i="36" s="1"/>
  <c r="L106" i="36"/>
  <c r="M253" i="36" s="1"/>
  <c r="F106" i="36"/>
  <c r="L105" i="36"/>
  <c r="M233" i="36" s="1"/>
  <c r="F105" i="36"/>
  <c r="L104" i="36"/>
  <c r="M213" i="36" s="1"/>
  <c r="F104" i="36"/>
  <c r="F213" i="36" s="1"/>
  <c r="K103" i="36"/>
  <c r="J103" i="36"/>
  <c r="H101" i="36"/>
  <c r="L99" i="36"/>
  <c r="M332" i="36" s="1"/>
  <c r="F99" i="36"/>
  <c r="F332" i="36" s="1"/>
  <c r="L98" i="36"/>
  <c r="M312" i="36" s="1"/>
  <c r="F98" i="36"/>
  <c r="F312" i="36" s="1"/>
  <c r="L97" i="36"/>
  <c r="M292" i="36" s="1"/>
  <c r="F97" i="36"/>
  <c r="F292" i="36" s="1"/>
  <c r="L96" i="36"/>
  <c r="M272" i="36" s="1"/>
  <c r="F96" i="36"/>
  <c r="F272" i="36" s="1"/>
  <c r="L95" i="36"/>
  <c r="M252" i="36" s="1"/>
  <c r="F95" i="36"/>
  <c r="L94" i="36"/>
  <c r="M232" i="36" s="1"/>
  <c r="F94" i="36"/>
  <c r="F232" i="36" s="1"/>
  <c r="L93" i="36"/>
  <c r="F93" i="36"/>
  <c r="F212" i="36" s="1"/>
  <c r="K92" i="36"/>
  <c r="J92" i="36"/>
  <c r="H90" i="36"/>
  <c r="L88" i="36"/>
  <c r="M331" i="36" s="1"/>
  <c r="F88" i="36"/>
  <c r="F331" i="36" s="1"/>
  <c r="L87" i="36"/>
  <c r="M311" i="36" s="1"/>
  <c r="F87" i="36"/>
  <c r="F311" i="36" s="1"/>
  <c r="L86" i="36"/>
  <c r="M291" i="36" s="1"/>
  <c r="F86" i="36"/>
  <c r="F291" i="36" s="1"/>
  <c r="L85" i="36"/>
  <c r="M271" i="36" s="1"/>
  <c r="F85" i="36"/>
  <c r="F271" i="36" s="1"/>
  <c r="L84" i="36"/>
  <c r="M251" i="36" s="1"/>
  <c r="F84" i="36"/>
  <c r="F251" i="36" s="1"/>
  <c r="L83" i="36"/>
  <c r="M231" i="36" s="1"/>
  <c r="F83" i="36"/>
  <c r="L82" i="36"/>
  <c r="M211" i="36" s="1"/>
  <c r="F82" i="36"/>
  <c r="K81" i="36"/>
  <c r="J81" i="36"/>
  <c r="H79" i="36"/>
  <c r="L77" i="36"/>
  <c r="M330" i="36" s="1"/>
  <c r="F77" i="36"/>
  <c r="F330" i="36" s="1"/>
  <c r="L76" i="36"/>
  <c r="M310" i="36" s="1"/>
  <c r="F76" i="36"/>
  <c r="F310" i="36" s="1"/>
  <c r="L75" i="36"/>
  <c r="M290" i="36" s="1"/>
  <c r="F75" i="36"/>
  <c r="F290" i="36" s="1"/>
  <c r="L74" i="36"/>
  <c r="F74" i="36"/>
  <c r="F270" i="36" s="1"/>
  <c r="L73" i="36"/>
  <c r="M250" i="36" s="1"/>
  <c r="F73" i="36"/>
  <c r="F250" i="36" s="1"/>
  <c r="L72" i="36"/>
  <c r="M230" i="36" s="1"/>
  <c r="F72" i="36"/>
  <c r="F230" i="36" s="1"/>
  <c r="L71" i="36"/>
  <c r="M210" i="36" s="1"/>
  <c r="F71" i="36"/>
  <c r="K70" i="36"/>
  <c r="J70" i="36"/>
  <c r="H68" i="36"/>
  <c r="L66" i="36"/>
  <c r="M329" i="36" s="1"/>
  <c r="F66" i="36"/>
  <c r="F329" i="36" s="1"/>
  <c r="L65" i="36"/>
  <c r="M309" i="36" s="1"/>
  <c r="F65" i="36"/>
  <c r="F309" i="36" s="1"/>
  <c r="L64" i="36"/>
  <c r="M289" i="36" s="1"/>
  <c r="F64" i="36"/>
  <c r="F289" i="36" s="1"/>
  <c r="L63" i="36"/>
  <c r="M269" i="36" s="1"/>
  <c r="F63" i="36"/>
  <c r="F269" i="36" s="1"/>
  <c r="L62" i="36"/>
  <c r="M249" i="36" s="1"/>
  <c r="F62" i="36"/>
  <c r="L61" i="36"/>
  <c r="M229" i="36" s="1"/>
  <c r="F61" i="36"/>
  <c r="L60" i="36"/>
  <c r="F60" i="36"/>
  <c r="F209" i="36" s="1"/>
  <c r="K59" i="36"/>
  <c r="J59" i="36"/>
  <c r="H57" i="36"/>
  <c r="L55" i="36"/>
  <c r="M328" i="36" s="1"/>
  <c r="F55" i="36"/>
  <c r="F328" i="36" s="1"/>
  <c r="L54" i="36"/>
  <c r="M308" i="36" s="1"/>
  <c r="F54" i="36"/>
  <c r="F308" i="36" s="1"/>
  <c r="L53" i="36"/>
  <c r="M288" i="36" s="1"/>
  <c r="F53" i="36"/>
  <c r="F288" i="36" s="1"/>
  <c r="L52" i="36"/>
  <c r="F52" i="36"/>
  <c r="F268" i="36" s="1"/>
  <c r="L51" i="36"/>
  <c r="M248" i="36" s="1"/>
  <c r="F51" i="36"/>
  <c r="F248" i="36" s="1"/>
  <c r="L50" i="36"/>
  <c r="M228" i="36" s="1"/>
  <c r="F50" i="36"/>
  <c r="L49" i="36"/>
  <c r="F49" i="36"/>
  <c r="F208" i="36" s="1"/>
  <c r="K48" i="36"/>
  <c r="J48" i="36"/>
  <c r="H46" i="36"/>
  <c r="L44" i="36"/>
  <c r="M327" i="36" s="1"/>
  <c r="F44" i="36"/>
  <c r="F327" i="36" s="1"/>
  <c r="L43" i="36"/>
  <c r="M307" i="36" s="1"/>
  <c r="F43" i="36"/>
  <c r="F307" i="36" s="1"/>
  <c r="L42" i="36"/>
  <c r="M287" i="36" s="1"/>
  <c r="F42" i="36"/>
  <c r="F287" i="36" s="1"/>
  <c r="L41" i="36"/>
  <c r="M267" i="36" s="1"/>
  <c r="F41" i="36"/>
  <c r="F267" i="36" s="1"/>
  <c r="L40" i="36"/>
  <c r="M247" i="36" s="1"/>
  <c r="F40" i="36"/>
  <c r="L39" i="36"/>
  <c r="M227" i="36" s="1"/>
  <c r="F39" i="36"/>
  <c r="L38" i="36"/>
  <c r="M207" i="36" s="1"/>
  <c r="F38" i="36"/>
  <c r="K37" i="36"/>
  <c r="J37" i="36"/>
  <c r="H35" i="36"/>
  <c r="L33" i="36"/>
  <c r="M326" i="36" s="1"/>
  <c r="F33" i="36"/>
  <c r="F326" i="36" s="1"/>
  <c r="L32" i="36"/>
  <c r="M306" i="36" s="1"/>
  <c r="F32" i="36"/>
  <c r="F306" i="36" s="1"/>
  <c r="L31" i="36"/>
  <c r="M286" i="36" s="1"/>
  <c r="F31" i="36"/>
  <c r="F286" i="36" s="1"/>
  <c r="L30" i="36"/>
  <c r="M266" i="36" s="1"/>
  <c r="F30" i="36"/>
  <c r="F266" i="36" s="1"/>
  <c r="L29" i="36"/>
  <c r="M246" i="36" s="1"/>
  <c r="F29" i="36"/>
  <c r="L28" i="36"/>
  <c r="M226" i="36" s="1"/>
  <c r="F28" i="36"/>
  <c r="L27" i="36"/>
  <c r="M206" i="36" s="1"/>
  <c r="F27" i="36"/>
  <c r="F206" i="36" s="1"/>
  <c r="K26" i="36"/>
  <c r="J26" i="36"/>
  <c r="H24" i="36"/>
  <c r="L22" i="36"/>
  <c r="M325" i="36" s="1"/>
  <c r="F22" i="36"/>
  <c r="F325" i="36" s="1"/>
  <c r="L21" i="36"/>
  <c r="M305" i="36" s="1"/>
  <c r="F21" i="36"/>
  <c r="F305" i="36" s="1"/>
  <c r="L20" i="36"/>
  <c r="F20" i="36"/>
  <c r="F285" i="36" s="1"/>
  <c r="L19" i="36"/>
  <c r="M265" i="36" s="1"/>
  <c r="F19" i="36"/>
  <c r="L18" i="36"/>
  <c r="M245" i="36" s="1"/>
  <c r="F18" i="36"/>
  <c r="L17" i="36"/>
  <c r="M225" i="36" s="1"/>
  <c r="F17" i="36"/>
  <c r="L16" i="36"/>
  <c r="M205" i="36" s="1"/>
  <c r="F16" i="36"/>
  <c r="F205" i="36" s="1"/>
  <c r="K15" i="36"/>
  <c r="J15" i="36"/>
  <c r="H13" i="36"/>
  <c r="AB11" i="36"/>
  <c r="M342" i="36" s="1"/>
  <c r="V11" i="36"/>
  <c r="F342" i="36" s="1"/>
  <c r="L11" i="36"/>
  <c r="M324" i="36" s="1"/>
  <c r="F11" i="36"/>
  <c r="F324" i="36" s="1"/>
  <c r="AB10" i="36"/>
  <c r="M322" i="36" s="1"/>
  <c r="V10" i="36"/>
  <c r="F322" i="36" s="1"/>
  <c r="L10" i="36"/>
  <c r="M304" i="36" s="1"/>
  <c r="F10" i="36"/>
  <c r="F304" i="36" s="1"/>
  <c r="AB9" i="36"/>
  <c r="M302" i="36" s="1"/>
  <c r="V9" i="36"/>
  <c r="F302" i="36" s="1"/>
  <c r="L9" i="36"/>
  <c r="F9" i="36"/>
  <c r="F284" i="36" s="1"/>
  <c r="AB8" i="36"/>
  <c r="M282" i="36" s="1"/>
  <c r="V8" i="36"/>
  <c r="F282" i="36" s="1"/>
  <c r="L8" i="36"/>
  <c r="M264" i="36" s="1"/>
  <c r="F8" i="36"/>
  <c r="AB7" i="36"/>
  <c r="M262" i="36" s="1"/>
  <c r="V7" i="36"/>
  <c r="L7" i="36"/>
  <c r="M244" i="36" s="1"/>
  <c r="F7" i="36"/>
  <c r="F244" i="36" s="1"/>
  <c r="AB6" i="36"/>
  <c r="M242" i="36" s="1"/>
  <c r="V6" i="36"/>
  <c r="F242" i="36" s="1"/>
  <c r="L6" i="36"/>
  <c r="F6" i="36"/>
  <c r="AB5" i="36"/>
  <c r="M222" i="36" s="1"/>
  <c r="V5" i="36"/>
  <c r="L5" i="36"/>
  <c r="F5" i="36"/>
  <c r="F204" i="36" s="1"/>
  <c r="AA4" i="36"/>
  <c r="Z4" i="36"/>
  <c r="K4" i="36"/>
  <c r="J4" i="36"/>
  <c r="X2" i="36"/>
  <c r="H2" i="36"/>
  <c r="K344" i="36" l="1"/>
  <c r="A349" i="36"/>
  <c r="C351" i="36"/>
  <c r="A353" i="36"/>
  <c r="B352" i="36"/>
  <c r="B351" i="36"/>
  <c r="B350" i="36"/>
  <c r="B348" i="36"/>
  <c r="B347" i="36"/>
  <c r="A352" i="36"/>
  <c r="A351" i="36"/>
  <c r="A350" i="36"/>
  <c r="A348" i="36"/>
  <c r="A347" i="36"/>
  <c r="F344" i="36"/>
  <c r="D349" i="36"/>
  <c r="C349" i="36"/>
  <c r="B349" i="36"/>
  <c r="C353" i="36"/>
  <c r="D352" i="36"/>
  <c r="D351" i="36"/>
  <c r="D350" i="36"/>
  <c r="D348" i="36"/>
  <c r="D347" i="36"/>
  <c r="M224" i="36"/>
  <c r="C347" i="36"/>
  <c r="B353" i="36"/>
  <c r="O349" i="36"/>
  <c r="O348" i="36"/>
  <c r="D353" i="36"/>
  <c r="C348" i="36"/>
  <c r="C350" i="36"/>
  <c r="M285" i="36"/>
  <c r="M284" i="36"/>
  <c r="F357" i="36"/>
  <c r="B344" i="36"/>
  <c r="N365" i="36" l="1"/>
  <c r="G15" i="22"/>
  <c r="G15" i="23" s="1"/>
  <c r="N364" i="36"/>
  <c r="G14" i="22"/>
  <c r="G14" i="23" s="1"/>
  <c r="C357" i="36"/>
  <c r="M348" i="36" s="1"/>
  <c r="G344" i="36"/>
  <c r="L344" i="36" s="1"/>
  <c r="C346" i="36"/>
  <c r="H346" i="36" s="1"/>
  <c r="B346" i="36"/>
  <c r="G346" i="36" s="1"/>
  <c r="G349" i="36"/>
  <c r="I353" i="36"/>
  <c r="F349" i="36"/>
  <c r="H353" i="36"/>
  <c r="I352" i="36"/>
  <c r="I351" i="36"/>
  <c r="I350" i="36"/>
  <c r="I348" i="36"/>
  <c r="I347" i="36"/>
  <c r="G353" i="36"/>
  <c r="H352" i="36"/>
  <c r="H351" i="36"/>
  <c r="H350" i="36"/>
  <c r="H348" i="36"/>
  <c r="H347" i="36"/>
  <c r="F353" i="36"/>
  <c r="G352" i="36"/>
  <c r="G351" i="36"/>
  <c r="G350" i="36"/>
  <c r="G348" i="36"/>
  <c r="G347" i="36"/>
  <c r="I349" i="36"/>
  <c r="F350" i="36"/>
  <c r="F348" i="36"/>
  <c r="F347" i="36"/>
  <c r="F352" i="36"/>
  <c r="H349" i="36"/>
  <c r="F351" i="36"/>
  <c r="M364" i="36" l="1"/>
  <c r="L352" i="36" s="1"/>
  <c r="E14" i="22"/>
  <c r="E14" i="23" s="1"/>
  <c r="H357" i="36"/>
  <c r="M349" i="36" s="1"/>
  <c r="E83" i="3"/>
  <c r="F83" i="3"/>
  <c r="G83" i="3"/>
  <c r="H83" i="3"/>
  <c r="I83" i="3"/>
  <c r="J83" i="3"/>
  <c r="E84" i="3"/>
  <c r="F84" i="3"/>
  <c r="G84" i="3"/>
  <c r="H84" i="3"/>
  <c r="I84" i="3"/>
  <c r="J84" i="3"/>
  <c r="E85" i="3"/>
  <c r="F85" i="3"/>
  <c r="G85" i="3"/>
  <c r="H85" i="3"/>
  <c r="I85" i="3"/>
  <c r="J85" i="3"/>
  <c r="F82" i="3"/>
  <c r="G82" i="3"/>
  <c r="H82" i="3"/>
  <c r="I82" i="3"/>
  <c r="J82" i="3"/>
  <c r="E82" i="3"/>
  <c r="E36" i="10"/>
  <c r="M365" i="36" l="1"/>
  <c r="L353" i="36" s="1"/>
  <c r="E15" i="22"/>
  <c r="E15" i="23" s="1"/>
  <c r="O1" i="13"/>
  <c r="B37" i="10"/>
  <c r="B27" i="10"/>
  <c r="B16" i="10"/>
  <c r="E5" i="22"/>
  <c r="E6" i="22"/>
  <c r="E7" i="22"/>
  <c r="E8" i="22"/>
  <c r="E9" i="22"/>
  <c r="E10" i="22"/>
  <c r="E11" i="22"/>
  <c r="H58" i="33"/>
  <c r="H59" i="33"/>
  <c r="H57" i="33"/>
  <c r="H56" i="33"/>
  <c r="I56" i="33" s="1"/>
  <c r="H60" i="33"/>
  <c r="O2" i="13" l="1"/>
  <c r="O3" i="13"/>
  <c r="R55" i="3"/>
  <c r="R54" i="3"/>
  <c r="R56" i="3" l="1"/>
  <c r="S57" i="3" s="1"/>
  <c r="B55" i="3" s="1"/>
  <c r="J56" i="33" l="1"/>
  <c r="K56" i="33" s="1"/>
  <c r="E16" i="22" s="1"/>
  <c r="I57" i="33"/>
  <c r="J57" i="33" s="1"/>
  <c r="K57" i="33" s="1"/>
  <c r="I25" i="22" s="1"/>
  <c r="I25" i="23" s="1"/>
  <c r="I58" i="33"/>
  <c r="J58" i="33" s="1"/>
  <c r="K58" i="33" s="1"/>
  <c r="I26" i="22" s="1"/>
  <c r="I26" i="23" s="1"/>
  <c r="I59" i="33"/>
  <c r="J59" i="33" s="1"/>
  <c r="K59" i="33" s="1"/>
  <c r="I27" i="22" s="1"/>
  <c r="E16" i="23" l="1"/>
  <c r="F16" i="23" s="1"/>
  <c r="B58" i="22"/>
  <c r="I60" i="33"/>
  <c r="J60" i="33" s="1"/>
  <c r="K60" i="33" s="1"/>
  <c r="L25" i="22"/>
  <c r="P30" i="3"/>
  <c r="P75" i="3" s="1"/>
  <c r="P73" i="3"/>
  <c r="L26" i="22" l="1"/>
  <c r="P74" i="3"/>
  <c r="B31" i="12"/>
  <c r="B40" i="23" l="1"/>
  <c r="B30" i="23"/>
  <c r="G68" i="22" l="1"/>
  <c r="B64" i="22" l="1"/>
  <c r="B63" i="23" s="1"/>
  <c r="B29" i="22"/>
  <c r="B29" i="23" s="1"/>
  <c r="B22" i="22"/>
  <c r="B22" i="23" s="1"/>
  <c r="B18" i="22"/>
  <c r="B18" i="23" s="1"/>
  <c r="B13" i="22"/>
  <c r="B13" i="23" s="1"/>
  <c r="C34" i="3"/>
  <c r="K73" i="23" l="1"/>
  <c r="C32" i="23" l="1"/>
  <c r="D44" i="23"/>
  <c r="D45" i="23"/>
  <c r="D46" i="23"/>
  <c r="D43" i="23"/>
  <c r="I41" i="23"/>
  <c r="H43" i="23"/>
  <c r="H41" i="23"/>
  <c r="B53" i="22"/>
  <c r="B53" i="23" s="1"/>
  <c r="B53" i="3" l="1"/>
  <c r="B51" i="22" s="1"/>
  <c r="B51" i="23" s="1"/>
  <c r="B54" i="3"/>
  <c r="B52" i="22" s="1"/>
  <c r="B52" i="23" s="1"/>
  <c r="Q73" i="3" l="1"/>
  <c r="Q74" i="3" s="1"/>
  <c r="C27" i="3"/>
  <c r="C26" i="3"/>
  <c r="B50" i="23" l="1"/>
  <c r="A5" i="3" l="1"/>
  <c r="A6" i="3"/>
  <c r="A7" i="3"/>
  <c r="A8" i="3"/>
  <c r="A9" i="3"/>
  <c r="A10" i="3"/>
  <c r="A4" i="3"/>
  <c r="A1" i="23"/>
  <c r="J26" i="22"/>
  <c r="J25" i="22"/>
  <c r="C27" i="22"/>
  <c r="L27" i="22" s="1"/>
  <c r="C26" i="22"/>
  <c r="C25" i="22"/>
  <c r="J25" i="23" l="1"/>
  <c r="J26" i="23"/>
  <c r="B66" i="25"/>
  <c r="B56" i="25"/>
  <c r="B46" i="25"/>
  <c r="B36" i="25"/>
  <c r="B26" i="25"/>
  <c r="B16" i="25"/>
  <c r="B6" i="25"/>
  <c r="F89" i="3"/>
  <c r="G89" i="3"/>
  <c r="H89" i="3"/>
  <c r="I89" i="3"/>
  <c r="J89" i="3"/>
  <c r="F90" i="3"/>
  <c r="G90" i="3"/>
  <c r="H90" i="3"/>
  <c r="I90" i="3"/>
  <c r="J90" i="3"/>
  <c r="F91" i="3"/>
  <c r="G91" i="3"/>
  <c r="H91" i="3"/>
  <c r="I91" i="3"/>
  <c r="J91" i="3"/>
  <c r="F92" i="3"/>
  <c r="G92" i="3"/>
  <c r="H92" i="3"/>
  <c r="I92" i="3"/>
  <c r="J92" i="3"/>
  <c r="F93" i="3"/>
  <c r="G93" i="3"/>
  <c r="H93" i="3"/>
  <c r="I93" i="3"/>
  <c r="J93" i="3"/>
  <c r="F94" i="3"/>
  <c r="G94" i="3"/>
  <c r="H94" i="3"/>
  <c r="I94" i="3"/>
  <c r="J94" i="3"/>
  <c r="F95" i="3"/>
  <c r="G95" i="3"/>
  <c r="H95" i="3"/>
  <c r="I95" i="3"/>
  <c r="J95" i="3"/>
  <c r="E90" i="3"/>
  <c r="E91" i="3"/>
  <c r="E92" i="3"/>
  <c r="E93" i="3"/>
  <c r="E94" i="3"/>
  <c r="E95" i="3"/>
  <c r="E89" i="3"/>
  <c r="G101" i="24"/>
  <c r="G100" i="24"/>
  <c r="G99" i="24"/>
  <c r="G98" i="24"/>
  <c r="G97" i="24"/>
  <c r="E96" i="24"/>
  <c r="E97" i="24"/>
  <c r="E98" i="24"/>
  <c r="E99" i="24"/>
  <c r="E100" i="24"/>
  <c r="E101" i="24"/>
  <c r="E92" i="24"/>
  <c r="E93" i="24"/>
  <c r="E94" i="24"/>
  <c r="E95" i="24"/>
  <c r="G91" i="24"/>
  <c r="G90" i="24"/>
  <c r="G89" i="24"/>
  <c r="G88" i="24"/>
  <c r="G87" i="24"/>
  <c r="E91" i="24"/>
  <c r="E90" i="24"/>
  <c r="E89" i="24"/>
  <c r="E88" i="24"/>
  <c r="E87" i="24"/>
  <c r="G81" i="24"/>
  <c r="G80" i="24"/>
  <c r="G79" i="24"/>
  <c r="G78" i="24"/>
  <c r="G77" i="24"/>
  <c r="E77" i="24"/>
  <c r="E78" i="24"/>
  <c r="E79" i="24"/>
  <c r="E80" i="24"/>
  <c r="E81" i="24"/>
  <c r="G71" i="24"/>
  <c r="G70" i="24"/>
  <c r="G69" i="24"/>
  <c r="G68" i="24"/>
  <c r="G67" i="24"/>
  <c r="E71" i="24"/>
  <c r="E70" i="24"/>
  <c r="E68" i="24"/>
  <c r="E69" i="24"/>
  <c r="E67" i="24"/>
  <c r="P77" i="3" l="1"/>
  <c r="R70" i="3" s="1"/>
  <c r="I27" i="23"/>
  <c r="J27" i="23" s="1"/>
  <c r="N90" i="3"/>
  <c r="B15" i="25" s="1"/>
  <c r="N89" i="3"/>
  <c r="B5" i="25" s="1"/>
  <c r="K94" i="3"/>
  <c r="N95" i="3"/>
  <c r="B65" i="25" s="1"/>
  <c r="N91" i="3"/>
  <c r="B25" i="25" s="1"/>
  <c r="N94" i="3"/>
  <c r="B55" i="25" s="1"/>
  <c r="N93" i="3"/>
  <c r="B45" i="25" s="1"/>
  <c r="N92" i="3"/>
  <c r="B35" i="25" s="1"/>
  <c r="K90" i="3"/>
  <c r="K89" i="3"/>
  <c r="K93" i="3"/>
  <c r="K92" i="3"/>
  <c r="K95" i="3"/>
  <c r="K91" i="3"/>
  <c r="Q75" i="3" l="1"/>
  <c r="R78" i="3" s="1"/>
  <c r="R80" i="3" s="1"/>
  <c r="R69" i="3"/>
  <c r="P78" i="3" l="1"/>
  <c r="R71" i="3" l="1"/>
  <c r="S69" i="3" s="1"/>
  <c r="N74" i="22" s="1"/>
  <c r="E66" i="25"/>
  <c r="G65" i="25"/>
  <c r="E65" i="25"/>
  <c r="E56" i="25"/>
  <c r="G55" i="25"/>
  <c r="E55" i="25"/>
  <c r="E46" i="25"/>
  <c r="G45" i="25"/>
  <c r="E45" i="25"/>
  <c r="E36" i="25"/>
  <c r="G35" i="25"/>
  <c r="E35" i="25"/>
  <c r="E26" i="25"/>
  <c r="G25" i="25"/>
  <c r="E25" i="25"/>
  <c r="E16" i="25"/>
  <c r="G15" i="25"/>
  <c r="E15" i="25"/>
  <c r="E6" i="25"/>
  <c r="G5" i="25"/>
  <c r="E5" i="25"/>
  <c r="F16" i="25" l="1"/>
  <c r="I16" i="25" s="1"/>
  <c r="J16" i="25" s="1"/>
  <c r="K16" i="25" s="1"/>
  <c r="F46" i="25"/>
  <c r="I46" i="25" s="1"/>
  <c r="J46" i="25" s="1"/>
  <c r="K46" i="25" s="1"/>
  <c r="F26" i="25"/>
  <c r="I26" i="25" s="1"/>
  <c r="J26" i="25" s="1"/>
  <c r="K26" i="25" s="1"/>
  <c r="F6" i="25"/>
  <c r="I6" i="25" s="1"/>
  <c r="J6" i="25" s="1"/>
  <c r="K6" i="25" s="1"/>
  <c r="F36" i="25"/>
  <c r="I36" i="25" s="1"/>
  <c r="J36" i="25" s="1"/>
  <c r="K36" i="25" s="1"/>
  <c r="F56" i="25"/>
  <c r="I56" i="25" s="1"/>
  <c r="J56" i="25" s="1"/>
  <c r="K56" i="25" s="1"/>
  <c r="F66" i="25"/>
  <c r="I66" i="25" s="1"/>
  <c r="J66" i="25" s="1"/>
  <c r="K66" i="25" s="1"/>
  <c r="G131" i="24"/>
  <c r="G130" i="24"/>
  <c r="G129" i="24"/>
  <c r="G128" i="24"/>
  <c r="G127" i="24"/>
  <c r="G126" i="24"/>
  <c r="G125" i="24"/>
  <c r="G124" i="24"/>
  <c r="G123" i="24"/>
  <c r="G122" i="24"/>
  <c r="E131" i="24"/>
  <c r="E130" i="24"/>
  <c r="E129" i="24"/>
  <c r="E128" i="24"/>
  <c r="E127" i="24"/>
  <c r="E126" i="24"/>
  <c r="E125" i="24"/>
  <c r="E124" i="24"/>
  <c r="E123" i="24"/>
  <c r="E122" i="24"/>
  <c r="D131" i="24"/>
  <c r="D130" i="24"/>
  <c r="D129" i="24"/>
  <c r="D128" i="24"/>
  <c r="D127" i="24"/>
  <c r="D126" i="24"/>
  <c r="D125" i="24"/>
  <c r="D124" i="24"/>
  <c r="D123" i="24"/>
  <c r="D122" i="24"/>
  <c r="G121" i="24"/>
  <c r="G120" i="24"/>
  <c r="G119" i="24"/>
  <c r="G118" i="24"/>
  <c r="G117" i="24"/>
  <c r="G116" i="24"/>
  <c r="G115" i="24"/>
  <c r="G114" i="24"/>
  <c r="G113" i="24"/>
  <c r="G112" i="24"/>
  <c r="E121" i="24"/>
  <c r="E120" i="24"/>
  <c r="E119" i="24"/>
  <c r="E118" i="24"/>
  <c r="E117" i="24"/>
  <c r="E116" i="24"/>
  <c r="E115" i="24"/>
  <c r="E114" i="24"/>
  <c r="E113" i="24"/>
  <c r="E112" i="24"/>
  <c r="D121" i="24"/>
  <c r="D120" i="24"/>
  <c r="D119" i="24"/>
  <c r="D118" i="24"/>
  <c r="D117" i="24"/>
  <c r="D116" i="24"/>
  <c r="D115" i="24"/>
  <c r="D114" i="24"/>
  <c r="D113" i="24"/>
  <c r="D112" i="24"/>
  <c r="G111" i="24"/>
  <c r="G110" i="24"/>
  <c r="G109" i="24"/>
  <c r="G108" i="24"/>
  <c r="G107" i="24"/>
  <c r="G106" i="24"/>
  <c r="G105" i="24"/>
  <c r="G104" i="24"/>
  <c r="G103" i="24"/>
  <c r="G102" i="24"/>
  <c r="E111" i="24"/>
  <c r="E110" i="24"/>
  <c r="E109" i="24"/>
  <c r="E108" i="24"/>
  <c r="E107" i="24"/>
  <c r="E106" i="24"/>
  <c r="E105" i="24"/>
  <c r="E104" i="24"/>
  <c r="E103" i="24"/>
  <c r="E102" i="24"/>
  <c r="D111" i="24"/>
  <c r="D110" i="24"/>
  <c r="D109" i="24"/>
  <c r="D108" i="24"/>
  <c r="D107" i="24"/>
  <c r="D106" i="24"/>
  <c r="D105" i="24"/>
  <c r="D104" i="24"/>
  <c r="D103" i="24"/>
  <c r="D102" i="24"/>
  <c r="F111" i="24"/>
  <c r="F121" i="24"/>
  <c r="F131" i="24"/>
  <c r="F110" i="24"/>
  <c r="F120" i="24"/>
  <c r="F130" i="24"/>
  <c r="F109" i="24"/>
  <c r="F129" i="24"/>
  <c r="F108" i="24"/>
  <c r="F118" i="24"/>
  <c r="F128" i="24"/>
  <c r="F107" i="24"/>
  <c r="F117" i="24"/>
  <c r="F127" i="24"/>
  <c r="F106" i="24"/>
  <c r="F116" i="24"/>
  <c r="F126" i="24"/>
  <c r="F105" i="24"/>
  <c r="F115" i="24"/>
  <c r="F125" i="24"/>
  <c r="F104" i="24"/>
  <c r="F114" i="24"/>
  <c r="F124" i="24"/>
  <c r="F103" i="24"/>
  <c r="F113" i="24"/>
  <c r="F123" i="24"/>
  <c r="F102" i="24"/>
  <c r="F112" i="24"/>
  <c r="F122" i="24"/>
  <c r="D101" i="24"/>
  <c r="D100" i="24"/>
  <c r="D99" i="24"/>
  <c r="D98" i="24"/>
  <c r="D97" i="24"/>
  <c r="G96" i="24"/>
  <c r="D96" i="24"/>
  <c r="G95" i="24"/>
  <c r="D95" i="24"/>
  <c r="G94" i="24"/>
  <c r="D94" i="24"/>
  <c r="G93" i="24"/>
  <c r="D93" i="24"/>
  <c r="G92" i="24"/>
  <c r="D92" i="24"/>
  <c r="D91" i="24"/>
  <c r="D90" i="24"/>
  <c r="D89" i="24"/>
  <c r="D88" i="24"/>
  <c r="D87" i="24"/>
  <c r="G86" i="24"/>
  <c r="E86" i="24"/>
  <c r="D86" i="24"/>
  <c r="G85" i="24"/>
  <c r="E85" i="24"/>
  <c r="D85" i="24"/>
  <c r="G84" i="24"/>
  <c r="E84" i="24"/>
  <c r="D84" i="24"/>
  <c r="G83" i="24"/>
  <c r="E83" i="24"/>
  <c r="D83" i="24"/>
  <c r="G82" i="24"/>
  <c r="E82" i="24"/>
  <c r="D82" i="24"/>
  <c r="D81" i="24"/>
  <c r="D80" i="24"/>
  <c r="D79" i="24"/>
  <c r="D78" i="24"/>
  <c r="D77" i="24"/>
  <c r="G76" i="24"/>
  <c r="E76" i="24"/>
  <c r="D76" i="24"/>
  <c r="G75" i="24"/>
  <c r="E75" i="24"/>
  <c r="D75" i="24"/>
  <c r="G74" i="24"/>
  <c r="E74" i="24"/>
  <c r="D74" i="24"/>
  <c r="G73" i="24"/>
  <c r="E73" i="24"/>
  <c r="D73" i="24"/>
  <c r="G72" i="24"/>
  <c r="E72" i="24"/>
  <c r="D72" i="24"/>
  <c r="D71" i="24"/>
  <c r="D70" i="24"/>
  <c r="D69" i="24"/>
  <c r="D68" i="24"/>
  <c r="D67" i="24"/>
  <c r="G66" i="24"/>
  <c r="E66" i="24"/>
  <c r="D66" i="24"/>
  <c r="G65" i="24"/>
  <c r="E65" i="24"/>
  <c r="D65" i="24"/>
  <c r="G64" i="24"/>
  <c r="E64" i="24"/>
  <c r="D64" i="24"/>
  <c r="G63" i="24"/>
  <c r="E63" i="24"/>
  <c r="D63" i="24"/>
  <c r="G62" i="24"/>
  <c r="E62" i="24"/>
  <c r="D62" i="24"/>
  <c r="C60" i="24"/>
  <c r="A136" i="24" s="1"/>
  <c r="F101" i="24"/>
  <c r="F91" i="24"/>
  <c r="F81" i="24"/>
  <c r="F71" i="24"/>
  <c r="F100" i="24"/>
  <c r="F99" i="24"/>
  <c r="F98" i="24"/>
  <c r="F90" i="24"/>
  <c r="F89" i="24"/>
  <c r="F88" i="24"/>
  <c r="F80" i="24"/>
  <c r="F79" i="24"/>
  <c r="F78" i="24"/>
  <c r="F70" i="24"/>
  <c r="F69" i="24"/>
  <c r="F68" i="24"/>
  <c r="F97" i="24"/>
  <c r="F87" i="24"/>
  <c r="F77" i="24"/>
  <c r="F67" i="24"/>
  <c r="D88" i="19"/>
  <c r="D87" i="19"/>
  <c r="D86" i="19"/>
  <c r="D85" i="19"/>
  <c r="D84" i="19"/>
  <c r="D78" i="19"/>
  <c r="D77" i="19"/>
  <c r="D76" i="19"/>
  <c r="D75" i="19"/>
  <c r="D74" i="19"/>
  <c r="D68" i="19"/>
  <c r="D67" i="19"/>
  <c r="D66" i="19"/>
  <c r="D65" i="19"/>
  <c r="D64" i="19"/>
  <c r="D58" i="19"/>
  <c r="D57" i="19"/>
  <c r="D56" i="19"/>
  <c r="D55" i="19"/>
  <c r="D54" i="19"/>
  <c r="E42" i="19"/>
  <c r="E41" i="19"/>
  <c r="E40" i="19"/>
  <c r="E39" i="19"/>
  <c r="E38" i="19"/>
  <c r="F94" i="24" l="1"/>
  <c r="F119" i="24"/>
  <c r="F72" i="24"/>
  <c r="F65" i="24"/>
  <c r="F76" i="24"/>
  <c r="F83" i="24"/>
  <c r="F62" i="24"/>
  <c r="F63" i="24"/>
  <c r="F64" i="24"/>
  <c r="F66" i="24"/>
  <c r="F73" i="24"/>
  <c r="F74" i="24"/>
  <c r="F75" i="24"/>
  <c r="F82" i="24"/>
  <c r="F84" i="24"/>
  <c r="F85" i="24"/>
  <c r="F86" i="24"/>
  <c r="F92" i="24"/>
  <c r="F93" i="24"/>
  <c r="F95" i="24"/>
  <c r="F96" i="24"/>
  <c r="D49" i="19" l="1"/>
  <c r="E49" i="19"/>
  <c r="D50" i="19"/>
  <c r="E50" i="19"/>
  <c r="D51" i="19"/>
  <c r="E51" i="19"/>
  <c r="D52" i="19"/>
  <c r="E52" i="19"/>
  <c r="D53" i="19"/>
  <c r="E53" i="19"/>
  <c r="G53" i="19"/>
  <c r="H32" i="23" l="1"/>
  <c r="I31" i="23"/>
  <c r="H31" i="23"/>
  <c r="G31" i="23"/>
  <c r="F31" i="23"/>
  <c r="D31" i="23"/>
  <c r="C31" i="23"/>
  <c r="B31" i="23"/>
  <c r="B21" i="3"/>
  <c r="B20" i="3"/>
  <c r="B65" i="22" l="1"/>
  <c r="B57" i="23"/>
  <c r="B57" i="22"/>
  <c r="B56" i="23" s="1"/>
  <c r="B49" i="22"/>
  <c r="B49" i="23" s="1"/>
  <c r="D33" i="22"/>
  <c r="D33" i="23" s="1"/>
  <c r="D34" i="22"/>
  <c r="D34" i="23" s="1"/>
  <c r="D35" i="22"/>
  <c r="D35" i="23" s="1"/>
  <c r="D36" i="22"/>
  <c r="D36" i="23" s="1"/>
  <c r="D37" i="22"/>
  <c r="D37" i="23" s="1"/>
  <c r="D38" i="22"/>
  <c r="D38" i="23" s="1"/>
  <c r="D32" i="22"/>
  <c r="D32" i="23" s="1"/>
  <c r="K26" i="23"/>
  <c r="K25" i="23"/>
  <c r="E20" i="22"/>
  <c r="E19" i="22"/>
  <c r="B20" i="22"/>
  <c r="B20" i="23" s="1"/>
  <c r="B19" i="22"/>
  <c r="B19" i="23" s="1"/>
  <c r="B16" i="22"/>
  <c r="B16" i="23" s="1"/>
  <c r="B15" i="22"/>
  <c r="B15" i="23" s="1"/>
  <c r="B14" i="22"/>
  <c r="B14" i="23" s="1"/>
  <c r="E11" i="23"/>
  <c r="D4" i="39" s="1"/>
  <c r="D23" i="39" s="1"/>
  <c r="E10" i="23"/>
  <c r="D17" i="39" s="1"/>
  <c r="E9" i="23"/>
  <c r="D21" i="39" s="1"/>
  <c r="A11" i="22"/>
  <c r="A11" i="23" s="1"/>
  <c r="E8" i="23"/>
  <c r="D19" i="39" s="1"/>
  <c r="B54" i="39" s="1"/>
  <c r="B55" i="39" s="1"/>
  <c r="E7" i="23"/>
  <c r="D18" i="39" s="1"/>
  <c r="A5" i="22"/>
  <c r="A5" i="23" s="1"/>
  <c r="A6" i="22"/>
  <c r="A6" i="23" s="1"/>
  <c r="A7" i="22"/>
  <c r="A7" i="23" s="1"/>
  <c r="A8" i="22"/>
  <c r="A8" i="23" s="1"/>
  <c r="A9" i="22"/>
  <c r="A9" i="23" s="1"/>
  <c r="A10" i="22"/>
  <c r="A10" i="23" s="1"/>
  <c r="A4" i="22"/>
  <c r="A4" i="23" s="1"/>
  <c r="E5" i="23"/>
  <c r="D9" i="39" s="1"/>
  <c r="E6" i="23"/>
  <c r="D10" i="39" s="1"/>
  <c r="B59" i="39" l="1"/>
  <c r="B58" i="39"/>
  <c r="B57" i="39" s="1"/>
  <c r="E20" i="23"/>
  <c r="L20" i="22"/>
  <c r="E19" i="23"/>
  <c r="L19" i="22"/>
  <c r="D68" i="22"/>
  <c r="B64" i="23"/>
  <c r="E4" i="22"/>
  <c r="E4" i="23" s="1"/>
  <c r="D8" i="39" s="1"/>
  <c r="N73" i="22" l="1"/>
  <c r="C26" i="23"/>
  <c r="C27" i="23"/>
  <c r="C25" i="23"/>
  <c r="G88" i="19" l="1"/>
  <c r="G83" i="19"/>
  <c r="E88" i="19"/>
  <c r="E87" i="19"/>
  <c r="E86" i="19"/>
  <c r="E85" i="19"/>
  <c r="E84" i="19"/>
  <c r="E83" i="19"/>
  <c r="E82" i="19"/>
  <c r="E81" i="19"/>
  <c r="E80" i="19"/>
  <c r="E79" i="19"/>
  <c r="D83" i="19"/>
  <c r="D82" i="19"/>
  <c r="D81" i="19"/>
  <c r="D80" i="19"/>
  <c r="D79" i="19"/>
  <c r="G78" i="19"/>
  <c r="G73" i="19"/>
  <c r="E78" i="19"/>
  <c r="E77" i="19"/>
  <c r="E76" i="19"/>
  <c r="E75" i="19"/>
  <c r="E74" i="19"/>
  <c r="E73" i="19"/>
  <c r="E72" i="19"/>
  <c r="E71" i="19"/>
  <c r="E70" i="19"/>
  <c r="E69" i="19"/>
  <c r="D73" i="19"/>
  <c r="D72" i="19"/>
  <c r="D71" i="19"/>
  <c r="D70" i="19"/>
  <c r="D69" i="19"/>
  <c r="G68" i="19"/>
  <c r="G63" i="19"/>
  <c r="E68" i="19"/>
  <c r="E67" i="19"/>
  <c r="E66" i="19"/>
  <c r="E65" i="19"/>
  <c r="E64" i="19"/>
  <c r="E63" i="19"/>
  <c r="E62" i="19"/>
  <c r="E61" i="19"/>
  <c r="E60" i="19"/>
  <c r="E59" i="19"/>
  <c r="D63" i="19"/>
  <c r="D62" i="19"/>
  <c r="D61" i="19"/>
  <c r="D60" i="19"/>
  <c r="D59" i="19"/>
  <c r="G58" i="19"/>
  <c r="E58" i="19"/>
  <c r="E57" i="19"/>
  <c r="E56" i="19"/>
  <c r="E55" i="19"/>
  <c r="E54" i="19"/>
  <c r="C47" i="19"/>
  <c r="B1" i="13"/>
  <c r="D1" i="13"/>
  <c r="Q32" i="19"/>
  <c r="Q31" i="19"/>
  <c r="Q30" i="19"/>
  <c r="Q29" i="19"/>
  <c r="Q28" i="19"/>
  <c r="K32" i="19"/>
  <c r="K31" i="19"/>
  <c r="K30" i="19"/>
  <c r="K29" i="19"/>
  <c r="K28" i="19"/>
  <c r="E32" i="19"/>
  <c r="E31" i="19"/>
  <c r="E30" i="19"/>
  <c r="E29" i="19"/>
  <c r="E28" i="19"/>
  <c r="Q22" i="19"/>
  <c r="Q21" i="19"/>
  <c r="Q20" i="19"/>
  <c r="Q19" i="19"/>
  <c r="Q18" i="19"/>
  <c r="K22" i="19"/>
  <c r="F83" i="19" s="1"/>
  <c r="K21" i="19"/>
  <c r="F73" i="19" s="1"/>
  <c r="K20" i="19"/>
  <c r="F68" i="19" s="1"/>
  <c r="K19" i="19"/>
  <c r="K18" i="19"/>
  <c r="E22" i="19"/>
  <c r="F82" i="19" s="1"/>
  <c r="E21" i="19"/>
  <c r="F72" i="19" s="1"/>
  <c r="E20" i="19"/>
  <c r="F62" i="19" s="1"/>
  <c r="E19" i="19"/>
  <c r="F52" i="19" s="1"/>
  <c r="E18" i="19"/>
  <c r="Q12" i="19"/>
  <c r="F81" i="19" s="1"/>
  <c r="Q11" i="19"/>
  <c r="F71" i="19" s="1"/>
  <c r="Q10" i="19"/>
  <c r="F66" i="19" s="1"/>
  <c r="Q9" i="19"/>
  <c r="Q8" i="19"/>
  <c r="K12" i="19"/>
  <c r="F85" i="19" s="1"/>
  <c r="K11" i="19"/>
  <c r="F75" i="19" s="1"/>
  <c r="K10" i="19"/>
  <c r="K9" i="19"/>
  <c r="F50" i="19" s="1"/>
  <c r="K8" i="19"/>
  <c r="E9" i="19"/>
  <c r="E10" i="19"/>
  <c r="F64" i="19" s="1"/>
  <c r="E11" i="19"/>
  <c r="F74" i="19" s="1"/>
  <c r="E12" i="19"/>
  <c r="F84" i="19" s="1"/>
  <c r="E8" i="19"/>
  <c r="F60" i="19" l="1"/>
  <c r="F65" i="19"/>
  <c r="B134" i="24"/>
  <c r="F54" i="19"/>
  <c r="F49" i="19"/>
  <c r="F58" i="19"/>
  <c r="F53" i="19"/>
  <c r="F56" i="19"/>
  <c r="F51" i="19"/>
  <c r="F76" i="19"/>
  <c r="F79" i="19"/>
  <c r="F57" i="19"/>
  <c r="F61" i="19"/>
  <c r="F86" i="19"/>
  <c r="F78" i="19"/>
  <c r="F69" i="19"/>
  <c r="F67" i="19"/>
  <c r="C1" i="13"/>
  <c r="F88" i="19"/>
  <c r="F63" i="19"/>
  <c r="F80" i="19"/>
  <c r="F70" i="19"/>
  <c r="F55" i="19"/>
  <c r="F59" i="19"/>
  <c r="F77" i="19"/>
  <c r="F87" i="19"/>
  <c r="A92" i="19" l="1"/>
  <c r="A134" i="24"/>
  <c r="E99" i="19" l="1"/>
  <c r="E98" i="19"/>
  <c r="E97" i="19"/>
  <c r="E96" i="19"/>
  <c r="E141" i="24"/>
  <c r="E144" i="24"/>
  <c r="C142" i="24"/>
  <c r="B141" i="24"/>
  <c r="E143" i="24"/>
  <c r="B144" i="24"/>
  <c r="E142" i="24"/>
  <c r="C144" i="24"/>
  <c r="B143" i="24"/>
  <c r="C143" i="24"/>
  <c r="B142" i="24"/>
  <c r="B140" i="24"/>
  <c r="C141" i="24"/>
  <c r="C138" i="24"/>
  <c r="E138" i="24"/>
  <c r="D138" i="24" s="1"/>
  <c r="B139" i="24"/>
  <c r="E140" i="24"/>
  <c r="B138" i="24"/>
  <c r="C139" i="24"/>
  <c r="E139" i="24"/>
  <c r="C140" i="24"/>
  <c r="D140" i="24" l="1"/>
  <c r="D143" i="24"/>
  <c r="D141" i="24"/>
  <c r="D139" i="24"/>
  <c r="D142" i="24"/>
  <c r="D144" i="24"/>
  <c r="L91" i="3" l="1"/>
  <c r="L93" i="3"/>
  <c r="L89" i="3"/>
  <c r="L95" i="3"/>
  <c r="L92" i="3"/>
  <c r="F45" i="25"/>
  <c r="I45" i="25" s="1"/>
  <c r="J45" i="25" s="1"/>
  <c r="F35" i="22" l="1"/>
  <c r="F36" i="22"/>
  <c r="F36" i="23" s="1"/>
  <c r="G36" i="22"/>
  <c r="G35" i="22"/>
  <c r="F38" i="22"/>
  <c r="G38" i="22"/>
  <c r="L90" i="3"/>
  <c r="L94" i="3"/>
  <c r="M89" i="3"/>
  <c r="O89" i="3"/>
  <c r="M95" i="3"/>
  <c r="O95" i="3"/>
  <c r="M92" i="3"/>
  <c r="O92" i="3"/>
  <c r="M91" i="3"/>
  <c r="O91" i="3"/>
  <c r="M93" i="3"/>
  <c r="O93" i="3"/>
  <c r="K45" i="25"/>
  <c r="E6" i="10"/>
  <c r="F6" i="10" s="1"/>
  <c r="I6" i="10" s="1"/>
  <c r="J6" i="10" s="1"/>
  <c r="K6" i="10" s="1"/>
  <c r="G5" i="10"/>
  <c r="E5" i="10"/>
  <c r="F34" i="22" l="1"/>
  <c r="G34" i="22"/>
  <c r="O34" i="22" s="1"/>
  <c r="N34" i="22" s="1"/>
  <c r="F32" i="22"/>
  <c r="G32" i="22"/>
  <c r="O32" i="22" s="1"/>
  <c r="N32" i="22" s="1"/>
  <c r="F33" i="22"/>
  <c r="G33" i="22"/>
  <c r="O33" i="22" s="1"/>
  <c r="N33" i="22" s="1"/>
  <c r="F37" i="22"/>
  <c r="G37" i="22"/>
  <c r="O90" i="3"/>
  <c r="M90" i="3"/>
  <c r="O94" i="3"/>
  <c r="M94" i="3"/>
  <c r="O36" i="22"/>
  <c r="N36" i="22" s="1"/>
  <c r="O35" i="22"/>
  <c r="N35" i="22" s="1"/>
  <c r="O38" i="22"/>
  <c r="N38" i="22" s="1"/>
  <c r="E37" i="10"/>
  <c r="G36" i="10"/>
  <c r="O37" i="22" l="1"/>
  <c r="N37" i="22" s="1"/>
  <c r="M32" i="22" s="1"/>
  <c r="L32" i="22" s="1"/>
  <c r="G36" i="23"/>
  <c r="F37" i="10"/>
  <c r="I37" i="10" s="1"/>
  <c r="J37" i="10" s="1"/>
  <c r="K37" i="10" s="1"/>
  <c r="M82" i="3" l="1"/>
  <c r="B5" i="10" s="1"/>
  <c r="K82" i="3"/>
  <c r="M85" i="3" l="1"/>
  <c r="B36" i="10" s="1"/>
  <c r="K85" i="3"/>
  <c r="G50" i="19"/>
  <c r="G51" i="19"/>
  <c r="G49" i="19"/>
  <c r="F65" i="25"/>
  <c r="I65" i="25" s="1"/>
  <c r="J65" i="25" s="1"/>
  <c r="F36" i="10" l="1"/>
  <c r="I36" i="10" s="1"/>
  <c r="J36" i="10" s="1"/>
  <c r="K36" i="10" s="1"/>
  <c r="F43" i="22"/>
  <c r="G43" i="22"/>
  <c r="L85" i="3"/>
  <c r="K65" i="25"/>
  <c r="G57" i="19"/>
  <c r="G52" i="19"/>
  <c r="F38" i="23"/>
  <c r="G55" i="19"/>
  <c r="G56" i="19"/>
  <c r="G54" i="19"/>
  <c r="E1" i="13"/>
  <c r="G26" i="10"/>
  <c r="G15" i="10"/>
  <c r="F46" i="22" l="1"/>
  <c r="F46" i="23" s="1"/>
  <c r="G46" i="22"/>
  <c r="G46" i="23" s="1"/>
  <c r="G38" i="23"/>
  <c r="D96" i="19" l="1"/>
  <c r="E16" i="10" l="1"/>
  <c r="E15" i="10"/>
  <c r="F16" i="10" l="1"/>
  <c r="I16" i="10" s="1"/>
  <c r="J16" i="10" s="1"/>
  <c r="K16" i="10" s="1"/>
  <c r="F25" i="25" l="1"/>
  <c r="I25" i="25" s="1"/>
  <c r="J25" i="25" s="1"/>
  <c r="K25" i="25" l="1"/>
  <c r="F34" i="23"/>
  <c r="G71" i="19"/>
  <c r="G69" i="19"/>
  <c r="G34" i="23"/>
  <c r="G76" i="19" l="1"/>
  <c r="G77" i="19"/>
  <c r="G72" i="19"/>
  <c r="G74" i="19"/>
  <c r="G75" i="19"/>
  <c r="G70" i="19"/>
  <c r="E26" i="10"/>
  <c r="E27" i="10"/>
  <c r="O16" i="3"/>
  <c r="O15" i="3"/>
  <c r="F27" i="10" l="1"/>
  <c r="I27" i="10" s="1"/>
  <c r="J27" i="10" s="1"/>
  <c r="K27" i="10" s="1"/>
  <c r="D98" i="19" l="1"/>
  <c r="K27" i="25" l="1"/>
  <c r="J27" i="25"/>
  <c r="J28" i="25" s="1"/>
  <c r="M83" i="3"/>
  <c r="K83" i="3" l="1"/>
  <c r="J29" i="25"/>
  <c r="J30" i="25" s="1"/>
  <c r="F15" i="25"/>
  <c r="I15" i="25" s="1"/>
  <c r="J15" i="25" s="1"/>
  <c r="L83" i="3" l="1"/>
  <c r="K15" i="25"/>
  <c r="G67" i="19"/>
  <c r="F33" i="23"/>
  <c r="B15" i="10"/>
  <c r="F15" i="10" s="1"/>
  <c r="I15" i="10" s="1"/>
  <c r="J15" i="10" s="1"/>
  <c r="G60" i="19"/>
  <c r="F44" i="22" l="1"/>
  <c r="F44" i="23" s="1"/>
  <c r="G44" i="22"/>
  <c r="G44" i="23" s="1"/>
  <c r="K15" i="10"/>
  <c r="G33" i="23"/>
  <c r="G62" i="19"/>
  <c r="G65" i="19"/>
  <c r="G61" i="19"/>
  <c r="G66" i="19"/>
  <c r="G59" i="19"/>
  <c r="G64" i="19"/>
  <c r="J67" i="25" l="1"/>
  <c r="D97" i="19" l="1"/>
  <c r="K67" i="25"/>
  <c r="J68" i="25"/>
  <c r="K17" i="10" l="1"/>
  <c r="K17" i="25"/>
  <c r="J17" i="25"/>
  <c r="J18" i="25" s="1"/>
  <c r="J17" i="10"/>
  <c r="J18" i="10" s="1"/>
  <c r="J69" i="25"/>
  <c r="J70" i="25" s="1"/>
  <c r="J71" i="25" s="1"/>
  <c r="P95" i="3" s="1"/>
  <c r="I38" i="22" s="1"/>
  <c r="J38" i="23" l="1"/>
  <c r="J19" i="25"/>
  <c r="J19" i="10"/>
  <c r="J20" i="10" s="1"/>
  <c r="J21" i="10" s="1"/>
  <c r="O83" i="3" s="1"/>
  <c r="J20" i="25" l="1"/>
  <c r="J21" i="25" s="1"/>
  <c r="P90" i="3" s="1"/>
  <c r="I33" i="22" s="1"/>
  <c r="J31" i="25"/>
  <c r="P91" i="3" s="1"/>
  <c r="I34" i="22" s="1"/>
  <c r="I44" i="22"/>
  <c r="J44" i="23" s="1"/>
  <c r="J34" i="23" l="1"/>
  <c r="J33" i="23"/>
  <c r="N83" i="3"/>
  <c r="O44" i="22" s="1"/>
  <c r="N44" i="22" s="1"/>
  <c r="K84" i="3" l="1"/>
  <c r="M84" i="3"/>
  <c r="F35" i="25"/>
  <c r="I35" i="25" s="1"/>
  <c r="J35" i="25" s="1"/>
  <c r="F45" i="22" l="1"/>
  <c r="F45" i="23" s="1"/>
  <c r="G45" i="22"/>
  <c r="K35" i="25"/>
  <c r="L84" i="3"/>
  <c r="G87" i="19"/>
  <c r="F35" i="23"/>
  <c r="B26" i="10"/>
  <c r="F26" i="10" s="1"/>
  <c r="I26" i="10" s="1"/>
  <c r="J26" i="10" s="1"/>
  <c r="G85" i="19"/>
  <c r="G79" i="19"/>
  <c r="K26" i="10" l="1"/>
  <c r="G35" i="23"/>
  <c r="G45" i="23"/>
  <c r="J47" i="25"/>
  <c r="G82" i="19"/>
  <c r="G80" i="19"/>
  <c r="G81" i="19"/>
  <c r="G86" i="19"/>
  <c r="G84" i="19"/>
  <c r="F55" i="25"/>
  <c r="I55" i="25" s="1"/>
  <c r="J55" i="25" s="1"/>
  <c r="J57" i="25" s="1"/>
  <c r="K47" i="25" l="1"/>
  <c r="J48" i="25"/>
  <c r="K55" i="25"/>
  <c r="K57" i="25" s="1"/>
  <c r="J58" i="25"/>
  <c r="F37" i="23"/>
  <c r="G37" i="23"/>
  <c r="D99" i="19" l="1"/>
  <c r="K37" i="25"/>
  <c r="J37" i="25"/>
  <c r="J38" i="25" s="1"/>
  <c r="J49" i="25"/>
  <c r="J50" i="25" s="1"/>
  <c r="J51" i="25" s="1"/>
  <c r="J59" i="25"/>
  <c r="J60" i="25" s="1"/>
  <c r="J61" i="25" s="1"/>
  <c r="P94" i="3" s="1"/>
  <c r="J38" i="10" l="1"/>
  <c r="J39" i="10" s="1"/>
  <c r="K38" i="10"/>
  <c r="I37" i="22"/>
  <c r="J37" i="23" s="1"/>
  <c r="K28" i="10"/>
  <c r="J28" i="10"/>
  <c r="J29" i="10" s="1"/>
  <c r="J39" i="25"/>
  <c r="J40" i="25" s="1"/>
  <c r="J41" i="25" s="1"/>
  <c r="P92" i="3" s="1"/>
  <c r="J40" i="10" l="1"/>
  <c r="J41" i="10" s="1"/>
  <c r="J42" i="10" s="1"/>
  <c r="O85" i="3" s="1"/>
  <c r="I35" i="22"/>
  <c r="J35" i="23" s="1"/>
  <c r="J30" i="10"/>
  <c r="J31" i="10" s="1"/>
  <c r="J32" i="10" s="1"/>
  <c r="O84" i="3" l="1"/>
  <c r="I45" i="22" s="1"/>
  <c r="J45" i="23" s="1"/>
  <c r="I46" i="22"/>
  <c r="J46" i="23" s="1"/>
  <c r="I46" i="23" s="1"/>
  <c r="N85" i="3"/>
  <c r="O46" i="22" s="1"/>
  <c r="N46" i="22" s="1"/>
  <c r="N84" i="3"/>
  <c r="O45" i="22" s="1"/>
  <c r="N45" i="22" s="1"/>
  <c r="F5" i="25" l="1"/>
  <c r="I5" i="25" s="1"/>
  <c r="J5" i="25" s="1"/>
  <c r="F5" i="10" l="1"/>
  <c r="I5" i="10" s="1"/>
  <c r="J5" i="10" s="1"/>
  <c r="F32" i="23"/>
  <c r="K5" i="25"/>
  <c r="K5" i="10" l="1"/>
  <c r="G32" i="23"/>
  <c r="K7" i="25" l="1"/>
  <c r="J7" i="25"/>
  <c r="J8" i="25" s="1"/>
  <c r="J9" i="25" l="1"/>
  <c r="J10" i="25" s="1"/>
  <c r="J11" i="25" s="1"/>
  <c r="P89" i="3" s="1"/>
  <c r="I32" i="22" l="1"/>
  <c r="J32" i="23" s="1"/>
  <c r="I32" i="23" s="1"/>
  <c r="P93" i="3"/>
  <c r="I36" i="22" s="1"/>
  <c r="J36" i="23" l="1"/>
  <c r="F43" i="23"/>
  <c r="L82" i="3"/>
  <c r="G43" i="23" s="1"/>
  <c r="J7" i="10" l="1"/>
  <c r="J8" i="10" s="1"/>
  <c r="K7" i="10"/>
  <c r="J9" i="10" l="1"/>
  <c r="J10" i="10" s="1"/>
  <c r="J11" i="10" s="1"/>
  <c r="O82" i="3" s="1"/>
  <c r="I43" i="22" l="1"/>
  <c r="J43" i="23" s="1"/>
  <c r="I43" i="23" s="1"/>
  <c r="N82" i="3" l="1"/>
  <c r="O43" i="22" s="1"/>
  <c r="N43" i="22" s="1"/>
  <c r="M43" i="22" s="1"/>
  <c r="L43" i="22" s="1"/>
  <c r="M71" i="22" s="1"/>
  <c r="N75" i="22" s="1"/>
  <c r="I69" i="22" s="1"/>
  <c r="H2" i="3" l="1"/>
  <c r="A2" i="22" s="1"/>
  <c r="A2" i="23" s="1"/>
  <c r="B63" i="3"/>
  <c r="B61" i="22" s="1"/>
  <c r="B60" i="23" s="1"/>
  <c r="A3" i="39" l="1"/>
  <c r="F6" i="39" s="1"/>
  <c r="E287" i="3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PC-PK</author>
  </authors>
  <commentList>
    <comment ref="D22" authorId="0" shapeId="0" xr:uid="{72B4EEA4-117A-4466-9F6C-71BFD80CD6AC}">
      <text>
        <r>
          <rPr>
            <b/>
            <sz val="9"/>
            <color indexed="81"/>
            <rFont val="Tahoma"/>
            <family val="2"/>
          </rPr>
          <t>PC-PK:</t>
        </r>
        <r>
          <rPr>
            <sz val="9"/>
            <color indexed="81"/>
            <rFont val="Tahoma"/>
            <family val="2"/>
          </rPr>
          <t xml:space="preserve">
CONTOH</t>
        </r>
      </text>
    </comment>
  </commentList>
</comments>
</file>

<file path=xl/sharedStrings.xml><?xml version="1.0" encoding="utf-8"?>
<sst xmlns="http://schemas.openxmlformats.org/spreadsheetml/2006/main" count="1890" uniqueCount="484">
  <si>
    <t>LEMBAR KERJA KALIBRASI PULSE OXYMETER</t>
  </si>
  <si>
    <t>Nomor Sertifikat / Nomor Surat Keterangan : 42 /     / VI - 21 / E - 032.48 DL</t>
  </si>
  <si>
    <t>Merek</t>
  </si>
  <si>
    <t xml:space="preserve">: </t>
  </si>
  <si>
    <t>Model/Tipe</t>
  </si>
  <si>
    <t>No. Seri</t>
  </si>
  <si>
    <t>Resolusi</t>
  </si>
  <si>
    <t>:     (…….)</t>
  </si>
  <si>
    <t>% &amp; (…...)</t>
  </si>
  <si>
    <t>BPM</t>
  </si>
  <si>
    <t>Tanggal Penerimaan Alat</t>
  </si>
  <si>
    <t>Tanggal Kalibrasi</t>
  </si>
  <si>
    <t>Tempat Kalibrasi</t>
  </si>
  <si>
    <t>Nama Ruang</t>
  </si>
  <si>
    <t xml:space="preserve">I.     </t>
  </si>
  <si>
    <t>Kondisi Ruang</t>
  </si>
  <si>
    <t>Awal</t>
  </si>
  <si>
    <t>Akhir</t>
  </si>
  <si>
    <t>1. Suhu</t>
  </si>
  <si>
    <r>
      <t>o</t>
    </r>
    <r>
      <rPr>
        <sz val="11"/>
        <rFont val="Arial"/>
        <family val="2"/>
      </rPr>
      <t>C</t>
    </r>
  </si>
  <si>
    <t xml:space="preserve">2. Kelembaban </t>
  </si>
  <si>
    <t>% RH</t>
  </si>
  <si>
    <t xml:space="preserve">3. Tegangan jala - jala </t>
  </si>
  <si>
    <t>:</t>
  </si>
  <si>
    <t>Volt</t>
  </si>
  <si>
    <t xml:space="preserve">II.     </t>
  </si>
  <si>
    <t>Pemeriksaan Kondisi Fisik dan Fungsi Alat</t>
  </si>
  <si>
    <t>Score</t>
  </si>
  <si>
    <t>1. Fisik</t>
  </si>
  <si>
    <t>: Baik / Tidak Baik</t>
  </si>
  <si>
    <t>2. Fungsi</t>
  </si>
  <si>
    <t>III.</t>
  </si>
  <si>
    <t>Pengujian Keselamatan Listrik</t>
  </si>
  <si>
    <t>No</t>
  </si>
  <si>
    <t>Parameter</t>
  </si>
  <si>
    <t>Hasil Ukur</t>
  </si>
  <si>
    <t xml:space="preserve">Ambang Batas </t>
  </si>
  <si>
    <t>yang diijinkan</t>
  </si>
  <si>
    <t>Resistansi isolasi</t>
  </si>
  <si>
    <t>MΩ</t>
  </si>
  <si>
    <t xml:space="preserve">&gt; 2 MΩ
</t>
  </si>
  <si>
    <t>Resistansi Pembumian Protektif</t>
  </si>
  <si>
    <t>Ω</t>
  </si>
  <si>
    <t>≤ 0.2 Ω</t>
  </si>
  <si>
    <t>Arus bocor peralatan untuk peralatan elektromedik kelas I / II</t>
  </si>
  <si>
    <t>µA</t>
  </si>
  <si>
    <t>≤  500 / 100 µA</t>
  </si>
  <si>
    <t xml:space="preserve">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</si>
  <si>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'</t>
  </si>
  <si>
    <t>IV.</t>
  </si>
  <si>
    <t xml:space="preserve">Pengujian Kinerja  </t>
  </si>
  <si>
    <t>Setting                             Pada Standar</t>
  </si>
  <si>
    <t xml:space="preserve"> Pembacaan pada Alat</t>
  </si>
  <si>
    <t>Toleransi</t>
  </si>
  <si>
    <t>I</t>
  </si>
  <si>
    <t>II</t>
  </si>
  <si>
    <t>III</t>
  </si>
  <si>
    <t>IV</t>
  </si>
  <si>
    <t>V</t>
  </si>
  <si>
    <t>VI</t>
  </si>
  <si>
    <t>Batas</t>
  </si>
  <si>
    <t>Saturasi O₂ (%)</t>
  </si>
  <si>
    <t>± 1 % O₂</t>
  </si>
  <si>
    <t>maksimal 3 titik keluar</t>
  </si>
  <si>
    <t>2.</t>
  </si>
  <si>
    <t>3.</t>
  </si>
  <si>
    <t>4.</t>
  </si>
  <si>
    <t>5.</t>
  </si>
  <si>
    <t>6.</t>
  </si>
  <si>
    <t>7.</t>
  </si>
  <si>
    <t>B. Kalibrasi Akurasi Heart Rate</t>
  </si>
  <si>
    <t>maksimal 2 titik keluar</t>
  </si>
  <si>
    <t>Heart Rate (BPM)</t>
  </si>
  <si>
    <r>
      <t xml:space="preserve"> </t>
    </r>
    <r>
      <rPr>
        <u/>
        <sz val="11"/>
        <rFont val="Arial"/>
        <family val="2"/>
      </rPr>
      <t>+</t>
    </r>
    <r>
      <rPr>
        <sz val="11"/>
        <rFont val="Arial"/>
        <family val="2"/>
      </rPr>
      <t xml:space="preserve"> 5%</t>
    </r>
  </si>
  <si>
    <t>V.</t>
  </si>
  <si>
    <t>Keterangan</t>
  </si>
  <si>
    <t>...............................................................................................</t>
  </si>
  <si>
    <t xml:space="preserve"> </t>
  </si>
  <si>
    <t>VI.</t>
  </si>
  <si>
    <t xml:space="preserve">Alat Ukur Yang Digunakan </t>
  </si>
  <si>
    <t>□</t>
  </si>
  <si>
    <t>SpO2 Simulator, Merek : Fluke, Model : SPOTLight SN : 2799069, 2799009, 4403084, 4352022, 4404040, 4589019</t>
  </si>
  <si>
    <t>Electrical Safety Analyzer, Merek : FLUKE, Model : ESA 615, SN : 2853077, 2853078, 3148907, 3148908, 3699030</t>
  </si>
  <si>
    <t>Electrical Safety Analyzer, Merek : FLUKE, Model : ESA 615, SN : 4670010, 4669058</t>
  </si>
  <si>
    <t>Electrical Safety Analyzer, Merek : FLUKE  Model : ESA 620 SN :1837056, 1834020</t>
  </si>
  <si>
    <t>Digital Thermohygrometer, Merek : KIMO, Model : KH-210 , SN: 15062875, 15062874, 14082463, 15062872, 15062873</t>
  </si>
  <si>
    <t>Digital Thermohygrometer, Merek : Sekonic, Model : ST - 50A, SN: HE 21-000670,  HE 21-000669</t>
  </si>
  <si>
    <t>Digital Thermohygrometer, Merek : GREISINGER, Model : GFTB 200, SN: 34903046,  34903053, 34903051, 34904091</t>
  </si>
  <si>
    <t>Digital Thermohygro Barometer : EXTECH, SD700, SN : A.100609, A.100605, A.100611, A.100616,  A.100617</t>
  </si>
  <si>
    <t xml:space="preserve">A.100618, A.100586 </t>
  </si>
  <si>
    <t xml:space="preserve">VII. </t>
  </si>
  <si>
    <t>Kesimpulan</t>
  </si>
  <si>
    <t>Alat yang dikalibrasi dinyatakan LAIK PAKAI / TIDAK LAIK PAKAI</t>
  </si>
  <si>
    <t>VIII.</t>
  </si>
  <si>
    <t>Petugas Kalibrasi</t>
  </si>
  <si>
    <t>..............................</t>
  </si>
  <si>
    <t>No.</t>
  </si>
  <si>
    <t>Tanggal</t>
  </si>
  <si>
    <t>Revisi</t>
  </si>
  <si>
    <t>Oleh</t>
  </si>
  <si>
    <t>-</t>
  </si>
  <si>
    <t>Revisi NC kelas II</t>
  </si>
  <si>
    <t>ada sama dengan</t>
  </si>
  <si>
    <t>&gt; 20 MΩ</t>
  </si>
  <si>
    <t>Penambahan Alat tidak boleh digunakan pada instalasi yang tanpa dilengkapi grounding pada LHK dan penyelia</t>
  </si>
  <si>
    <t>tidak terdapat grounding</t>
  </si>
  <si>
    <t>tidak terdapat grounding di ruangan</t>
  </si>
  <si>
    <t>Perbaikan rumus NC</t>
  </si>
  <si>
    <t>Kelembaban relatif</t>
  </si>
  <si>
    <t>kelembaban</t>
  </si>
  <si>
    <t>Kesimpulan tidak otomatis</t>
  </si>
  <si>
    <t>Kesimpulan otomatis</t>
  </si>
  <si>
    <t>Pemilihan no. sertifikat / surat ket masih manual</t>
  </si>
  <si>
    <t>DONE</t>
  </si>
  <si>
    <t>Arya</t>
  </si>
  <si>
    <t>STDEV DB Suhu masih manual</t>
  </si>
  <si>
    <t>Scoring oksigen 30 dan bpm 20</t>
  </si>
  <si>
    <t>Scoring oksigen 35 dan bpm 15</t>
  </si>
  <si>
    <t>Venna</t>
  </si>
  <si>
    <t>28 Juni 2021</t>
  </si>
  <si>
    <t>Koreksi di penyelia Absolut</t>
  </si>
  <si>
    <t>Septi</t>
  </si>
  <si>
    <t>5 Januari 2022</t>
  </si>
  <si>
    <t>Perbaikan scoring total</t>
  </si>
  <si>
    <t>Isra</t>
  </si>
  <si>
    <t>7 Januari 2022</t>
  </si>
  <si>
    <t>Perbaikan scoring Saturasi</t>
  </si>
  <si>
    <t>Menambahkan Sheet Cetak Sertifikat</t>
  </si>
  <si>
    <t>Septia</t>
  </si>
  <si>
    <t>INPUT DATA KALIBRASI PULSE OXYMETER</t>
  </si>
  <si>
    <t>Acare</t>
  </si>
  <si>
    <t>UGD</t>
  </si>
  <si>
    <t>Metode Kerja</t>
  </si>
  <si>
    <t>MK 041 - 18</t>
  </si>
  <si>
    <t>I.</t>
  </si>
  <si>
    <t>Rata2</t>
  </si>
  <si>
    <t>Rata2 Terkoreksi</t>
  </si>
  <si>
    <t xml:space="preserve">1. Suhu </t>
  </si>
  <si>
    <t>°C</t>
  </si>
  <si>
    <t>2. Kelembaban</t>
  </si>
  <si>
    <t>%RH</t>
  </si>
  <si>
    <t>3. Tegangan Jala - jala</t>
  </si>
  <si>
    <t>II.</t>
  </si>
  <si>
    <t>Baik</t>
  </si>
  <si>
    <t>Arus bocor peralatan untuk peralatan elektromedik kelas II</t>
  </si>
  <si>
    <t>Pengujian Kinerja</t>
  </si>
  <si>
    <t>A. Kalibrasi Akurasi Saturasi Oksigen</t>
  </si>
  <si>
    <t xml:space="preserve"> Pembacaan Alat</t>
  </si>
  <si>
    <t>NC</t>
  </si>
  <si>
    <t>1.</t>
  </si>
  <si>
    <t>Ketidakpastian pengukuran diperoleh dari sumber kesalahan tipe A dan tipe B</t>
  </si>
  <si>
    <t>Catu daya menggunakan baterai</t>
  </si>
  <si>
    <t>Alat Ukur Yang Digunakan</t>
  </si>
  <si>
    <t>SPO₂ Simulator, Merek : Fluke, Model : SPOT LIGHT, SN : 4589019</t>
  </si>
  <si>
    <t>VII.</t>
  </si>
  <si>
    <t>Tidak terdapat grounding di ruangan</t>
  </si>
  <si>
    <t>Septia Khairunnisa</t>
  </si>
  <si>
    <t>IX.</t>
  </si>
  <si>
    <t>Tanggal Pembuatan Laporan</t>
  </si>
  <si>
    <t>Hasil Skor</t>
  </si>
  <si>
    <t>Tidak terdapat grounding</t>
  </si>
  <si>
    <t>Alat tidak boleh digunakan pada instalasi yang tanpa dilengkapi grounding</t>
  </si>
  <si>
    <t xml:space="preserve"> Pembacaan UUT Terkoreksi</t>
  </si>
  <si>
    <t>Rata - Rata terkoreksi</t>
  </si>
  <si>
    <t>Koreksi</t>
  </si>
  <si>
    <t>Standar deviasi</t>
  </si>
  <si>
    <t>Koreksi Relatif %</t>
  </si>
  <si>
    <t>U95</t>
  </si>
  <si>
    <t>Frekuensi Heart Rate (BPM)</t>
  </si>
  <si>
    <t>4</t>
  </si>
  <si>
    <t>6</t>
  </si>
  <si>
    <t xml:space="preserve"> Pembacaan UUT</t>
  </si>
  <si>
    <t xml:space="preserve">Rata - Rata </t>
  </si>
  <si>
    <t>Kesalahan</t>
  </si>
  <si>
    <t>Relatif</t>
  </si>
  <si>
    <t>Tidak Baik</t>
  </si>
  <si>
    <t>2. Tidak terdapat grounding</t>
  </si>
  <si>
    <t>2. Catu daya menggunakan genset</t>
  </si>
  <si>
    <t>2. Catu daya menngunakan baterai</t>
  </si>
  <si>
    <t>2.  Catu daya menggunakan adaptor</t>
  </si>
  <si>
    <t>Dany Firmanto</t>
  </si>
  <si>
    <t>Donny Martha</t>
  </si>
  <si>
    <t>Choirul Huda</t>
  </si>
  <si>
    <t>Rangga Prasetya Hantoko</t>
  </si>
  <si>
    <t>Muhammad Zaenuri Sugiasmoro</t>
  </si>
  <si>
    <t>Muhammad Arrizal Septiawan</t>
  </si>
  <si>
    <t>Supriyanto</t>
  </si>
  <si>
    <t>Isra Mahensa</t>
  </si>
  <si>
    <t xml:space="preserve">Alat yang di kalibrasi dalam batas toleransi dan dinyatakan LAIK PAKAI </t>
  </si>
  <si>
    <t xml:space="preserve">Alat yang di kalibrasi melebihi batas toleransi dan dinyatakan TIDAK LAIK PAKAI </t>
  </si>
  <si>
    <t/>
  </si>
  <si>
    <t>UNCERTAINTY</t>
  </si>
  <si>
    <t>BPM 30</t>
  </si>
  <si>
    <t>Sumber</t>
  </si>
  <si>
    <t>u</t>
  </si>
  <si>
    <t>satuan</t>
  </si>
  <si>
    <t>dist</t>
  </si>
  <si>
    <t>div</t>
  </si>
  <si>
    <t>ui</t>
  </si>
  <si>
    <t>vi</t>
  </si>
  <si>
    <t>ci</t>
  </si>
  <si>
    <t>ui.ci</t>
  </si>
  <si>
    <t>(ui.ci)^2</t>
  </si>
  <si>
    <t>(ui.ci)^4/vi</t>
  </si>
  <si>
    <t>Repeatibility</t>
  </si>
  <si>
    <t>bpm</t>
  </si>
  <si>
    <t>normal</t>
  </si>
  <si>
    <t>rect.</t>
  </si>
  <si>
    <t>Jumlah</t>
  </si>
  <si>
    <t>Ketidakpastian baku gabungan, Uc</t>
  </si>
  <si>
    <r>
      <t>Uc</t>
    </r>
    <r>
      <rPr>
        <sz val="11"/>
        <rFont val="Times New Roman"/>
        <family val="1"/>
      </rPr>
      <t xml:space="preserve"> = </t>
    </r>
    <r>
      <rPr>
        <sz val="11"/>
        <rFont val="Symbol"/>
        <family val="1"/>
        <charset val="2"/>
      </rPr>
      <t>Ö</t>
    </r>
    <r>
      <rPr>
        <sz val="11"/>
        <rFont val="Times New Roman"/>
        <family val="1"/>
      </rPr>
      <t xml:space="preserve"> [</t>
    </r>
    <r>
      <rPr>
        <sz val="11"/>
        <rFont val="Symbol"/>
        <family val="1"/>
        <charset val="2"/>
      </rPr>
      <t>S</t>
    </r>
    <r>
      <rPr>
        <sz val="11"/>
        <rFont val="Times New Roman"/>
        <family val="1"/>
      </rPr>
      <t>(u</t>
    </r>
    <r>
      <rPr>
        <vertAlign val="subscript"/>
        <sz val="11"/>
        <rFont val="Times New Roman"/>
        <family val="1"/>
      </rPr>
      <t>i</t>
    </r>
    <r>
      <rPr>
        <sz val="11"/>
        <rFont val="Times New Roman"/>
        <family val="1"/>
      </rPr>
      <t xml:space="preserve"> c</t>
    </r>
    <r>
      <rPr>
        <vertAlign val="subscript"/>
        <sz val="11"/>
        <rFont val="Times New Roman"/>
        <family val="1"/>
      </rPr>
      <t>i</t>
    </r>
    <r>
      <rPr>
        <sz val="11"/>
        <rFont val="Times New Roman"/>
        <family val="1"/>
      </rPr>
      <t>)²]</t>
    </r>
  </si>
  <si>
    <t>Derajat kebebasan efektif, veff</t>
  </si>
  <si>
    <r>
      <t>n</t>
    </r>
    <r>
      <rPr>
        <vertAlign val="subscript"/>
        <sz val="11"/>
        <rFont val="Times New Roman"/>
        <family val="1"/>
      </rPr>
      <t>eff</t>
    </r>
    <r>
      <rPr>
        <sz val="11"/>
        <rFont val="Times New Roman"/>
        <family val="1"/>
      </rPr>
      <t xml:space="preserve"> = u</t>
    </r>
    <r>
      <rPr>
        <vertAlign val="subscript"/>
        <sz val="11"/>
        <rFont val="Times New Roman"/>
        <family val="1"/>
      </rPr>
      <t>c</t>
    </r>
    <r>
      <rPr>
        <vertAlign val="superscript"/>
        <sz val="11"/>
        <rFont val="Times New Roman"/>
        <family val="1"/>
      </rPr>
      <t>4</t>
    </r>
    <r>
      <rPr>
        <sz val="11"/>
        <rFont val="Times New Roman"/>
        <family val="1"/>
      </rPr>
      <t xml:space="preserve"> / [</t>
    </r>
    <r>
      <rPr>
        <sz val="11"/>
        <rFont val="Symbol"/>
        <family val="1"/>
        <charset val="2"/>
      </rPr>
      <t>S</t>
    </r>
    <r>
      <rPr>
        <sz val="11"/>
        <rFont val="Times New Roman"/>
        <family val="1"/>
      </rPr>
      <t>(u</t>
    </r>
    <r>
      <rPr>
        <vertAlign val="subscript"/>
        <sz val="11"/>
        <rFont val="Times New Roman"/>
        <family val="1"/>
      </rPr>
      <t>i</t>
    </r>
    <r>
      <rPr>
        <sz val="11"/>
        <rFont val="Times New Roman"/>
        <family val="1"/>
      </rPr>
      <t xml:space="preserve"> c</t>
    </r>
    <r>
      <rPr>
        <vertAlign val="subscript"/>
        <sz val="11"/>
        <rFont val="Times New Roman"/>
        <family val="1"/>
      </rPr>
      <t>i</t>
    </r>
    <r>
      <rPr>
        <sz val="11"/>
        <rFont val="Times New Roman"/>
        <family val="1"/>
      </rPr>
      <t>)</t>
    </r>
    <r>
      <rPr>
        <vertAlign val="superscript"/>
        <sz val="11"/>
        <rFont val="Times New Roman"/>
        <family val="1"/>
      </rPr>
      <t xml:space="preserve"> 4</t>
    </r>
    <r>
      <rPr>
        <sz val="11"/>
        <rFont val="Times New Roman"/>
        <family val="1"/>
      </rPr>
      <t>/</t>
    </r>
    <r>
      <rPr>
        <sz val="11"/>
        <rFont val="Symbol"/>
        <family val="1"/>
        <charset val="2"/>
      </rPr>
      <t>n</t>
    </r>
    <r>
      <rPr>
        <vertAlign val="subscript"/>
        <sz val="11"/>
        <rFont val="Times New Roman"/>
        <family val="1"/>
      </rPr>
      <t>i</t>
    </r>
    <r>
      <rPr>
        <sz val="11"/>
        <rFont val="Times New Roman"/>
        <family val="1"/>
      </rPr>
      <t>]</t>
    </r>
  </si>
  <si>
    <t>Faktor cakupan, k-student's for veff and CL 95%</t>
  </si>
  <si>
    <t>k</t>
  </si>
  <si>
    <t>Ketidakpastian bentangan, U = k.Uc</t>
  </si>
  <si>
    <t>U = k. Uc</t>
  </si>
  <si>
    <t>BPM 60</t>
  </si>
  <si>
    <t>BPM 120</t>
  </si>
  <si>
    <t>BPM 240</t>
  </si>
  <si>
    <t>Suhu</t>
  </si>
  <si>
    <t>Kelembaban</t>
  </si>
  <si>
    <t>DRIFT</t>
  </si>
  <si>
    <t>SPO2 100%</t>
  </si>
  <si>
    <t>% O₂</t>
  </si>
  <si>
    <t>SPO2 99%</t>
  </si>
  <si>
    <t>SPO2 98%</t>
  </si>
  <si>
    <t>SPO2 97%</t>
  </si>
  <si>
    <t>SPO2 95%</t>
  </si>
  <si>
    <t>SPO2 90%</t>
  </si>
  <si>
    <t>SPO2 85%</t>
  </si>
  <si>
    <t>HASIL KALIBRASI PULSE OXYMETER</t>
  </si>
  <si>
    <t>Setting Standar</t>
  </si>
  <si>
    <t>Pambacaan Alat</t>
  </si>
  <si>
    <t>Ketidakpastian Pengukuran</t>
  </si>
  <si>
    <t>score</t>
  </si>
  <si>
    <t>Koreksi Relatif ( % )</t>
  </si>
  <si>
    <t>± 5 %</t>
  </si>
  <si>
    <t>Dibuat Oleh :</t>
  </si>
  <si>
    <t>Paraf:…..</t>
  </si>
  <si>
    <t>TOTAL</t>
  </si>
  <si>
    <t>Penyelia :</t>
  </si>
  <si>
    <t>Kondisi</t>
  </si>
  <si>
    <t>Listrik</t>
  </si>
  <si>
    <t>Kinerja</t>
  </si>
  <si>
    <t>Menyetujui,</t>
  </si>
  <si>
    <t>Kepala Instalasi Laboratorium</t>
  </si>
  <si>
    <t>Pengujian dan Kalibrasi</t>
  </si>
  <si>
    <t>Choirul Huda,S.Tr.Kes</t>
  </si>
  <si>
    <t>Halaman 2 dari 2 halaman</t>
  </si>
  <si>
    <t>NIP 198008062010121001</t>
  </si>
  <si>
    <t>NIP 198103112010121001</t>
  </si>
  <si>
    <t>SERTIFIKAT KALIBRASI</t>
  </si>
  <si>
    <t>Tahun</t>
  </si>
  <si>
    <t xml:space="preserve">                                                                 </t>
  </si>
  <si>
    <t xml:space="preserve">Nama Alat            : </t>
  </si>
  <si>
    <t xml:space="preserve">Nomor Order           : </t>
  </si>
  <si>
    <t>Model / Tipe</t>
  </si>
  <si>
    <t>Nomor Seri</t>
  </si>
  <si>
    <t>Nama Pemilik      :</t>
  </si>
  <si>
    <t xml:space="preserve">Identitas Pemilik     : </t>
  </si>
  <si>
    <t>Alamat Pemilik</t>
  </si>
  <si>
    <t>Laboratorium Kalibrasi LPFK Banjarbaru</t>
  </si>
  <si>
    <t>Banjarbaru,</t>
  </si>
  <si>
    <t>Kepala Loka Pengamanan</t>
  </si>
  <si>
    <t>Fasilitas Kesehatan Banjarbaru</t>
  </si>
  <si>
    <t>Yuni Irmawati, SKM., MA</t>
  </si>
  <si>
    <t>NIP 197806222002122001</t>
  </si>
  <si>
    <t>INPUT DATA SERTIFIKAT ESA</t>
  </si>
  <si>
    <t>A</t>
  </si>
  <si>
    <t>B</t>
  </si>
  <si>
    <t>C</t>
  </si>
  <si>
    <t>KOREKSI ESA</t>
  </si>
  <si>
    <t>Setting VAC</t>
  </si>
  <si>
    <t>Driff</t>
  </si>
  <si>
    <t>( V )</t>
  </si>
  <si>
    <t>Current Leakage</t>
  </si>
  <si>
    <t>( uA )</t>
  </si>
  <si>
    <t>Main-PE</t>
  </si>
  <si>
    <t>Resistance</t>
  </si>
  <si>
    <t>D</t>
  </si>
  <si>
    <t>E</t>
  </si>
  <si>
    <t>F</t>
  </si>
  <si>
    <t>G</t>
  </si>
  <si>
    <t>No urut alat</t>
  </si>
  <si>
    <t>Pembacaan Standar</t>
  </si>
  <si>
    <t>Pembacaan terkoreksi</t>
  </si>
  <si>
    <t>Hasil</t>
  </si>
  <si>
    <t>NO</t>
  </si>
  <si>
    <t>Electrical Safety Analyzer, Merek : Fluke, Model : ESA 615, SN : 2853077</t>
  </si>
  <si>
    <t>Electrical Safety Analyzer, Merek : Fluke, Model : ESA 615, SN : 3148908</t>
  </si>
  <si>
    <t>Electrical Safety Analyzer, Merek : Fluke, Model : ESA 615, SN : 3699030</t>
  </si>
  <si>
    <t>Electrical Safety Analyzer, Merek : Fluke, Model : ESA 615, SN : 4670010</t>
  </si>
  <si>
    <t>Electrical Safety Analyzer, Merek : Fluke, Model : ESA 615, SN : 4669058</t>
  </si>
  <si>
    <t>INPUT SERTIFIKAT THERMOHYGROMETER</t>
  </si>
  <si>
    <t>KOREKSI KIMO THERMOHYGROMETER 15062873</t>
  </si>
  <si>
    <t>KOREKSI KIMO THERMOHYGROMETER 15062874</t>
  </si>
  <si>
    <t>KOREKSI KIMO THERMOHYGROMETER 14082463</t>
  </si>
  <si>
    <t>KOREKSI KIMO THERMOHYGROMETER 15062872</t>
  </si>
  <si>
    <t>KOREKSI KIMO THERMOHYGROMETER 15062875</t>
  </si>
  <si>
    <t>KOREKSI GREISINGER 34903046</t>
  </si>
  <si>
    <t>KOREKSI GREISINGER 34903053</t>
  </si>
  <si>
    <t>KOREKSI GREISINGER 34903051</t>
  </si>
  <si>
    <t>KOREKSI GREISINGER 34904091</t>
  </si>
  <si>
    <t>KOREKSI Sekonic HE-21.000669</t>
  </si>
  <si>
    <t>KOREKSI Sekonic HE-21.000670</t>
  </si>
  <si>
    <t>KOREKSI THERMOHYGROMETER</t>
  </si>
  <si>
    <t>Rata-rata standar</t>
  </si>
  <si>
    <t>Rata-rata Terkoreksi</t>
  </si>
  <si>
    <t>STDEV</t>
  </si>
  <si>
    <t>Konversi TEXT</t>
  </si>
  <si>
    <t xml:space="preserve"> °C</t>
  </si>
  <si>
    <t xml:space="preserve"> %RH</t>
  </si>
  <si>
    <t xml:space="preserve">( </t>
  </si>
  <si>
    <t xml:space="preserve"> ± </t>
  </si>
  <si>
    <t xml:space="preserve"> )</t>
  </si>
  <si>
    <t>INTERPOLASI KOREKSI SUHU</t>
  </si>
  <si>
    <t>INTERPOLASI KOREKSI KELEMBABAN</t>
  </si>
  <si>
    <t>Thermohygrolight, Merek : KIMO, Model : KH-210-AO, SN : 14082463</t>
  </si>
  <si>
    <t>Thermohygrolight, Merek : Greisinger, Model : GFTB 200, SN : 34903046</t>
  </si>
  <si>
    <t>Thermohygrolight, Merek : Greisinger, Model : GFTB 200, SN : 34903053</t>
  </si>
  <si>
    <t>Thermohygrolight, Merek : Greisinger, Model : GFTB 200, SN : 34903051</t>
  </si>
  <si>
    <t>Thermohygrolight, Merek : Greisinger, Model : GFTB 200, SN : 34904091</t>
  </si>
  <si>
    <t>Thermohygrolight, Merek : Sekonic, Model : ST-50A, SN : HE-21.000669</t>
  </si>
  <si>
    <t>Thermohygrolight, Merek : Sekonic, Model : ST-50A, SN : HE-21.000670</t>
  </si>
  <si>
    <t>Ketidakpastian pengukuran diperoleh dari sumber ketidakpastian tipe A dan tipe B</t>
  </si>
  <si>
    <t>Thermohygrometer, Merek : KIMO, KH-210-AO (14082463)</t>
  </si>
  <si>
    <t>≤ 500 µA</t>
  </si>
  <si>
    <t>SPO₂ Simulator, Merek : Fluke, Model : SPOT LIGHT, SN : 2799069</t>
  </si>
  <si>
    <t>Hasil Kalibrasi Saturasi Oksigen tertelusur ke Satuan Internasional ( SI ) melalui CALTEK PTE LTD</t>
  </si>
  <si>
    <t>Hasil Kalibrasi Frekuensi Heart Rate (BPM) tertelusur ke Satuan Internasional ( SI ) melalui CALTEK PTE LTD</t>
  </si>
  <si>
    <t>1. Ketidakpastian pengukuran diperoleh dari sumber ketidakpastian tipe A dan tipe B</t>
  </si>
  <si>
    <t xml:space="preserve">Electical Safety Analyzer, Merek : Fluke, Model : ESA 620 (1837056) </t>
  </si>
  <si>
    <t>2. Hasil pengukuran keselamatan listrik tertelusur ke Satuan Internasional ( SI ) melalui CALTEK PTE LTD</t>
  </si>
  <si>
    <t>Thermohygrometer, Merek : KIMO, KH-210-AO (15062872)</t>
  </si>
  <si>
    <t>≤ 100 µA</t>
  </si>
  <si>
    <t>SPO₂ Simulator, Merek : Fluke, Model : SPOT LIGHT, SN : 2812009</t>
  </si>
  <si>
    <t>Electical Safety Analyzer, Merek : Fluke, Model : ESA 620 ( 1834020 )</t>
  </si>
  <si>
    <t>SPO₂ Simulator, Merek : Fluke, Model : SPOT LIGHT, SN : 4403084</t>
  </si>
  <si>
    <t xml:space="preserve">Electical Safety Analyzer, Merek : Fluke, Model : ESA 615 (2853077) </t>
  </si>
  <si>
    <t>2. Hasil pengukuran keselamatan listrik tertelusur ke Satuan Internasional ( SI ) melalui PT. KALIMAN ( LK - 032 - IDN )</t>
  </si>
  <si>
    <t>Thermohygrometer, Merek : KIMO, KH-210-AO (15062875)</t>
  </si>
  <si>
    <t>Rangga Setya Hantoko</t>
  </si>
  <si>
    <t>SPO₂ Simulator, Merek : Fluke, Model : SPOT LIGHT, SN : 4352022</t>
  </si>
  <si>
    <t>Electical Safety Analyzer, Merek : Fluke, Model : ESA 615 (2853078)</t>
  </si>
  <si>
    <t>Thermohygrometer, Merek : SEKONIC, ST-50A (HE 21-000670)</t>
  </si>
  <si>
    <t>Hamdan Syarif</t>
  </si>
  <si>
    <t>Electical Safety Analyzer, Merek : Fluke, Model : ESA 615 (3148907)</t>
  </si>
  <si>
    <t>Thermohygrometer, Merek : SEKONIC, ST-50A (HE 21-000669)</t>
  </si>
  <si>
    <t>Vital Sign Simulator, Merek : Fluke Biomedical, Model : PROSIM 8, SN : 3217028</t>
  </si>
  <si>
    <t xml:space="preserve">Electical Safety Analyzer, Merek : Fluke, Model : ESA 615 (3148908) </t>
  </si>
  <si>
    <t>Thermohygrometer, Merek : GREISINGER,GFTB 200 (34903053)</t>
  </si>
  <si>
    <t xml:space="preserve">Electical Safety Analyzer, Merek : Fluke, Model : ESA 615 (3699030) </t>
  </si>
  <si>
    <t>Thermohygrometer, Merek : GREISINGER,GFTB 200 (34903046)</t>
  </si>
  <si>
    <t xml:space="preserve">Electical Safety Analyzer, Merek : Fluke, Model : ESA 615 (,,,,,) </t>
  </si>
  <si>
    <t>Thermohygrometer, Merek : GREISINGER,GFTB 200 (34903051)</t>
  </si>
  <si>
    <t>Hary Ernanto</t>
  </si>
  <si>
    <t>Vital Sign Simulator, Merek : RIGEL, Model : UNI-SIM, SN : 45K-1036</t>
  </si>
  <si>
    <t>Hasil Kalibrasi Saturasi Oksigen tertelusur ke Satuan Internasional ( SI ) melalui RIGEL</t>
  </si>
  <si>
    <t>Hasil Kalibrasi Frekuensi Heart Rate (BPM) tertelusur ke Satuan Internasional ( SI ) melalui RIGEL</t>
  </si>
  <si>
    <t xml:space="preserve">Electical Safety Analyzer, Merek : Fluke, Model : ESA 615 (,,,,) </t>
  </si>
  <si>
    <t>Thermohygrometer, Merek : GREISINGER,GFTB 202 (34904091)</t>
  </si>
  <si>
    <t>Gusti Arya Dinata</t>
  </si>
  <si>
    <t>Muhammad Irfan Husnuzhzhan</t>
  </si>
  <si>
    <t>Fatimah Novrianisa</t>
  </si>
  <si>
    <t>Taufik Priawan</t>
  </si>
  <si>
    <t>Muhammad Iqbal Saiful Rahman</t>
  </si>
  <si>
    <t>Wardimanul Abrar</t>
  </si>
  <si>
    <t>Venna Filosofia</t>
  </si>
  <si>
    <t>Muhammad Alpian Hadi</t>
  </si>
  <si>
    <t>Ryan Rama Chaesar R</t>
  </si>
  <si>
    <t>Siti Fathul Jannah</t>
  </si>
  <si>
    <t>KESIMPULAN</t>
  </si>
  <si>
    <t>SIMBOL</t>
  </si>
  <si>
    <t>Nomor Sertifikat : 42 /</t>
  </si>
  <si>
    <t>Alat yang dikalibrasi dalam batas toleransi dan dinyatakan LAIK PAKAI, dimana hasil atau skor akhir sama dengan atau melampaui 70 % berdasarkan Keputusan Direktur Jenderal Pelayanan Kesehatan No : HK.02.02/V/0412/2020</t>
  </si>
  <si>
    <t>Nomor Surat Keterangan : 42 / M -</t>
  </si>
  <si>
    <t>Alat yang dikalibrasi melebihi batas toleransi dan dinyatakan TIDAK LAIK PAKAI,  dimana hasil atau skor akhir dibawah 70 % berdasarkan Keputusan Direktur Jenderal Pelayanan Kesehatan No : HK.02.02/V/0412/2020</t>
  </si>
  <si>
    <t>SPOT LIGHT (2799069)</t>
  </si>
  <si>
    <t>SPOT LIGHT (2812009)</t>
  </si>
  <si>
    <t>SPOT LIGHT (4403084)</t>
  </si>
  <si>
    <t xml:space="preserve">Koreksi </t>
  </si>
  <si>
    <t>Setting BPM</t>
  </si>
  <si>
    <t>SPOT LIGHT (4352022)</t>
  </si>
  <si>
    <t>SPOT LIGHT (4404040)</t>
  </si>
  <si>
    <t>PROSIM 8 ( 3217028 )</t>
  </si>
  <si>
    <t>PROSIM 8 ( 3188428 )</t>
  </si>
  <si>
    <t>SPOT LIGHT ( 4589019 )</t>
  </si>
  <si>
    <t>UNI-SIM ( 45K-1036 )</t>
  </si>
  <si>
    <t>UNI-SIM ( 45K1059 )</t>
  </si>
  <si>
    <t>KOREKSI SPTLIGHT</t>
  </si>
  <si>
    <t>Setting O2%</t>
  </si>
  <si>
    <t>O2</t>
  </si>
  <si>
    <t>UNI-SIM ( 05J-0804 )</t>
  </si>
  <si>
    <t>PS320</t>
  </si>
  <si>
    <t>HASIL FORECAST</t>
  </si>
  <si>
    <t>Pembacaan Alat</t>
  </si>
  <si>
    <t>Rata Rata</t>
  </si>
  <si>
    <t>SPO2</t>
  </si>
  <si>
    <t>Rata rata</t>
  </si>
  <si>
    <t>VAC</t>
  </si>
  <si>
    <t>Terkoreksi</t>
  </si>
  <si>
    <t>MAIN - PE</t>
  </si>
  <si>
    <t>Rata - Rata</t>
  </si>
  <si>
    <t>Ua</t>
  </si>
  <si>
    <t>Tidak terdapat grounding diruangan</t>
  </si>
  <si>
    <t>sum</t>
  </si>
  <si>
    <t>Jalan ABC</t>
  </si>
  <si>
    <t>NOMOR ORDER</t>
  </si>
  <si>
    <t>KUNCI KOP SERTIFIKAT</t>
  </si>
  <si>
    <t>PENENTU KOP SERTIFIKAT</t>
  </si>
  <si>
    <t>BAHAN</t>
  </si>
  <si>
    <t>SERTIFIKAT PENGUJIAN</t>
  </si>
  <si>
    <t>BAHAN RUANGAN &amp; PENANGGUNG JAWAB</t>
  </si>
  <si>
    <t>NAMA RUANGAN PADA INPUT DATA</t>
  </si>
  <si>
    <t>MENAMBAH 1 TAHUN SEBELUMNYA</t>
  </si>
  <si>
    <t>MERUBAH DARI ANGKA KE HURUF</t>
  </si>
  <si>
    <t>HASIL KALIBRASI</t>
  </si>
  <si>
    <t>BAHAN GABUNGAN</t>
  </si>
  <si>
    <t xml:space="preserve">Laik Pakai, disarankan untuk dikalibrasi ulang pada tanggal </t>
  </si>
  <si>
    <t xml:space="preserve">Laik Pakai, disarankan untuk diuji ulang pada tanggal </t>
  </si>
  <si>
    <t>Thermohygrometer, Merek : KIMO, KH-210-AO (15062874)</t>
  </si>
  <si>
    <t>Electrical Safety Analyzer, Merek : Fluke, Model : ESA 620, SN : 1837056</t>
  </si>
  <si>
    <t>Electrical Safety Analyzer, Merek : Fluke, Model : ESA 620, SN : 1834020</t>
  </si>
  <si>
    <t>Electrical Safety Analyzer, Merek : Fluke, Model : ESA 615, SN : 2853078</t>
  </si>
  <si>
    <t>Electrical Safety Analyzer, Merek : Fluke, Model : ESA 615, SN : 3148907</t>
  </si>
  <si>
    <t>Rev 7 : 5 April 2022</t>
  </si>
  <si>
    <t>8.4.2022</t>
  </si>
  <si>
    <t>Perbaikan error pada aplikasi
error internal forecast, error internal saat kelistrikan OL</t>
  </si>
  <si>
    <t>Done</t>
  </si>
  <si>
    <t>1 / IV - 21 / E - 050.000 DL</t>
  </si>
  <si>
    <t>SPO₂ Simulator, Merek : Fluke, Model : SPOT LIGHT, SN : 4404040</t>
  </si>
  <si>
    <t>Vital Sign Simulator, Merek : Fluke Biomedical, Model : PROSIM 8, SN : 3188428</t>
  </si>
  <si>
    <t>Vital Sign Simulator, Merek : RIGEL, Model : UNI-SIM, SN : 45K1059</t>
  </si>
  <si>
    <t>Azhar Alamsyah</t>
  </si>
  <si>
    <t>Yurdha Algifari</t>
  </si>
  <si>
    <t>Thermohygrolight, Merek : KIMO, Model : KH-210-AO, SN : 15062873</t>
  </si>
  <si>
    <t>Thermohygrolight, Merek : KIMO, Model : KH-210-AO, SN : 15062874</t>
  </si>
  <si>
    <t>Thermohygrolight, Merek : KIMO, Model : KH-210-AO, SN : 15062872</t>
  </si>
  <si>
    <t>Thermohygrolight, Merek : KIMO, Model : KH-210-AO, SN : 15062875</t>
  </si>
  <si>
    <t>KOREKSI EXTECH SD700 A.100615</t>
  </si>
  <si>
    <r>
      <rPr>
        <b/>
        <sz val="11"/>
        <rFont val="Calibri"/>
        <family val="2"/>
      </rPr>
      <t>°</t>
    </r>
    <r>
      <rPr>
        <b/>
        <i/>
        <sz val="11"/>
        <rFont val="Times New Roman"/>
        <family val="1"/>
      </rPr>
      <t>C</t>
    </r>
  </si>
  <si>
    <t>KOREKSI EXTECH A.100611</t>
  </si>
  <si>
    <t>KOREKSI EXTECH A.100609</t>
  </si>
  <si>
    <t>KOREKSI EXTECH A.100605</t>
  </si>
  <si>
    <t>KOREKSI EXTECH A.100617</t>
  </si>
  <si>
    <t>KOREKSI EXTECH A.100616</t>
  </si>
  <si>
    <t>KOREKSI EXTECH A.100618</t>
  </si>
  <si>
    <t>KOREKSI EXTECH A.100586</t>
  </si>
  <si>
    <r>
      <rPr>
        <b/>
        <sz val="11"/>
        <rFont val="Times New Roman"/>
        <family val="1"/>
      </rPr>
      <t>°</t>
    </r>
    <r>
      <rPr>
        <b/>
        <i/>
        <sz val="11"/>
        <rFont val="Times New Roman"/>
        <family val="1"/>
      </rPr>
      <t>C</t>
    </r>
  </si>
  <si>
    <t>HASIL</t>
  </si>
  <si>
    <t>Thermohygrobarometer, Merek : EXTECH, Model : SD700, SN : A.100611</t>
  </si>
  <si>
    <t>Thermohygrobarometer, Merek : EXTECH, Model : SD700, SN : A.100609</t>
  </si>
  <si>
    <t>Thermohygrobarometer, Merek : EXTECH, Model : SD700, SN : A.100605</t>
  </si>
  <si>
    <t>Thermohygrobarometer, Merek : EXTECH, Model : SD700, SN : A.100617</t>
  </si>
  <si>
    <t>Thermohygrobarometer, Merek : EXTECH, Model : SD700, SN : A.100616</t>
  </si>
  <si>
    <t>Thermohygrobarometer, Merek : EXTECH, Model : SD700, SN : A.100618</t>
  </si>
  <si>
    <t>Thermohygrobarometer, Merek : EXTECH, Model : SD700, SN : A.100586</t>
  </si>
  <si>
    <t>Thermohygrobarometer, Merek : EXTECH, Model : SD700, SN : A.100615</t>
  </si>
  <si>
    <r>
      <t>Uc</t>
    </r>
    <r>
      <rPr>
        <sz val="11"/>
        <rFont val="Arial"/>
        <family val="2"/>
      </rPr>
      <t xml:space="preserve"> = Ö [S(u</t>
    </r>
    <r>
      <rPr>
        <vertAlign val="subscript"/>
        <sz val="11"/>
        <rFont val="Arial"/>
        <family val="2"/>
      </rPr>
      <t>i</t>
    </r>
    <r>
      <rPr>
        <sz val="11"/>
        <rFont val="Arial"/>
        <family val="2"/>
      </rPr>
      <t xml:space="preserve"> c</t>
    </r>
    <r>
      <rPr>
        <vertAlign val="subscript"/>
        <sz val="11"/>
        <rFont val="Arial"/>
        <family val="2"/>
      </rPr>
      <t>i</t>
    </r>
    <r>
      <rPr>
        <sz val="11"/>
        <rFont val="Arial"/>
        <family val="2"/>
      </rPr>
      <t>)²]</t>
    </r>
  </si>
  <si>
    <r>
      <t>n</t>
    </r>
    <r>
      <rPr>
        <vertAlign val="subscript"/>
        <sz val="11"/>
        <rFont val="Arial"/>
        <family val="2"/>
      </rPr>
      <t>eff</t>
    </r>
    <r>
      <rPr>
        <sz val="11"/>
        <rFont val="Arial"/>
        <family val="2"/>
      </rPr>
      <t xml:space="preserve"> = u</t>
    </r>
    <r>
      <rPr>
        <vertAlign val="subscript"/>
        <sz val="11"/>
        <rFont val="Arial"/>
        <family val="2"/>
      </rPr>
      <t>c</t>
    </r>
    <r>
      <rPr>
        <vertAlign val="superscript"/>
        <sz val="11"/>
        <rFont val="Arial"/>
        <family val="2"/>
      </rPr>
      <t>4</t>
    </r>
    <r>
      <rPr>
        <sz val="11"/>
        <rFont val="Arial"/>
        <family val="2"/>
      </rPr>
      <t xml:space="preserve"> / [S(u</t>
    </r>
    <r>
      <rPr>
        <vertAlign val="subscript"/>
        <sz val="11"/>
        <rFont val="Arial"/>
        <family val="2"/>
      </rPr>
      <t>i</t>
    </r>
    <r>
      <rPr>
        <sz val="11"/>
        <rFont val="Arial"/>
        <family val="2"/>
      </rPr>
      <t xml:space="preserve"> c</t>
    </r>
    <r>
      <rPr>
        <vertAlign val="subscript"/>
        <sz val="11"/>
        <rFont val="Arial"/>
        <family val="2"/>
      </rPr>
      <t>i</t>
    </r>
    <r>
      <rPr>
        <sz val="11"/>
        <rFont val="Arial"/>
        <family val="2"/>
      </rPr>
      <t>)</t>
    </r>
    <r>
      <rPr>
        <vertAlign val="superscript"/>
        <sz val="11"/>
        <rFont val="Arial"/>
        <family val="2"/>
      </rPr>
      <t xml:space="preserve"> 4</t>
    </r>
    <r>
      <rPr>
        <sz val="11"/>
        <rFont val="Arial"/>
        <family val="2"/>
      </rPr>
      <t>/n</t>
    </r>
    <r>
      <rPr>
        <vertAlign val="subscript"/>
        <sz val="11"/>
        <rFont val="Arial"/>
        <family val="2"/>
      </rPr>
      <t>i</t>
    </r>
    <r>
      <rPr>
        <sz val="11"/>
        <rFont val="Arial"/>
        <family val="2"/>
      </rPr>
      <t>]</t>
    </r>
  </si>
  <si>
    <t>`</t>
  </si>
  <si>
    <t>Kapasitas</t>
  </si>
  <si>
    <t>Laik Pakai, disarankan untuk dikalibrasi ulang pada tanggal…......</t>
  </si>
  <si>
    <t>PULSE OXYMETER</t>
  </si>
  <si>
    <t>14 Juni 2019</t>
  </si>
  <si>
    <t>Arus bocor peralatan untuk perangkat elektromedik kelas I</t>
  </si>
  <si>
    <t>Arus bocor peralatan untuk perangkat elektromedik kelas II</t>
  </si>
  <si>
    <t>Arus bocor peralatan untuk peralatan elektromedik kelas I</t>
  </si>
  <si>
    <t>OL</t>
  </si>
  <si>
    <t>ESA 620 (1837056)</t>
  </si>
  <si>
    <t>ESA 620 (1834020)</t>
  </si>
  <si>
    <t>ESA 615 (2853077)</t>
  </si>
  <si>
    <r>
      <t>( M</t>
    </r>
    <r>
      <rPr>
        <b/>
        <sz val="11"/>
        <rFont val="Calibri"/>
        <family val="2"/>
      </rPr>
      <t>Ω</t>
    </r>
    <r>
      <rPr>
        <b/>
        <sz val="11"/>
        <rFont val="Times New Roman"/>
        <family val="1"/>
      </rPr>
      <t xml:space="preserve"> )</t>
    </r>
  </si>
  <si>
    <r>
      <t xml:space="preserve">( </t>
    </r>
    <r>
      <rPr>
        <b/>
        <sz val="11"/>
        <rFont val="Calibri"/>
        <family val="2"/>
      </rPr>
      <t>Ω</t>
    </r>
    <r>
      <rPr>
        <b/>
        <sz val="11"/>
        <rFont val="Times New Roman"/>
        <family val="1"/>
      </rPr>
      <t xml:space="preserve"> )</t>
    </r>
  </si>
  <si>
    <t>ESA 615 (2853078)</t>
  </si>
  <si>
    <t>ESA 615 (3148907)</t>
  </si>
  <si>
    <t>ESA 615 (3148908)</t>
  </si>
  <si>
    <t>ESA 615 (3699030)</t>
  </si>
  <si>
    <t>H</t>
  </si>
  <si>
    <t>ESA 615 (4670010)</t>
  </si>
  <si>
    <t>ESA (4669058)</t>
  </si>
  <si>
    <t>Hasil pengujian Keselamatan Listrik tertelusur ke Satuan Internasional ( SI ) melalui PT. Kaliman (LK-032-IDN)</t>
  </si>
  <si>
    <t>Hasil pengujian Keselamatan Listrik tertelusur ke Satuan Internasional ( SI ) melalui PT. CALTEK PTE LTD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</si>
</sst>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9">
    <numFmt numFmtId="164" formatCode="0.000"/>
    <numFmt numFmtId="165" formatCode="0.0"/>
    <numFmt numFmtId="166" formatCode="0.000000"/>
    <numFmt numFmtId="167" formatCode="0.0000"/>
    <numFmt numFmtId="168" formatCode="\±\ 0.0"/>
    <numFmt numFmtId="169" formatCode="\±\ 0\ %"/>
    <numFmt numFmtId="170" formatCode="0.0;[Red]0.0"/>
    <numFmt numFmtId="171" formatCode="0.0\ \ &quot;Volt&quot;"/>
    <numFmt numFmtId="172" formatCode="0.0\ \µ\A"/>
    <numFmt numFmtId="173" formatCode="0.00000"/>
    <numFmt numFmtId="174" formatCode="0\ &quot;%&quot;"/>
    <numFmt numFmtId="175" formatCode="0\ &quot;MΩ&quot;"/>
    <numFmt numFmtId="176" formatCode="0.0\ &quot;%&quot;"/>
    <numFmt numFmtId="177" formatCode="[$-421]dd\ mmmm\ yyyy;@"/>
    <numFmt numFmtId="178" formatCode="0.0000000"/>
    <numFmt numFmtId="179" formatCode="dd/mm/yy;@"/>
    <numFmt numFmtId="180" formatCode="0.0000000000"/>
    <numFmt numFmtId="181" formatCode="0\ &quot;BPM&quot;"/>
    <numFmt numFmtId="182" formatCode="[$-C09]d\ mmmm\ yyyy;@"/>
  </numFmts>
  <fonts count="95" x14ac:knownFonts="1">
    <font>
      <sz val="10"/>
      <name val="Arial"/>
    </font>
    <font>
      <sz val="8"/>
      <name val="Arial"/>
      <family val="2"/>
    </font>
    <font>
      <sz val="10"/>
      <name val="Arial"/>
      <family val="2"/>
    </font>
    <font>
      <sz val="10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b/>
      <sz val="10"/>
      <name val="Arial"/>
      <family val="2"/>
    </font>
    <font>
      <b/>
      <i/>
      <sz val="10"/>
      <name val="Arial"/>
      <family val="2"/>
    </font>
    <font>
      <b/>
      <sz val="14"/>
      <name val="Arial"/>
      <family val="2"/>
    </font>
    <font>
      <b/>
      <sz val="8"/>
      <name val="Times New Roman"/>
      <family val="1"/>
    </font>
    <font>
      <b/>
      <i/>
      <sz val="11"/>
      <name val="Times New Roman"/>
      <family val="1"/>
    </font>
    <font>
      <vertAlign val="subscript"/>
      <sz val="11"/>
      <name val="Times New Roman"/>
      <family val="1"/>
    </font>
    <font>
      <sz val="11"/>
      <name val="Times New Roman"/>
      <family val="1"/>
    </font>
    <font>
      <sz val="11"/>
      <name val="Symbol"/>
      <family val="1"/>
      <charset val="2"/>
    </font>
    <font>
      <vertAlign val="superscript"/>
      <sz val="11"/>
      <name val="Times New Roman"/>
      <family val="1"/>
    </font>
    <font>
      <sz val="10"/>
      <color theme="0" tint="-0.249977111117893"/>
      <name val="Arial"/>
      <family val="2"/>
    </font>
    <font>
      <sz val="10"/>
      <color theme="1"/>
      <name val="Arial"/>
      <family val="2"/>
    </font>
    <font>
      <sz val="11"/>
      <name val="Calibri"/>
      <family val="2"/>
      <scheme val="minor"/>
    </font>
    <font>
      <b/>
      <i/>
      <sz val="26"/>
      <color rgb="FFFF0000"/>
      <name val="Arial"/>
      <family val="2"/>
    </font>
    <font>
      <i/>
      <sz val="10"/>
      <color rgb="FFFF0000"/>
      <name val="Arial"/>
      <family val="2"/>
    </font>
    <font>
      <sz val="28"/>
      <color rgb="FFFF0000"/>
      <name val="Arial"/>
      <family val="2"/>
    </font>
    <font>
      <sz val="9"/>
      <name val="Times New Roman"/>
      <family val="1"/>
    </font>
    <font>
      <b/>
      <i/>
      <sz val="12"/>
      <color rgb="FFFF0000"/>
      <name val="Times New Roman"/>
      <family val="1"/>
    </font>
    <font>
      <sz val="9"/>
      <name val="Calibri"/>
      <family val="2"/>
      <scheme val="minor"/>
    </font>
    <font>
      <sz val="16"/>
      <name val="Arial"/>
      <family val="2"/>
    </font>
    <font>
      <b/>
      <i/>
      <sz val="26"/>
      <color theme="2"/>
      <name val="Arial"/>
      <family val="2"/>
    </font>
    <font>
      <sz val="10"/>
      <color theme="2"/>
      <name val="Arial"/>
      <family val="2"/>
    </font>
    <font>
      <sz val="12"/>
      <name val="Calibri"/>
      <family val="2"/>
      <scheme val="minor"/>
    </font>
    <font>
      <b/>
      <i/>
      <sz val="8"/>
      <name val="Arial"/>
      <family val="2"/>
    </font>
    <font>
      <b/>
      <i/>
      <sz val="12"/>
      <color rgb="FFFF0000"/>
      <name val="Arial"/>
      <family val="2"/>
    </font>
    <font>
      <sz val="8"/>
      <name val="Calibri"/>
      <family val="2"/>
      <scheme val="minor"/>
    </font>
    <font>
      <b/>
      <i/>
      <u/>
      <sz val="10"/>
      <name val="Arial"/>
      <family val="2"/>
    </font>
    <font>
      <b/>
      <u/>
      <sz val="14"/>
      <name val="Arial"/>
      <family val="2"/>
    </font>
    <font>
      <b/>
      <sz val="11"/>
      <name val="Times New Roman"/>
      <family val="1"/>
    </font>
    <font>
      <b/>
      <i/>
      <u/>
      <sz val="20"/>
      <name val="Arial"/>
      <family val="2"/>
    </font>
    <font>
      <sz val="12"/>
      <name val="Arial"/>
      <family val="2"/>
    </font>
    <font>
      <sz val="10"/>
      <color theme="0" tint="-0.34998626667073579"/>
      <name val="Arial"/>
      <family val="2"/>
    </font>
    <font>
      <b/>
      <sz val="12"/>
      <color theme="0" tint="-0.34998626667073579"/>
      <name val="Times New Roman"/>
      <family val="1"/>
    </font>
    <font>
      <b/>
      <sz val="8"/>
      <color theme="0" tint="-0.34998626667073579"/>
      <name val="Times New Roman"/>
      <family val="1"/>
    </font>
    <font>
      <sz val="8"/>
      <color theme="0" tint="-0.34998626667073579"/>
      <name val="Times New Roman"/>
      <family val="1"/>
    </font>
    <font>
      <sz val="10"/>
      <color theme="0" tint="-0.34998626667073579"/>
      <name val="Times New Roman"/>
      <family val="1"/>
    </font>
    <font>
      <sz val="11"/>
      <name val="Arial"/>
      <family val="2"/>
    </font>
    <font>
      <b/>
      <sz val="11"/>
      <name val="Arial"/>
      <family val="2"/>
    </font>
    <font>
      <vertAlign val="superscript"/>
      <sz val="11"/>
      <name val="Arial"/>
      <family val="2"/>
    </font>
    <font>
      <sz val="11"/>
      <color theme="0"/>
      <name val="Arial"/>
      <family val="2"/>
    </font>
    <font>
      <u/>
      <sz val="11"/>
      <name val="Arial"/>
      <family val="2"/>
    </font>
    <font>
      <sz val="11"/>
      <color theme="2"/>
      <name val="Arial"/>
      <family val="2"/>
    </font>
    <font>
      <b/>
      <sz val="13"/>
      <name val="Arial"/>
      <family val="2"/>
    </font>
    <font>
      <b/>
      <i/>
      <u/>
      <sz val="11"/>
      <name val="Arial"/>
      <family val="2"/>
    </font>
    <font>
      <b/>
      <i/>
      <sz val="12"/>
      <name val="Arial"/>
      <family val="2"/>
    </font>
    <font>
      <sz val="11"/>
      <color theme="1"/>
      <name val="Arial"/>
      <family val="2"/>
    </font>
    <font>
      <sz val="10"/>
      <color rgb="FF000000"/>
      <name val="Arial"/>
      <family val="2"/>
    </font>
    <font>
      <b/>
      <u/>
      <sz val="24"/>
      <name val="Times New Roman"/>
      <family val="1"/>
    </font>
    <font>
      <b/>
      <sz val="11"/>
      <name val="Calibri"/>
      <family val="2"/>
      <scheme val="minor"/>
    </font>
    <font>
      <b/>
      <sz val="10"/>
      <color theme="1"/>
      <name val="Times New Roman"/>
      <family val="1"/>
    </font>
    <font>
      <sz val="11"/>
      <color theme="1"/>
      <name val="Times New Roman"/>
      <family val="1"/>
    </font>
    <font>
      <b/>
      <i/>
      <u/>
      <sz val="18"/>
      <name val="Arial"/>
      <family val="2"/>
    </font>
    <font>
      <b/>
      <u/>
      <sz val="18"/>
      <name val="Arial"/>
      <family val="2"/>
    </font>
    <font>
      <b/>
      <u/>
      <sz val="10"/>
      <name val="Arial"/>
      <family val="2"/>
    </font>
    <font>
      <sz val="24"/>
      <name val="Arial"/>
      <family val="2"/>
    </font>
    <font>
      <i/>
      <u/>
      <sz val="10"/>
      <name val="Arial"/>
      <family val="2"/>
    </font>
    <font>
      <sz val="10"/>
      <color theme="5" tint="-0.249977111117893"/>
      <name val="Arial"/>
      <family val="2"/>
    </font>
    <font>
      <sz val="11"/>
      <color theme="5" tint="-0.249977111117893"/>
      <name val="Times New Roman"/>
      <family val="1"/>
    </font>
    <font>
      <b/>
      <u/>
      <sz val="11"/>
      <name val="Arial"/>
      <family val="2"/>
    </font>
    <font>
      <sz val="10"/>
      <color rgb="FFFF0000"/>
      <name val="Arial"/>
      <family val="2"/>
    </font>
    <font>
      <b/>
      <i/>
      <sz val="11"/>
      <name val="Arial"/>
      <family val="2"/>
    </font>
    <font>
      <b/>
      <sz val="11"/>
      <color theme="1"/>
      <name val="Calibri"/>
      <family val="2"/>
      <scheme val="minor"/>
    </font>
    <font>
      <b/>
      <sz val="14"/>
      <name val="Times New Roman"/>
      <family val="1"/>
    </font>
    <font>
      <b/>
      <sz val="8"/>
      <name val="Arial"/>
      <family val="2"/>
    </font>
    <font>
      <b/>
      <sz val="11"/>
      <name val="Calibri"/>
      <family val="2"/>
    </font>
    <font>
      <b/>
      <sz val="10"/>
      <name val="Times New Roman"/>
      <family val="1"/>
    </font>
    <font>
      <b/>
      <i/>
      <sz val="10"/>
      <name val="Times New Roman"/>
      <family val="1"/>
    </font>
    <font>
      <vertAlign val="subscript"/>
      <sz val="11"/>
      <name val="Arial"/>
      <family val="2"/>
    </font>
    <font>
      <b/>
      <sz val="12"/>
      <name val="Arial"/>
      <family val="2"/>
    </font>
    <font>
      <b/>
      <i/>
      <sz val="11"/>
      <color rgb="FFFF0000"/>
      <name val="Arial"/>
      <family val="2"/>
    </font>
    <font>
      <b/>
      <i/>
      <sz val="11"/>
      <color theme="2"/>
      <name val="Arial"/>
      <family val="2"/>
    </font>
    <font>
      <i/>
      <sz val="11"/>
      <name val="Arial"/>
      <family val="2"/>
    </font>
    <font>
      <sz val="11"/>
      <color theme="0" tint="-0.34998626667073579"/>
      <name val="Arial"/>
      <family val="2"/>
    </font>
    <font>
      <sz val="11"/>
      <color rgb="FFFF0000"/>
      <name val="Arial"/>
      <family val="2"/>
    </font>
    <font>
      <b/>
      <sz val="11"/>
      <color theme="0" tint="-0.34998626667073579"/>
      <name val="Arial"/>
      <family val="2"/>
    </font>
    <font>
      <sz val="12"/>
      <name val="Calibri"/>
      <family val="2"/>
    </font>
    <font>
      <b/>
      <sz val="8"/>
      <color theme="0"/>
      <name val="Times New Roman"/>
      <family val="1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b/>
      <sz val="11"/>
      <color theme="1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color rgb="FFFF0000"/>
      <name val="Times New Roman"/>
      <family val="1"/>
    </font>
    <font>
      <b/>
      <sz val="8"/>
      <color theme="1"/>
      <name val="Calibri"/>
      <family val="2"/>
      <scheme val="minor"/>
    </font>
    <font>
      <sz val="8"/>
      <name val="Times New Roman"/>
      <family val="1"/>
    </font>
    <font>
      <sz val="10"/>
      <color theme="0"/>
      <name val="Arial"/>
      <family val="2"/>
    </font>
    <font>
      <sz val="10"/>
      <color theme="0"/>
      <name val="Times New Roman"/>
      <family val="1"/>
    </font>
    <font>
      <sz val="8"/>
      <color theme="0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theme="5" tint="0.79992065187536243"/>
        <bgColor indexed="64"/>
      </patternFill>
    </fill>
  </fills>
  <borders count="6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9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1392">
    <xf numFmtId="0" fontId="0" fillId="0" borderId="0" xfId="0"/>
    <xf numFmtId="0" fontId="5" fillId="0" borderId="0" xfId="0" applyFont="1"/>
    <xf numFmtId="0" fontId="15" fillId="0" borderId="0" xfId="0" applyFont="1"/>
    <xf numFmtId="2" fontId="9" fillId="2" borderId="3" xfId="0" applyNumberFormat="1" applyFont="1" applyFill="1" applyBorder="1" applyAlignment="1">
      <alignment horizontal="center" vertical="center"/>
    </xf>
    <xf numFmtId="2" fontId="9" fillId="2" borderId="0" xfId="0" applyNumberFormat="1" applyFont="1" applyFill="1" applyAlignment="1">
      <alignment horizontal="center" vertical="center"/>
    </xf>
    <xf numFmtId="2" fontId="2" fillId="2" borderId="3" xfId="0" applyNumberFormat="1" applyFont="1" applyFill="1" applyBorder="1"/>
    <xf numFmtId="2" fontId="0" fillId="2" borderId="3" xfId="0" applyNumberFormat="1" applyFill="1" applyBorder="1"/>
    <xf numFmtId="2" fontId="0" fillId="0" borderId="0" xfId="0" applyNumberFormat="1"/>
    <xf numFmtId="2" fontId="9" fillId="2" borderId="9" xfId="0" applyNumberFormat="1" applyFont="1" applyFill="1" applyBorder="1" applyAlignment="1">
      <alignment horizontal="center"/>
    </xf>
    <xf numFmtId="2" fontId="9" fillId="2" borderId="8" xfId="0" applyNumberFormat="1" applyFont="1" applyFill="1" applyBorder="1" applyAlignment="1">
      <alignment horizontal="center" vertical="center"/>
    </xf>
    <xf numFmtId="2" fontId="9" fillId="2" borderId="0" xfId="0" applyNumberFormat="1" applyFont="1" applyFill="1" applyAlignment="1">
      <alignment horizontal="center"/>
    </xf>
    <xf numFmtId="2" fontId="9" fillId="2" borderId="11" xfId="0" applyNumberFormat="1" applyFont="1" applyFill="1" applyBorder="1" applyAlignment="1">
      <alignment horizontal="center" vertical="center"/>
    </xf>
    <xf numFmtId="2" fontId="9" fillId="2" borderId="13" xfId="0" applyNumberFormat="1" applyFont="1" applyFill="1" applyBorder="1" applyAlignment="1">
      <alignment horizontal="center"/>
    </xf>
    <xf numFmtId="2" fontId="0" fillId="2" borderId="3" xfId="0" applyNumberFormat="1" applyFill="1" applyBorder="1" applyAlignment="1">
      <alignment horizontal="center"/>
    </xf>
    <xf numFmtId="2" fontId="6" fillId="2" borderId="3" xfId="0" applyNumberFormat="1" applyFont="1" applyFill="1" applyBorder="1" applyAlignment="1">
      <alignment horizontal="center"/>
    </xf>
    <xf numFmtId="2" fontId="0" fillId="2" borderId="3" xfId="0" applyNumberFormat="1" applyFill="1" applyBorder="1" applyAlignment="1">
      <alignment horizontal="right"/>
    </xf>
    <xf numFmtId="2" fontId="0" fillId="2" borderId="0" xfId="0" applyNumberFormat="1" applyFill="1" applyAlignment="1">
      <alignment horizontal="center"/>
    </xf>
    <xf numFmtId="2" fontId="6" fillId="2" borderId="0" xfId="0" applyNumberFormat="1" applyFont="1" applyFill="1" applyAlignment="1">
      <alignment horizontal="center"/>
    </xf>
    <xf numFmtId="2" fontId="2" fillId="0" borderId="3" xfId="0" quotePrefix="1" applyNumberFormat="1" applyFon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2" fontId="9" fillId="0" borderId="0" xfId="0" applyNumberFormat="1" applyFont="1" applyAlignment="1">
      <alignment horizontal="center" vertical="center"/>
    </xf>
    <xf numFmtId="0" fontId="2" fillId="0" borderId="0" xfId="0" applyFont="1"/>
    <xf numFmtId="0" fontId="0" fillId="0" borderId="3" xfId="0" applyBorder="1"/>
    <xf numFmtId="0" fontId="17" fillId="0" borderId="0" xfId="0" applyFont="1"/>
    <xf numFmtId="0" fontId="2" fillId="0" borderId="0" xfId="0" quotePrefix="1" applyFont="1"/>
    <xf numFmtId="0" fontId="6" fillId="0" borderId="3" xfId="0" applyFont="1" applyBorder="1" applyAlignment="1" applyProtection="1">
      <alignment horizontal="center"/>
      <protection hidden="1"/>
    </xf>
    <xf numFmtId="0" fontId="27" fillId="2" borderId="23" xfId="0" applyFont="1" applyFill="1" applyBorder="1" applyAlignment="1" applyProtection="1">
      <alignment horizontal="left" vertical="top" wrapText="1"/>
      <protection hidden="1"/>
    </xf>
    <xf numFmtId="0" fontId="27" fillId="8" borderId="3" xfId="0" applyFont="1" applyFill="1" applyBorder="1" applyAlignment="1" applyProtection="1">
      <alignment horizontal="left" vertical="top" wrapText="1"/>
      <protection hidden="1"/>
    </xf>
    <xf numFmtId="0" fontId="27" fillId="2" borderId="4" xfId="0" applyFont="1" applyFill="1" applyBorder="1" applyAlignment="1" applyProtection="1">
      <alignment horizontal="left" vertical="top"/>
      <protection hidden="1"/>
    </xf>
    <xf numFmtId="0" fontId="0" fillId="0" borderId="3" xfId="0" applyBorder="1" applyAlignment="1">
      <alignment horizontal="center" vertical="center"/>
    </xf>
    <xf numFmtId="0" fontId="17" fillId="6" borderId="0" xfId="0" applyFont="1" applyFill="1" applyAlignment="1">
      <alignment horizontal="left"/>
    </xf>
    <xf numFmtId="0" fontId="2" fillId="0" borderId="0" xfId="1" applyAlignment="1" applyProtection="1">
      <alignment vertical="center"/>
      <protection locked="0"/>
    </xf>
    <xf numFmtId="2" fontId="38" fillId="2" borderId="9" xfId="0" applyNumberFormat="1" applyFont="1" applyFill="1" applyBorder="1" applyAlignment="1">
      <alignment horizontal="center"/>
    </xf>
    <xf numFmtId="2" fontId="38" fillId="2" borderId="8" xfId="0" applyNumberFormat="1" applyFont="1" applyFill="1" applyBorder="1" applyAlignment="1">
      <alignment horizontal="center" vertical="center"/>
    </xf>
    <xf numFmtId="2" fontId="38" fillId="2" borderId="11" xfId="0" applyNumberFormat="1" applyFont="1" applyFill="1" applyBorder="1" applyAlignment="1">
      <alignment horizontal="center" vertical="center"/>
    </xf>
    <xf numFmtId="2" fontId="38" fillId="2" borderId="13" xfId="0" applyNumberFormat="1" applyFont="1" applyFill="1" applyBorder="1" applyAlignment="1">
      <alignment horizontal="center"/>
    </xf>
    <xf numFmtId="2" fontId="38" fillId="2" borderId="0" xfId="0" applyNumberFormat="1" applyFont="1" applyFill="1" applyAlignment="1">
      <alignment horizontal="center" vertical="center"/>
    </xf>
    <xf numFmtId="0" fontId="12" fillId="2" borderId="3" xfId="1" applyFont="1" applyFill="1" applyBorder="1" applyAlignment="1">
      <alignment horizontal="center" vertical="center"/>
    </xf>
    <xf numFmtId="0" fontId="27" fillId="0" borderId="3" xfId="1" applyFont="1" applyBorder="1" applyAlignment="1">
      <alignment vertical="center"/>
    </xf>
    <xf numFmtId="0" fontId="3" fillId="2" borderId="3" xfId="1" applyFont="1" applyFill="1" applyBorder="1"/>
    <xf numFmtId="2" fontId="27" fillId="0" borderId="3" xfId="1" applyNumberFormat="1" applyFont="1" applyBorder="1" applyAlignment="1">
      <alignment horizontal="center" vertical="center"/>
    </xf>
    <xf numFmtId="0" fontId="41" fillId="2" borderId="4" xfId="0" applyFont="1" applyFill="1" applyBorder="1" applyAlignment="1">
      <alignment vertical="center"/>
    </xf>
    <xf numFmtId="0" fontId="41" fillId="0" borderId="0" xfId="2" applyFont="1" applyAlignment="1">
      <alignment vertical="top"/>
    </xf>
    <xf numFmtId="0" fontId="41" fillId="0" borderId="0" xfId="2" applyFont="1" applyAlignment="1">
      <alignment vertical="center"/>
    </xf>
    <xf numFmtId="0" fontId="41" fillId="0" borderId="3" xfId="2" applyFont="1" applyBorder="1" applyAlignment="1">
      <alignment horizontal="center" vertical="top" wrapText="1"/>
    </xf>
    <xf numFmtId="0" fontId="41" fillId="0" borderId="3" xfId="2" applyFont="1" applyBorder="1" applyAlignment="1">
      <alignment horizontal="center" vertical="center"/>
    </xf>
    <xf numFmtId="0" fontId="41" fillId="2" borderId="0" xfId="0" applyFont="1" applyFill="1" applyAlignment="1">
      <alignment vertical="center"/>
    </xf>
    <xf numFmtId="0" fontId="41" fillId="2" borderId="0" xfId="0" applyFont="1" applyFill="1"/>
    <xf numFmtId="0" fontId="41" fillId="0" borderId="0" xfId="0" applyFont="1"/>
    <xf numFmtId="0" fontId="42" fillId="2" borderId="0" xfId="0" applyFont="1" applyFill="1" applyAlignment="1">
      <alignment vertical="center"/>
    </xf>
    <xf numFmtId="0" fontId="41" fillId="0" borderId="0" xfId="0" applyFont="1" applyAlignment="1">
      <alignment vertical="center"/>
    </xf>
    <xf numFmtId="0" fontId="42" fillId="2" borderId="3" xfId="0" applyFont="1" applyFill="1" applyBorder="1" applyAlignment="1">
      <alignment horizontal="center" vertical="center"/>
    </xf>
    <xf numFmtId="0" fontId="41" fillId="2" borderId="3" xfId="0" applyFont="1" applyFill="1" applyBorder="1" applyAlignment="1">
      <alignment horizontal="center" vertical="center"/>
    </xf>
    <xf numFmtId="0" fontId="43" fillId="2" borderId="0" xfId="0" applyFont="1" applyFill="1" applyAlignment="1">
      <alignment vertical="center"/>
    </xf>
    <xf numFmtId="0" fontId="41" fillId="2" borderId="5" xfId="0" applyFont="1" applyFill="1" applyBorder="1" applyAlignment="1">
      <alignment vertical="center"/>
    </xf>
    <xf numFmtId="0" fontId="42" fillId="2" borderId="0" xfId="0" applyFont="1" applyFill="1" applyAlignment="1">
      <alignment horizontal="center" vertical="center"/>
    </xf>
    <xf numFmtId="170" fontId="41" fillId="2" borderId="0" xfId="0" applyNumberFormat="1" applyFont="1" applyFill="1" applyAlignment="1">
      <alignment horizontal="left" vertical="center"/>
    </xf>
    <xf numFmtId="49" fontId="41" fillId="2" borderId="0" xfId="0" applyNumberFormat="1" applyFont="1" applyFill="1" applyAlignment="1">
      <alignment vertical="center"/>
    </xf>
    <xf numFmtId="0" fontId="42" fillId="2" borderId="7" xfId="0" applyFont="1" applyFill="1" applyBorder="1" applyAlignment="1">
      <alignment horizontal="center" vertical="center"/>
    </xf>
    <xf numFmtId="0" fontId="42" fillId="2" borderId="2" xfId="0" applyFont="1" applyFill="1" applyBorder="1" applyAlignment="1">
      <alignment horizontal="center" vertical="center"/>
    </xf>
    <xf numFmtId="0" fontId="41" fillId="2" borderId="6" xfId="0" applyFont="1" applyFill="1" applyBorder="1" applyAlignment="1">
      <alignment vertical="center"/>
    </xf>
    <xf numFmtId="0" fontId="41" fillId="2" borderId="0" xfId="0" applyFont="1" applyFill="1" applyAlignment="1">
      <alignment horizontal="center" vertical="center"/>
    </xf>
    <xf numFmtId="0" fontId="41" fillId="0" borderId="0" xfId="2" applyFont="1" applyAlignment="1">
      <alignment horizontal="center" vertical="center"/>
    </xf>
    <xf numFmtId="0" fontId="41" fillId="2" borderId="3" xfId="0" applyFont="1" applyFill="1" applyBorder="1" applyAlignment="1">
      <alignment horizontal="center" vertical="center" wrapText="1"/>
    </xf>
    <xf numFmtId="49" fontId="41" fillId="2" borderId="3" xfId="0" applyNumberFormat="1" applyFont="1" applyFill="1" applyBorder="1" applyAlignment="1">
      <alignment horizontal="center" vertical="center"/>
    </xf>
    <xf numFmtId="1" fontId="41" fillId="2" borderId="3" xfId="0" applyNumberFormat="1" applyFont="1" applyFill="1" applyBorder="1" applyAlignment="1">
      <alignment horizontal="center" vertical="center"/>
    </xf>
    <xf numFmtId="1" fontId="44" fillId="2" borderId="3" xfId="0" applyNumberFormat="1" applyFont="1" applyFill="1" applyBorder="1" applyAlignment="1">
      <alignment vertical="center"/>
    </xf>
    <xf numFmtId="1" fontId="44" fillId="2" borderId="3" xfId="0" applyNumberFormat="1" applyFont="1" applyFill="1" applyBorder="1" applyAlignment="1">
      <alignment horizontal="center" vertical="center"/>
    </xf>
    <xf numFmtId="49" fontId="41" fillId="2" borderId="0" xfId="0" applyNumberFormat="1" applyFont="1" applyFill="1" applyAlignment="1">
      <alignment horizontal="center" vertical="center"/>
    </xf>
    <xf numFmtId="0" fontId="41" fillId="2" borderId="0" xfId="0" applyFont="1" applyFill="1" applyAlignment="1">
      <alignment horizontal="center" vertical="center" wrapText="1"/>
    </xf>
    <xf numFmtId="1" fontId="41" fillId="2" borderId="0" xfId="0" applyNumberFormat="1" applyFont="1" applyFill="1" applyAlignment="1">
      <alignment horizontal="center" vertical="center"/>
    </xf>
    <xf numFmtId="1" fontId="44" fillId="2" borderId="0" xfId="0" applyNumberFormat="1" applyFont="1" applyFill="1" applyAlignment="1">
      <alignment vertical="center"/>
    </xf>
    <xf numFmtId="1" fontId="44" fillId="2" borderId="0" xfId="0" applyNumberFormat="1" applyFont="1" applyFill="1" applyAlignment="1">
      <alignment horizontal="center" vertical="center"/>
    </xf>
    <xf numFmtId="2" fontId="41" fillId="2" borderId="0" xfId="0" quotePrefix="1" applyNumberFormat="1" applyFont="1" applyFill="1" applyAlignment="1">
      <alignment horizontal="center" vertical="center" wrapText="1"/>
    </xf>
    <xf numFmtId="0" fontId="41" fillId="2" borderId="18" xfId="0" applyFont="1" applyFill="1" applyBorder="1" applyAlignment="1">
      <alignment horizontal="center" vertical="center"/>
    </xf>
    <xf numFmtId="0" fontId="41" fillId="2" borderId="0" xfId="0" applyFont="1" applyFill="1" applyAlignment="1">
      <alignment horizontal="left" vertical="center"/>
    </xf>
    <xf numFmtId="164" fontId="41" fillId="2" borderId="0" xfId="0" applyNumberFormat="1" applyFont="1" applyFill="1" applyAlignment="1">
      <alignment horizontal="center" vertical="center"/>
    </xf>
    <xf numFmtId="0" fontId="41" fillId="2" borderId="0" xfId="0" applyFont="1" applyFill="1" applyProtection="1">
      <protection hidden="1"/>
    </xf>
    <xf numFmtId="0" fontId="41" fillId="2" borderId="22" xfId="0" applyFont="1" applyFill="1" applyBorder="1" applyAlignment="1">
      <alignment vertical="center"/>
    </xf>
    <xf numFmtId="49" fontId="41" fillId="2" borderId="3" xfId="0" applyNumberFormat="1" applyFont="1" applyFill="1" applyBorder="1" applyAlignment="1">
      <alignment horizontal="center" vertical="center" wrapText="1"/>
    </xf>
    <xf numFmtId="0" fontId="41" fillId="2" borderId="4" xfId="0" applyFont="1" applyFill="1" applyBorder="1" applyAlignment="1">
      <alignment horizontal="center" vertical="center"/>
    </xf>
    <xf numFmtId="0" fontId="47" fillId="2" borderId="0" xfId="1" quotePrefix="1" applyFont="1" applyFill="1" applyAlignment="1">
      <alignment horizontal="center" vertical="center"/>
    </xf>
    <xf numFmtId="0" fontId="2" fillId="0" borderId="0" xfId="1" applyAlignment="1">
      <alignment vertical="center"/>
    </xf>
    <xf numFmtId="0" fontId="42" fillId="2" borderId="3" xfId="1" applyFont="1" applyFill="1" applyBorder="1" applyAlignment="1">
      <alignment horizontal="center" vertical="center" wrapText="1"/>
    </xf>
    <xf numFmtId="0" fontId="42" fillId="2" borderId="4" xfId="1" applyFont="1" applyFill="1" applyBorder="1" applyAlignment="1">
      <alignment horizontal="center" vertical="center" wrapText="1"/>
    </xf>
    <xf numFmtId="0" fontId="42" fillId="2" borderId="6" xfId="1" applyFont="1" applyFill="1" applyBorder="1" applyAlignment="1">
      <alignment horizontal="center" vertical="center" wrapText="1"/>
    </xf>
    <xf numFmtId="0" fontId="42" fillId="2" borderId="3" xfId="1" applyFont="1" applyFill="1" applyBorder="1" applyAlignment="1">
      <alignment horizontal="center" vertical="center"/>
    </xf>
    <xf numFmtId="0" fontId="41" fillId="2" borderId="3" xfId="1" applyFont="1" applyFill="1" applyBorder="1" applyAlignment="1" applyProtection="1">
      <alignment horizontal="right" vertical="center"/>
      <protection locked="0"/>
    </xf>
    <xf numFmtId="0" fontId="41" fillId="2" borderId="0" xfId="1" applyFont="1" applyFill="1" applyAlignment="1" applyProtection="1">
      <alignment vertical="center"/>
      <protection locked="0"/>
    </xf>
    <xf numFmtId="164" fontId="41" fillId="2" borderId="0" xfId="1" applyNumberFormat="1" applyFont="1" applyFill="1" applyAlignment="1" applyProtection="1">
      <alignment horizontal="center" vertical="center"/>
      <protection locked="0"/>
    </xf>
    <xf numFmtId="167" fontId="41" fillId="2" borderId="0" xfId="1" applyNumberFormat="1" applyFont="1" applyFill="1" applyAlignment="1" applyProtection="1">
      <alignment horizontal="center" vertical="center"/>
      <protection locked="0"/>
    </xf>
    <xf numFmtId="0" fontId="41" fillId="2" borderId="0" xfId="1" applyFont="1" applyFill="1" applyAlignment="1">
      <alignment vertical="center"/>
    </xf>
    <xf numFmtId="0" fontId="41" fillId="0" borderId="0" xfId="1" applyFont="1" applyAlignment="1" applyProtection="1">
      <alignment vertical="center"/>
      <protection locked="0"/>
    </xf>
    <xf numFmtId="0" fontId="41" fillId="0" borderId="0" xfId="1" applyFont="1" applyAlignment="1">
      <alignment vertical="center"/>
    </xf>
    <xf numFmtId="0" fontId="41" fillId="2" borderId="0" xfId="1" applyFont="1" applyFill="1" applyAlignment="1">
      <alignment horizontal="right" vertical="center"/>
    </xf>
    <xf numFmtId="0" fontId="41" fillId="2" borderId="0" xfId="1" applyFont="1" applyFill="1" applyAlignment="1">
      <alignment horizontal="left" vertical="center"/>
    </xf>
    <xf numFmtId="0" fontId="42" fillId="2" borderId="0" xfId="1" applyFont="1" applyFill="1" applyAlignment="1">
      <alignment vertical="center"/>
    </xf>
    <xf numFmtId="0" fontId="41" fillId="0" borderId="0" xfId="1" applyFont="1" applyAlignment="1">
      <alignment horizontal="right" vertical="center"/>
    </xf>
    <xf numFmtId="171" fontId="41" fillId="2" borderId="0" xfId="1" applyNumberFormat="1" applyFont="1" applyFill="1" applyAlignment="1">
      <alignment horizontal="center" vertical="center"/>
    </xf>
    <xf numFmtId="0" fontId="42" fillId="2" borderId="0" xfId="1" applyFont="1" applyFill="1" applyAlignment="1">
      <alignment horizontal="center" vertical="center"/>
    </xf>
    <xf numFmtId="170" fontId="42" fillId="2" borderId="0" xfId="1" applyNumberFormat="1" applyFont="1" applyFill="1" applyAlignment="1">
      <alignment horizontal="left" vertical="center"/>
    </xf>
    <xf numFmtId="0" fontId="41" fillId="0" borderId="5" xfId="1" applyFont="1" applyBorder="1" applyAlignment="1" applyProtection="1">
      <alignment vertical="center"/>
      <protection locked="0"/>
    </xf>
    <xf numFmtId="0" fontId="41" fillId="2" borderId="6" xfId="2" applyFont="1" applyFill="1" applyBorder="1" applyAlignment="1">
      <alignment horizontal="center" vertical="center"/>
    </xf>
    <xf numFmtId="0" fontId="41" fillId="2" borderId="0" xfId="1" applyFont="1" applyFill="1" applyAlignment="1">
      <alignment horizontal="center" vertical="center"/>
    </xf>
    <xf numFmtId="172" fontId="41" fillId="2" borderId="0" xfId="1" quotePrefix="1" applyNumberFormat="1" applyFont="1" applyFill="1" applyAlignment="1">
      <alignment horizontal="center" vertical="center"/>
    </xf>
    <xf numFmtId="49" fontId="41" fillId="2" borderId="3" xfId="1" applyNumberFormat="1" applyFont="1" applyFill="1" applyBorder="1" applyAlignment="1">
      <alignment horizontal="center" vertical="center"/>
    </xf>
    <xf numFmtId="1" fontId="41" fillId="0" borderId="6" xfId="1" applyNumberFormat="1" applyFont="1" applyBorder="1" applyAlignment="1">
      <alignment horizontal="center" vertical="center"/>
    </xf>
    <xf numFmtId="165" fontId="41" fillId="0" borderId="3" xfId="1" applyNumberFormat="1" applyFont="1" applyBorder="1" applyAlignment="1">
      <alignment horizontal="center" vertical="center"/>
    </xf>
    <xf numFmtId="49" fontId="41" fillId="2" borderId="0" xfId="1" applyNumberFormat="1" applyFont="1" applyFill="1" applyAlignment="1">
      <alignment horizontal="center" vertical="center"/>
    </xf>
    <xf numFmtId="0" fontId="41" fillId="2" borderId="0" xfId="1" applyFont="1" applyFill="1" applyAlignment="1">
      <alignment horizontal="center" vertical="center" wrapText="1"/>
    </xf>
    <xf numFmtId="1" fontId="41" fillId="0" borderId="0" xfId="1" applyNumberFormat="1" applyFont="1" applyAlignment="1">
      <alignment horizontal="center" vertical="center"/>
    </xf>
    <xf numFmtId="165" fontId="41" fillId="0" borderId="0" xfId="1" applyNumberFormat="1" applyFont="1" applyAlignment="1">
      <alignment horizontal="center" vertical="center"/>
    </xf>
    <xf numFmtId="168" fontId="41" fillId="2" borderId="0" xfId="1" applyNumberFormat="1" applyFont="1" applyFill="1" applyAlignment="1">
      <alignment horizontal="center" vertical="center"/>
    </xf>
    <xf numFmtId="1" fontId="41" fillId="0" borderId="3" xfId="1" applyNumberFormat="1" applyFont="1" applyBorder="1" applyAlignment="1">
      <alignment horizontal="center" vertical="center"/>
    </xf>
    <xf numFmtId="0" fontId="41" fillId="2" borderId="0" xfId="1" applyFont="1" applyFill="1" applyAlignment="1" applyProtection="1">
      <alignment horizontal="left" vertical="center"/>
      <protection locked="0"/>
    </xf>
    <xf numFmtId="0" fontId="42" fillId="2" borderId="0" xfId="1" applyFont="1" applyFill="1" applyAlignment="1" applyProtection="1">
      <alignment vertical="center"/>
      <protection locked="0"/>
    </xf>
    <xf numFmtId="2" fontId="41" fillId="2" borderId="0" xfId="1" applyNumberFormat="1" applyFont="1" applyFill="1" applyAlignment="1" applyProtection="1">
      <alignment vertical="center"/>
      <protection locked="0"/>
    </xf>
    <xf numFmtId="0" fontId="42" fillId="2" borderId="0" xfId="1" applyFont="1" applyFill="1" applyAlignment="1" applyProtection="1">
      <alignment horizontal="left" vertical="center"/>
      <protection locked="0"/>
    </xf>
    <xf numFmtId="0" fontId="42" fillId="2" borderId="0" xfId="1" applyFont="1" applyFill="1" applyAlignment="1" applyProtection="1">
      <alignment horizontal="center" vertical="center"/>
      <protection locked="0"/>
    </xf>
    <xf numFmtId="0" fontId="41" fillId="0" borderId="3" xfId="1" applyFont="1" applyBorder="1" applyAlignment="1" applyProtection="1">
      <alignment vertical="center"/>
      <protection locked="0"/>
    </xf>
    <xf numFmtId="167" fontId="42" fillId="2" borderId="0" xfId="1" applyNumberFormat="1" applyFont="1" applyFill="1" applyAlignment="1" applyProtection="1">
      <alignment horizontal="center" vertical="center"/>
      <protection locked="0"/>
    </xf>
    <xf numFmtId="164" fontId="41" fillId="2" borderId="0" xfId="1" applyNumberFormat="1" applyFont="1" applyFill="1" applyAlignment="1" applyProtection="1">
      <alignment horizontal="left" vertical="center"/>
      <protection locked="0"/>
    </xf>
    <xf numFmtId="0" fontId="41" fillId="2" borderId="0" xfId="1" applyFont="1" applyFill="1" applyAlignment="1" applyProtection="1">
      <alignment horizontal="center" vertical="center"/>
      <protection locked="0"/>
    </xf>
    <xf numFmtId="0" fontId="41" fillId="2" borderId="0" xfId="2" applyFont="1" applyFill="1" applyAlignment="1" applyProtection="1">
      <alignment vertical="center"/>
      <protection locked="0"/>
    </xf>
    <xf numFmtId="0" fontId="41" fillId="2" borderId="0" xfId="1" applyFont="1" applyFill="1" applyAlignment="1" applyProtection="1">
      <alignment vertical="center"/>
      <protection locked="0" hidden="1"/>
    </xf>
    <xf numFmtId="1" fontId="41" fillId="2" borderId="0" xfId="1" applyNumberFormat="1" applyFont="1" applyFill="1" applyAlignment="1">
      <alignment horizontal="center" vertical="center"/>
    </xf>
    <xf numFmtId="168" fontId="41" fillId="0" borderId="0" xfId="1" applyNumberFormat="1" applyFont="1" applyAlignment="1">
      <alignment horizontal="center" vertical="center"/>
    </xf>
    <xf numFmtId="0" fontId="41" fillId="2" borderId="5" xfId="0" applyFont="1" applyFill="1" applyBorder="1" applyAlignment="1">
      <alignment horizontal="right" vertical="center"/>
    </xf>
    <xf numFmtId="164" fontId="41" fillId="2" borderId="5" xfId="0" applyNumberFormat="1" applyFont="1" applyFill="1" applyBorder="1" applyAlignment="1">
      <alignment horizontal="right" vertical="center"/>
    </xf>
    <xf numFmtId="165" fontId="41" fillId="2" borderId="5" xfId="0" applyNumberFormat="1" applyFont="1" applyFill="1" applyBorder="1" applyAlignment="1">
      <alignment horizontal="right" vertical="center"/>
    </xf>
    <xf numFmtId="0" fontId="42" fillId="2" borderId="0" xfId="2" applyFont="1" applyFill="1" applyAlignment="1" applyProtection="1">
      <alignment vertical="center"/>
      <protection locked="0"/>
    </xf>
    <xf numFmtId="0" fontId="41" fillId="2" borderId="0" xfId="1" applyFont="1" applyFill="1" applyAlignment="1">
      <alignment vertical="top" wrapText="1"/>
    </xf>
    <xf numFmtId="0" fontId="30" fillId="0" borderId="0" xfId="0" applyFont="1" applyAlignment="1" applyProtection="1">
      <alignment horizontal="right"/>
      <protection locked="0"/>
    </xf>
    <xf numFmtId="0" fontId="42" fillId="2" borderId="4" xfId="1" applyFont="1" applyFill="1" applyBorder="1" applyAlignment="1">
      <alignment horizontal="center" vertical="center"/>
    </xf>
    <xf numFmtId="0" fontId="42" fillId="2" borderId="0" xfId="1" applyFont="1" applyFill="1" applyAlignment="1">
      <alignment horizontal="center" vertical="center" wrapText="1"/>
    </xf>
    <xf numFmtId="0" fontId="41" fillId="0" borderId="0" xfId="1" applyFont="1" applyAlignment="1">
      <alignment horizontal="center" vertical="center"/>
    </xf>
    <xf numFmtId="168" fontId="41" fillId="2" borderId="3" xfId="1" applyNumberFormat="1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175" fontId="41" fillId="0" borderId="3" xfId="1" applyNumberFormat="1" applyFont="1" applyBorder="1" applyAlignment="1" applyProtection="1">
      <alignment horizontal="center" vertical="center"/>
      <protection locked="0"/>
    </xf>
    <xf numFmtId="0" fontId="2" fillId="2" borderId="0" xfId="1" applyFill="1" applyAlignment="1" applyProtection="1">
      <alignment vertical="center"/>
      <protection locked="0"/>
    </xf>
    <xf numFmtId="0" fontId="2" fillId="0" borderId="3" xfId="1" applyBorder="1" applyAlignment="1" applyProtection="1">
      <alignment horizontal="center" vertical="center"/>
      <protection locked="0"/>
    </xf>
    <xf numFmtId="0" fontId="42" fillId="0" borderId="0" xfId="1" applyFont="1" applyAlignment="1" applyProtection="1">
      <alignment vertical="center"/>
      <protection locked="0"/>
    </xf>
    <xf numFmtId="0" fontId="42" fillId="2" borderId="0" xfId="1" applyFont="1" applyFill="1" applyAlignment="1">
      <alignment horizontal="left" vertical="center"/>
    </xf>
    <xf numFmtId="0" fontId="48" fillId="0" borderId="3" xfId="1" applyFont="1" applyBorder="1" applyAlignment="1" applyProtection="1">
      <alignment horizontal="center" vertical="center"/>
      <protection locked="0"/>
    </xf>
    <xf numFmtId="2" fontId="35" fillId="12" borderId="3" xfId="0" applyNumberFormat="1" applyFont="1" applyFill="1" applyBorder="1" applyAlignment="1" applyProtection="1">
      <alignment vertical="center"/>
      <protection locked="0"/>
    </xf>
    <xf numFmtId="2" fontId="35" fillId="12" borderId="3" xfId="0" quotePrefix="1" applyNumberFormat="1" applyFont="1" applyFill="1" applyBorder="1" applyAlignment="1" applyProtection="1">
      <alignment vertical="center"/>
      <protection locked="0"/>
    </xf>
    <xf numFmtId="2" fontId="35" fillId="12" borderId="0" xfId="0" applyNumberFormat="1" applyFont="1" applyFill="1" applyAlignment="1" applyProtection="1">
      <alignment vertical="center"/>
      <protection locked="0"/>
    </xf>
    <xf numFmtId="0" fontId="35" fillId="0" borderId="3" xfId="0" applyFont="1" applyBorder="1" applyAlignment="1" applyProtection="1">
      <alignment vertical="center"/>
      <protection locked="0"/>
    </xf>
    <xf numFmtId="176" fontId="41" fillId="0" borderId="0" xfId="1" applyNumberFormat="1" applyFont="1" applyAlignment="1" applyProtection="1">
      <alignment vertical="center"/>
      <protection locked="0"/>
    </xf>
    <xf numFmtId="0" fontId="41" fillId="2" borderId="6" xfId="0" applyFont="1" applyFill="1" applyBorder="1" applyAlignment="1">
      <alignment horizontal="right" vertical="center"/>
    </xf>
    <xf numFmtId="0" fontId="41" fillId="0" borderId="3" xfId="0" applyFont="1" applyBorder="1"/>
    <xf numFmtId="174" fontId="41" fillId="0" borderId="3" xfId="0" applyNumberFormat="1" applyFont="1" applyBorder="1" applyAlignment="1">
      <alignment horizontal="center" vertical="center"/>
    </xf>
    <xf numFmtId="174" fontId="0" fillId="0" borderId="3" xfId="0" applyNumberFormat="1" applyBorder="1" applyAlignment="1">
      <alignment horizontal="center" vertical="center"/>
    </xf>
    <xf numFmtId="0" fontId="41" fillId="0" borderId="3" xfId="0" applyFont="1" applyBorder="1" applyAlignment="1">
      <alignment horizontal="center"/>
    </xf>
    <xf numFmtId="0" fontId="41" fillId="0" borderId="3" xfId="0" applyFont="1" applyBorder="1" applyAlignment="1">
      <alignment horizontal="center" vertical="center"/>
    </xf>
    <xf numFmtId="0" fontId="41" fillId="2" borderId="36" xfId="0" applyFont="1" applyFill="1" applyBorder="1" applyAlignment="1">
      <alignment vertical="center"/>
    </xf>
    <xf numFmtId="0" fontId="41" fillId="2" borderId="53" xfId="0" applyFont="1" applyFill="1" applyBorder="1" applyAlignment="1">
      <alignment vertical="center"/>
    </xf>
    <xf numFmtId="0" fontId="41" fillId="2" borderId="58" xfId="0" applyFont="1" applyFill="1" applyBorder="1" applyAlignment="1">
      <alignment vertical="center"/>
    </xf>
    <xf numFmtId="0" fontId="16" fillId="0" borderId="3" xfId="0" applyFont="1" applyBorder="1" applyAlignment="1">
      <alignment horizontal="center" vertical="center"/>
    </xf>
    <xf numFmtId="177" fontId="2" fillId="0" borderId="3" xfId="0" applyNumberFormat="1" applyFont="1" applyBorder="1" applyAlignment="1">
      <alignment horizontal="center" vertical="center"/>
    </xf>
    <xf numFmtId="0" fontId="50" fillId="0" borderId="3" xfId="0" quotePrefix="1" applyFont="1" applyBorder="1" applyAlignment="1">
      <alignment horizontal="center" vertical="center"/>
    </xf>
    <xf numFmtId="0" fontId="50" fillId="0" borderId="3" xfId="0" applyFont="1" applyBorder="1" applyAlignment="1">
      <alignment horizontal="center" vertical="center"/>
    </xf>
    <xf numFmtId="177" fontId="16" fillId="0" borderId="3" xfId="0" applyNumberFormat="1" applyFont="1" applyBorder="1" applyAlignment="1">
      <alignment horizontal="center" vertical="center"/>
    </xf>
    <xf numFmtId="0" fontId="35" fillId="0" borderId="3" xfId="0" applyFont="1" applyBorder="1" applyAlignment="1">
      <alignment horizontal="center" vertical="center"/>
    </xf>
    <xf numFmtId="0" fontId="16" fillId="0" borderId="3" xfId="0" quotePrefix="1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 wrapText="1"/>
    </xf>
    <xf numFmtId="0" fontId="16" fillId="0" borderId="7" xfId="0" applyFont="1" applyBorder="1" applyAlignment="1">
      <alignment horizontal="center" vertical="center" wrapText="1"/>
    </xf>
    <xf numFmtId="0" fontId="35" fillId="2" borderId="0" xfId="0" applyFont="1" applyFill="1" applyProtection="1">
      <protection locked="0"/>
    </xf>
    <xf numFmtId="0" fontId="41" fillId="2" borderId="0" xfId="0" applyFont="1" applyFill="1" applyAlignment="1" applyProtection="1">
      <alignment vertical="center"/>
      <protection locked="0"/>
    </xf>
    <xf numFmtId="0" fontId="41" fillId="0" borderId="0" xfId="0" applyFont="1" applyProtection="1">
      <protection locked="0"/>
    </xf>
    <xf numFmtId="0" fontId="41" fillId="2" borderId="0" xfId="0" applyFont="1" applyFill="1" applyProtection="1">
      <protection locked="0"/>
    </xf>
    <xf numFmtId="0" fontId="41" fillId="2" borderId="0" xfId="0" applyFont="1" applyFill="1" applyAlignment="1" applyProtection="1">
      <alignment horizontal="right"/>
      <protection locked="0"/>
    </xf>
    <xf numFmtId="0" fontId="41" fillId="6" borderId="0" xfId="0" applyFont="1" applyFill="1" applyProtection="1">
      <protection locked="0"/>
    </xf>
    <xf numFmtId="0" fontId="41" fillId="6" borderId="0" xfId="0" quotePrefix="1" applyFont="1" applyFill="1" applyAlignment="1" applyProtection="1">
      <alignment horizontal="left"/>
      <protection locked="0"/>
    </xf>
    <xf numFmtId="0" fontId="41" fillId="6" borderId="0" xfId="0" applyFont="1" applyFill="1" applyAlignment="1" applyProtection="1">
      <alignment horizontal="center"/>
      <protection locked="0"/>
    </xf>
    <xf numFmtId="0" fontId="41" fillId="6" borderId="0" xfId="0" applyFont="1" applyFill="1" applyAlignment="1" applyProtection="1">
      <alignment horizontal="right"/>
      <protection locked="0"/>
    </xf>
    <xf numFmtId="0" fontId="41" fillId="2" borderId="0" xfId="0" quotePrefix="1" applyFont="1" applyFill="1" applyAlignment="1" applyProtection="1">
      <alignment horizontal="left"/>
      <protection locked="0"/>
    </xf>
    <xf numFmtId="0" fontId="41" fillId="2" borderId="0" xfId="0" applyFont="1" applyFill="1" applyAlignment="1" applyProtection="1">
      <alignment horizontal="left"/>
      <protection locked="0"/>
    </xf>
    <xf numFmtId="0" fontId="42" fillId="2" borderId="0" xfId="0" applyFont="1" applyFill="1" applyAlignment="1" applyProtection="1">
      <alignment horizontal="left" vertical="center"/>
      <protection locked="0"/>
    </xf>
    <xf numFmtId="0" fontId="42" fillId="2" borderId="0" xfId="0" applyFont="1" applyFill="1" applyProtection="1">
      <protection locked="0"/>
    </xf>
    <xf numFmtId="0" fontId="42" fillId="2" borderId="3" xfId="0" applyFont="1" applyFill="1" applyBorder="1" applyAlignment="1" applyProtection="1">
      <alignment horizontal="left" vertical="center"/>
      <protection locked="0"/>
    </xf>
    <xf numFmtId="165" fontId="41" fillId="2" borderId="0" xfId="0" applyNumberFormat="1" applyFont="1" applyFill="1" applyAlignment="1" applyProtection="1">
      <alignment horizontal="left"/>
      <protection locked="0"/>
    </xf>
    <xf numFmtId="0" fontId="42" fillId="2" borderId="0" xfId="0" applyFont="1" applyFill="1" applyAlignment="1" applyProtection="1">
      <alignment horizontal="left"/>
      <protection locked="0"/>
    </xf>
    <xf numFmtId="0" fontId="42" fillId="2" borderId="0" xfId="0" applyFont="1" applyFill="1" applyAlignment="1" applyProtection="1">
      <alignment vertical="center"/>
      <protection locked="0"/>
    </xf>
    <xf numFmtId="0" fontId="42" fillId="2" borderId="0" xfId="0" applyFont="1" applyFill="1" applyAlignment="1" applyProtection="1">
      <alignment horizontal="center" vertical="center"/>
      <protection locked="0"/>
    </xf>
    <xf numFmtId="170" fontId="41" fillId="2" borderId="0" xfId="0" applyNumberFormat="1" applyFont="1" applyFill="1" applyAlignment="1" applyProtection="1">
      <alignment horizontal="left" vertical="center"/>
      <protection locked="0"/>
    </xf>
    <xf numFmtId="49" fontId="41" fillId="2" borderId="0" xfId="0" applyNumberFormat="1" applyFont="1" applyFill="1" applyAlignment="1" applyProtection="1">
      <alignment vertical="center"/>
      <protection locked="0"/>
    </xf>
    <xf numFmtId="0" fontId="42" fillId="2" borderId="7" xfId="0" applyFont="1" applyFill="1" applyBorder="1" applyAlignment="1" applyProtection="1">
      <alignment horizontal="center" vertical="center"/>
      <protection locked="0"/>
    </xf>
    <xf numFmtId="0" fontId="42" fillId="2" borderId="2" xfId="0" applyFont="1" applyFill="1" applyBorder="1" applyAlignment="1" applyProtection="1">
      <alignment horizontal="center" vertical="center"/>
      <protection locked="0"/>
    </xf>
    <xf numFmtId="0" fontId="41" fillId="2" borderId="5" xfId="0" applyFont="1" applyFill="1" applyBorder="1" applyAlignment="1" applyProtection="1">
      <alignment vertical="center"/>
      <protection locked="0"/>
    </xf>
    <xf numFmtId="0" fontId="41" fillId="2" borderId="0" xfId="0" applyFont="1" applyFill="1" applyAlignment="1" applyProtection="1">
      <alignment horizontal="center" vertical="center"/>
      <protection locked="0"/>
    </xf>
    <xf numFmtId="0" fontId="41" fillId="2" borderId="0" xfId="2" applyFont="1" applyFill="1" applyAlignment="1" applyProtection="1">
      <alignment horizontal="center" vertical="center" wrapText="1"/>
      <protection locked="0"/>
    </xf>
    <xf numFmtId="0" fontId="41" fillId="2" borderId="2" xfId="0" applyFont="1" applyFill="1" applyBorder="1" applyAlignment="1" applyProtection="1">
      <alignment horizontal="center" vertical="center"/>
      <protection locked="0"/>
    </xf>
    <xf numFmtId="49" fontId="41" fillId="2" borderId="3" xfId="0" applyNumberFormat="1" applyFont="1" applyFill="1" applyBorder="1" applyAlignment="1" applyProtection="1">
      <alignment horizontal="center" vertical="center" wrapText="1"/>
      <protection locked="0"/>
    </xf>
    <xf numFmtId="1" fontId="41" fillId="2" borderId="3" xfId="0" applyNumberFormat="1" applyFont="1" applyFill="1" applyBorder="1" applyAlignment="1" applyProtection="1">
      <alignment horizontal="center"/>
      <protection locked="0"/>
    </xf>
    <xf numFmtId="1" fontId="41" fillId="2" borderId="0" xfId="0" applyNumberFormat="1" applyFont="1" applyFill="1" applyAlignment="1" applyProtection="1">
      <alignment horizontal="center"/>
      <protection locked="0"/>
    </xf>
    <xf numFmtId="49" fontId="41" fillId="2" borderId="0" xfId="0" applyNumberFormat="1" applyFont="1" applyFill="1" applyAlignment="1" applyProtection="1">
      <alignment horizontal="center" vertical="center" wrapText="1"/>
      <protection locked="0"/>
    </xf>
    <xf numFmtId="0" fontId="41" fillId="2" borderId="0" xfId="0" applyFont="1" applyFill="1" applyAlignment="1" applyProtection="1">
      <alignment horizontal="center" vertical="center" wrapText="1"/>
      <protection locked="0"/>
    </xf>
    <xf numFmtId="1" fontId="41" fillId="7" borderId="0" xfId="0" quotePrefix="1" applyNumberFormat="1" applyFont="1" applyFill="1" applyAlignment="1" applyProtection="1">
      <alignment horizontal="center"/>
      <protection locked="0"/>
    </xf>
    <xf numFmtId="1" fontId="41" fillId="2" borderId="0" xfId="0" quotePrefix="1" applyNumberFormat="1" applyFont="1" applyFill="1" applyAlignment="1" applyProtection="1">
      <alignment horizontal="center"/>
      <protection locked="0"/>
    </xf>
    <xf numFmtId="49" fontId="41" fillId="2" borderId="3" xfId="0" applyNumberFormat="1" applyFont="1" applyFill="1" applyBorder="1" applyAlignment="1" applyProtection="1">
      <alignment horizontal="center" vertical="center"/>
      <protection locked="0"/>
    </xf>
    <xf numFmtId="1" fontId="41" fillId="2" borderId="3" xfId="0" applyNumberFormat="1" applyFont="1" applyFill="1" applyBorder="1" applyAlignment="1" applyProtection="1">
      <alignment horizontal="center" vertical="center"/>
      <protection locked="0"/>
    </xf>
    <xf numFmtId="166" fontId="41" fillId="2" borderId="0" xfId="0" applyNumberFormat="1" applyFont="1" applyFill="1" applyAlignment="1" applyProtection="1">
      <alignment horizontal="center"/>
      <protection locked="0"/>
    </xf>
    <xf numFmtId="167" fontId="41" fillId="2" borderId="0" xfId="0" applyNumberFormat="1" applyFont="1" applyFill="1" applyAlignment="1" applyProtection="1">
      <alignment horizontal="center"/>
      <protection locked="0"/>
    </xf>
    <xf numFmtId="0" fontId="42" fillId="6" borderId="0" xfId="0" applyFont="1" applyFill="1" applyAlignment="1" applyProtection="1">
      <alignment horizontal="left"/>
      <protection locked="0"/>
    </xf>
    <xf numFmtId="0" fontId="51" fillId="0" borderId="3" xfId="0" applyFont="1" applyBorder="1" applyAlignment="1">
      <alignment horizontal="center" vertical="center"/>
    </xf>
    <xf numFmtId="0" fontId="2" fillId="0" borderId="0" xfId="5"/>
    <xf numFmtId="0" fontId="33" fillId="0" borderId="6" xfId="5" applyFont="1" applyBorder="1" applyAlignment="1">
      <alignment horizontal="left" vertical="top" wrapText="1"/>
    </xf>
    <xf numFmtId="0" fontId="33" fillId="0" borderId="0" xfId="5" applyFont="1" applyAlignment="1">
      <alignment vertical="center" wrapText="1"/>
    </xf>
    <xf numFmtId="0" fontId="33" fillId="0" borderId="0" xfId="5" applyFont="1" applyAlignment="1">
      <alignment horizontal="center" vertical="center" wrapText="1"/>
    </xf>
    <xf numFmtId="0" fontId="33" fillId="0" borderId="4" xfId="5" applyFont="1" applyBorder="1" applyAlignment="1">
      <alignment vertical="top"/>
    </xf>
    <xf numFmtId="0" fontId="33" fillId="0" borderId="6" xfId="5" applyFont="1" applyBorder="1" applyAlignment="1" applyProtection="1">
      <alignment vertical="top" wrapText="1"/>
      <protection locked="0"/>
    </xf>
    <xf numFmtId="0" fontId="33" fillId="0" borderId="6" xfId="5" applyFont="1" applyBorder="1" applyAlignment="1" applyProtection="1">
      <alignment vertical="top"/>
      <protection locked="0"/>
    </xf>
    <xf numFmtId="0" fontId="53" fillId="0" borderId="0" xfId="5" applyFont="1" applyAlignment="1">
      <alignment vertical="top"/>
    </xf>
    <xf numFmtId="0" fontId="33" fillId="0" borderId="0" xfId="5" applyFont="1" applyAlignment="1" applyProtection="1">
      <alignment horizontal="center" vertical="top" wrapText="1"/>
      <protection locked="0"/>
    </xf>
    <xf numFmtId="0" fontId="33" fillId="0" borderId="0" xfId="5" applyFont="1" applyAlignment="1">
      <alignment horizontal="center" vertical="top" wrapText="1"/>
    </xf>
    <xf numFmtId="0" fontId="33" fillId="0" borderId="0" xfId="5" applyFont="1" applyAlignment="1">
      <alignment vertical="top" wrapText="1"/>
    </xf>
    <xf numFmtId="0" fontId="54" fillId="0" borderId="0" xfId="5" applyFont="1" applyAlignment="1">
      <alignment vertical="center"/>
    </xf>
    <xf numFmtId="0" fontId="56" fillId="0" borderId="0" xfId="6" applyFont="1"/>
    <xf numFmtId="0" fontId="2" fillId="0" borderId="0" xfId="6"/>
    <xf numFmtId="0" fontId="2" fillId="0" borderId="28" xfId="6" applyBorder="1"/>
    <xf numFmtId="0" fontId="2" fillId="0" borderId="29" xfId="6" applyBorder="1"/>
    <xf numFmtId="0" fontId="2" fillId="0" borderId="30" xfId="6" applyBorder="1"/>
    <xf numFmtId="0" fontId="57" fillId="0" borderId="31" xfId="6" applyFont="1" applyBorder="1" applyAlignment="1">
      <alignment horizontal="center" vertical="center"/>
    </xf>
    <xf numFmtId="0" fontId="59" fillId="0" borderId="53" xfId="6" applyFont="1" applyBorder="1" applyAlignment="1">
      <alignment vertical="center"/>
    </xf>
    <xf numFmtId="0" fontId="2" fillId="0" borderId="31" xfId="6" applyBorder="1"/>
    <xf numFmtId="0" fontId="2" fillId="0" borderId="3" xfId="6" applyBorder="1" applyAlignment="1">
      <alignment horizontal="center"/>
    </xf>
    <xf numFmtId="0" fontId="2" fillId="0" borderId="3" xfId="6" applyBorder="1" applyAlignment="1">
      <alignment horizontal="center" vertical="center"/>
    </xf>
    <xf numFmtId="0" fontId="2" fillId="0" borderId="27" xfId="6" applyBorder="1"/>
    <xf numFmtId="0" fontId="2" fillId="0" borderId="0" xfId="6" applyAlignment="1">
      <alignment horizontal="center"/>
    </xf>
    <xf numFmtId="0" fontId="2" fillId="0" borderId="0" xfId="6" applyAlignment="1">
      <alignment horizontal="center" vertical="center"/>
    </xf>
    <xf numFmtId="0" fontId="2" fillId="0" borderId="3" xfId="6" applyBorder="1" applyAlignment="1">
      <alignment horizontal="center" vertical="center" wrapText="1"/>
    </xf>
    <xf numFmtId="164" fontId="2" fillId="0" borderId="3" xfId="6" applyNumberFormat="1" applyBorder="1" applyAlignment="1">
      <alignment horizontal="center" vertical="center"/>
    </xf>
    <xf numFmtId="0" fontId="2" fillId="0" borderId="3" xfId="6" applyBorder="1" applyAlignment="1">
      <alignment horizontal="center" wrapText="1"/>
    </xf>
    <xf numFmtId="164" fontId="2" fillId="0" borderId="0" xfId="6" applyNumberFormat="1" applyAlignment="1">
      <alignment horizontal="center" vertical="center"/>
    </xf>
    <xf numFmtId="0" fontId="2" fillId="0" borderId="37" xfId="6" applyBorder="1"/>
    <xf numFmtId="0" fontId="2" fillId="0" borderId="38" xfId="6" applyBorder="1"/>
    <xf numFmtId="0" fontId="2" fillId="0" borderId="39" xfId="6" applyBorder="1"/>
    <xf numFmtId="0" fontId="34" fillId="0" borderId="0" xfId="6" applyFont="1"/>
    <xf numFmtId="0" fontId="34" fillId="0" borderId="31" xfId="6" applyFont="1" applyBorder="1" applyAlignment="1">
      <alignment horizontal="center" vertical="center"/>
    </xf>
    <xf numFmtId="0" fontId="60" fillId="0" borderId="0" xfId="6" applyFont="1"/>
    <xf numFmtId="2" fontId="2" fillId="0" borderId="3" xfId="6" applyNumberFormat="1" applyBorder="1" applyAlignment="1">
      <alignment horizontal="center" vertical="center"/>
    </xf>
    <xf numFmtId="165" fontId="2" fillId="0" borderId="0" xfId="1" applyNumberFormat="1" applyAlignment="1" applyProtection="1">
      <alignment horizontal="center" vertical="center"/>
      <protection locked="0"/>
    </xf>
    <xf numFmtId="165" fontId="2" fillId="0" borderId="0" xfId="1" applyNumberFormat="1" applyAlignment="1" applyProtection="1">
      <alignment horizontal="left" vertical="center"/>
      <protection locked="0"/>
    </xf>
    <xf numFmtId="0" fontId="56" fillId="0" borderId="31" xfId="6" applyFont="1" applyBorder="1" applyAlignment="1">
      <alignment horizontal="center" vertical="center"/>
    </xf>
    <xf numFmtId="0" fontId="59" fillId="0" borderId="27" xfId="6" applyFont="1" applyBorder="1" applyAlignment="1">
      <alignment vertical="center"/>
    </xf>
    <xf numFmtId="0" fontId="59" fillId="0" borderId="0" xfId="6" applyFont="1" applyAlignment="1">
      <alignment vertical="center"/>
    </xf>
    <xf numFmtId="0" fontId="60" fillId="0" borderId="3" xfId="6" applyFont="1" applyBorder="1" applyAlignment="1">
      <alignment horizontal="center" vertical="center"/>
    </xf>
    <xf numFmtId="1" fontId="2" fillId="0" borderId="3" xfId="4" applyNumberFormat="1" applyBorder="1" applyAlignment="1">
      <alignment horizontal="center" vertical="center"/>
    </xf>
    <xf numFmtId="0" fontId="2" fillId="0" borderId="0" xfId="6" applyAlignment="1">
      <alignment horizontal="right"/>
    </xf>
    <xf numFmtId="0" fontId="60" fillId="0" borderId="3" xfId="6" applyFont="1" applyBorder="1" applyAlignment="1">
      <alignment horizontal="center" vertical="center" wrapText="1"/>
    </xf>
    <xf numFmtId="2" fontId="2" fillId="0" borderId="31" xfId="6" applyNumberFormat="1" applyBorder="1"/>
    <xf numFmtId="2" fontId="2" fillId="0" borderId="0" xfId="6" applyNumberFormat="1"/>
    <xf numFmtId="175" fontId="41" fillId="0" borderId="6" xfId="1" applyNumberFormat="1" applyFont="1" applyBorder="1" applyAlignment="1" applyProtection="1">
      <alignment horizontal="center" vertical="center"/>
      <protection locked="0"/>
    </xf>
    <xf numFmtId="0" fontId="42" fillId="2" borderId="0" xfId="1" applyFont="1" applyFill="1" applyAlignment="1">
      <alignment vertical="center" wrapText="1"/>
    </xf>
    <xf numFmtId="0" fontId="2" fillId="0" borderId="28" xfId="5" applyBorder="1"/>
    <xf numFmtId="0" fontId="61" fillId="0" borderId="30" xfId="5" applyFont="1" applyBorder="1"/>
    <xf numFmtId="0" fontId="2" fillId="0" borderId="31" xfId="5" applyBorder="1"/>
    <xf numFmtId="0" fontId="2" fillId="0" borderId="27" xfId="5" applyBorder="1"/>
    <xf numFmtId="0" fontId="2" fillId="0" borderId="31" xfId="5" applyBorder="1" applyAlignment="1">
      <alignment wrapText="1"/>
    </xf>
    <xf numFmtId="0" fontId="2" fillId="0" borderId="27" xfId="5" applyBorder="1" applyAlignment="1">
      <alignment wrapText="1"/>
    </xf>
    <xf numFmtId="0" fontId="61" fillId="0" borderId="27" xfId="5" applyFont="1" applyBorder="1"/>
    <xf numFmtId="0" fontId="55" fillId="0" borderId="27" xfId="5" applyFont="1" applyBorder="1" applyAlignment="1">
      <alignment horizontal="left" wrapText="1"/>
    </xf>
    <xf numFmtId="0" fontId="2" fillId="0" borderId="0" xfId="5" applyAlignment="1">
      <alignment wrapText="1"/>
    </xf>
    <xf numFmtId="0" fontId="55" fillId="0" borderId="31" xfId="5" applyFont="1" applyBorder="1" applyAlignment="1">
      <alignment wrapText="1"/>
    </xf>
    <xf numFmtId="177" fontId="55" fillId="0" borderId="27" xfId="5" applyNumberFormat="1" applyFont="1" applyBorder="1" applyAlignment="1">
      <alignment horizontal="left"/>
    </xf>
    <xf numFmtId="0" fontId="62" fillId="0" borderId="27" xfId="5" applyFont="1" applyBorder="1" applyAlignment="1">
      <alignment horizontal="left" wrapText="1"/>
    </xf>
    <xf numFmtId="0" fontId="55" fillId="0" borderId="27" xfId="5" applyFont="1" applyBorder="1" applyAlignment="1">
      <alignment wrapText="1"/>
    </xf>
    <xf numFmtId="0" fontId="55" fillId="0" borderId="31" xfId="5" applyFont="1" applyBorder="1"/>
    <xf numFmtId="0" fontId="55" fillId="0" borderId="37" xfId="5" applyFont="1" applyBorder="1"/>
    <xf numFmtId="0" fontId="55" fillId="0" borderId="39" xfId="5" applyFont="1" applyBorder="1" applyAlignment="1">
      <alignment wrapText="1"/>
    </xf>
    <xf numFmtId="165" fontId="2" fillId="0" borderId="0" xfId="6" applyNumberFormat="1" applyAlignment="1">
      <alignment horizontal="center" vertical="center"/>
    </xf>
    <xf numFmtId="165" fontId="41" fillId="2" borderId="0" xfId="1" applyNumberFormat="1" applyFont="1" applyFill="1" applyAlignment="1">
      <alignment horizontal="left" vertical="center"/>
    </xf>
    <xf numFmtId="171" fontId="41" fillId="2" borderId="0" xfId="1" applyNumberFormat="1" applyFont="1" applyFill="1" applyAlignment="1">
      <alignment vertical="center"/>
    </xf>
    <xf numFmtId="2" fontId="41" fillId="2" borderId="0" xfId="1" applyNumberFormat="1" applyFont="1" applyFill="1" applyAlignment="1">
      <alignment vertical="center"/>
    </xf>
    <xf numFmtId="1" fontId="41" fillId="2" borderId="0" xfId="1" applyNumberFormat="1" applyFont="1" applyFill="1" applyAlignment="1">
      <alignment horizontal="left" vertical="center"/>
    </xf>
    <xf numFmtId="2" fontId="43" fillId="2" borderId="0" xfId="1" applyNumberFormat="1" applyFont="1" applyFill="1" applyAlignment="1">
      <alignment vertical="center"/>
    </xf>
    <xf numFmtId="166" fontId="2" fillId="0" borderId="3" xfId="6" applyNumberFormat="1" applyBorder="1" applyAlignment="1">
      <alignment horizontal="center" vertical="center"/>
    </xf>
    <xf numFmtId="0" fontId="41" fillId="2" borderId="3" xfId="0" applyFont="1" applyFill="1" applyBorder="1" applyAlignment="1" applyProtection="1">
      <alignment horizontal="center" vertical="center"/>
      <protection locked="0"/>
    </xf>
    <xf numFmtId="0" fontId="41" fillId="2" borderId="0" xfId="0" applyFont="1" applyFill="1" applyAlignment="1" applyProtection="1">
      <alignment horizontal="center"/>
      <protection locked="0"/>
    </xf>
    <xf numFmtId="0" fontId="42" fillId="2" borderId="3" xfId="0" applyFont="1" applyFill="1" applyBorder="1" applyAlignment="1" applyProtection="1">
      <alignment horizontal="center" vertical="center"/>
      <protection locked="0"/>
    </xf>
    <xf numFmtId="0" fontId="41" fillId="2" borderId="3" xfId="0" applyFont="1" applyFill="1" applyBorder="1" applyAlignment="1" applyProtection="1">
      <alignment horizontal="center" vertical="center" wrapText="1"/>
      <protection locked="0"/>
    </xf>
    <xf numFmtId="0" fontId="41" fillId="6" borderId="0" xfId="0" applyFont="1" applyFill="1" applyAlignment="1" applyProtection="1">
      <alignment horizontal="left"/>
      <protection locked="0"/>
    </xf>
    <xf numFmtId="0" fontId="42" fillId="2" borderId="18" xfId="0" applyFont="1" applyFill="1" applyBorder="1" applyAlignment="1" applyProtection="1">
      <alignment horizontal="center" vertical="center"/>
      <protection locked="0"/>
    </xf>
    <xf numFmtId="0" fontId="42" fillId="2" borderId="1" xfId="0" applyFont="1" applyFill="1" applyBorder="1" applyAlignment="1" applyProtection="1">
      <alignment horizontal="center" vertical="center"/>
      <protection locked="0"/>
    </xf>
    <xf numFmtId="0" fontId="42" fillId="2" borderId="21" xfId="0" applyFont="1" applyFill="1" applyBorder="1" applyAlignment="1" applyProtection="1">
      <alignment horizontal="center" vertical="center"/>
      <protection locked="0"/>
    </xf>
    <xf numFmtId="0" fontId="41" fillId="2" borderId="4" xfId="0" applyFont="1" applyFill="1" applyBorder="1" applyAlignment="1" applyProtection="1">
      <alignment horizontal="center" vertical="center"/>
      <protection locked="0"/>
    </xf>
    <xf numFmtId="0" fontId="41" fillId="2" borderId="6" xfId="0" applyFont="1" applyFill="1" applyBorder="1" applyAlignment="1" applyProtection="1">
      <alignment horizontal="center" vertical="center"/>
      <protection locked="0"/>
    </xf>
    <xf numFmtId="0" fontId="35" fillId="0" borderId="0" xfId="0" applyFont="1" applyProtection="1">
      <protection locked="0"/>
    </xf>
    <xf numFmtId="0" fontId="35" fillId="0" borderId="0" xfId="0" applyFont="1"/>
    <xf numFmtId="10" fontId="35" fillId="2" borderId="0" xfId="0" applyNumberFormat="1" applyFont="1" applyFill="1" applyProtection="1">
      <protection locked="0"/>
    </xf>
    <xf numFmtId="1" fontId="35" fillId="2" borderId="0" xfId="0" applyNumberFormat="1" applyFont="1" applyFill="1" applyProtection="1">
      <protection locked="0"/>
    </xf>
    <xf numFmtId="0" fontId="35" fillId="2" borderId="0" xfId="0" applyFont="1" applyFill="1"/>
    <xf numFmtId="0" fontId="35" fillId="2" borderId="0" xfId="0" applyFont="1" applyFill="1" applyAlignment="1">
      <alignment horizontal="left"/>
    </xf>
    <xf numFmtId="167" fontId="35" fillId="2" borderId="0" xfId="0" applyNumberFormat="1" applyFont="1" applyFill="1" applyAlignment="1">
      <alignment horizontal="center"/>
    </xf>
    <xf numFmtId="0" fontId="35" fillId="2" borderId="0" xfId="0" applyFont="1" applyFill="1" applyAlignment="1">
      <alignment horizontal="center"/>
    </xf>
    <xf numFmtId="165" fontId="35" fillId="0" borderId="3" xfId="0" applyNumberFormat="1" applyFont="1" applyBorder="1" applyAlignment="1" applyProtection="1">
      <alignment horizontal="center"/>
      <protection locked="0"/>
    </xf>
    <xf numFmtId="166" fontId="35" fillId="0" borderId="0" xfId="0" applyNumberFormat="1" applyFont="1" applyAlignment="1">
      <alignment horizontal="center"/>
    </xf>
    <xf numFmtId="166" fontId="35" fillId="0" borderId="0" xfId="0" applyNumberFormat="1" applyFont="1" applyProtection="1">
      <protection locked="0"/>
    </xf>
    <xf numFmtId="166" fontId="35" fillId="0" borderId="0" xfId="0" applyNumberFormat="1" applyFont="1"/>
    <xf numFmtId="167" fontId="35" fillId="0" borderId="0" xfId="0" applyNumberFormat="1" applyFont="1" applyAlignment="1" applyProtection="1">
      <alignment horizontal="center"/>
      <protection locked="0"/>
    </xf>
    <xf numFmtId="167" fontId="35" fillId="0" borderId="0" xfId="0" applyNumberFormat="1" applyFont="1" applyAlignment="1">
      <alignment horizontal="center"/>
    </xf>
    <xf numFmtId="1" fontId="35" fillId="2" borderId="0" xfId="0" quotePrefix="1" applyNumberFormat="1" applyFont="1" applyFill="1" applyAlignment="1">
      <alignment horizontal="center" vertical="center"/>
    </xf>
    <xf numFmtId="0" fontId="35" fillId="2" borderId="0" xfId="0" applyFont="1" applyFill="1" applyAlignment="1">
      <alignment horizontal="center" vertical="center"/>
    </xf>
    <xf numFmtId="0" fontId="35" fillId="0" borderId="0" xfId="0" quotePrefix="1" applyFont="1"/>
    <xf numFmtId="0" fontId="35" fillId="6" borderId="0" xfId="0" applyFont="1" applyFill="1" applyAlignment="1">
      <alignment horizontal="left" vertical="center"/>
    </xf>
    <xf numFmtId="0" fontId="35" fillId="6" borderId="0" xfId="0" applyFont="1" applyFill="1" applyAlignment="1">
      <alignment horizontal="left"/>
    </xf>
    <xf numFmtId="2" fontId="35" fillId="0" borderId="3" xfId="0" applyNumberFormat="1" applyFont="1" applyBorder="1" applyAlignment="1">
      <alignment horizontal="center"/>
    </xf>
    <xf numFmtId="2" fontId="35" fillId="2" borderId="3" xfId="0" applyNumberFormat="1" applyFont="1" applyFill="1" applyBorder="1" applyAlignment="1">
      <alignment horizontal="center"/>
    </xf>
    <xf numFmtId="0" fontId="35" fillId="0" borderId="0" xfId="0" applyFont="1" applyAlignment="1">
      <alignment horizontal="left"/>
    </xf>
    <xf numFmtId="0" fontId="41" fillId="12" borderId="0" xfId="0" applyFont="1" applyFill="1" applyProtection="1">
      <protection locked="0"/>
    </xf>
    <xf numFmtId="0" fontId="41" fillId="0" borderId="0" xfId="0" applyFont="1" applyAlignment="1" applyProtection="1">
      <alignment horizontal="left"/>
      <protection locked="0"/>
    </xf>
    <xf numFmtId="167" fontId="2" fillId="0" borderId="3" xfId="6" applyNumberFormat="1" applyBorder="1" applyAlignment="1">
      <alignment horizontal="center" vertical="center"/>
    </xf>
    <xf numFmtId="0" fontId="17" fillId="0" borderId="0" xfId="6" applyFont="1" applyAlignment="1">
      <alignment horizontal="center"/>
    </xf>
    <xf numFmtId="167" fontId="27" fillId="2" borderId="3" xfId="0" applyNumberFormat="1" applyFont="1" applyFill="1" applyBorder="1" applyAlignment="1">
      <alignment horizontal="center" vertical="center" wrapText="1"/>
    </xf>
    <xf numFmtId="167" fontId="27" fillId="2" borderId="3" xfId="0" applyNumberFormat="1" applyFont="1" applyFill="1" applyBorder="1" applyAlignment="1">
      <alignment horizontal="center"/>
    </xf>
    <xf numFmtId="167" fontId="2" fillId="0" borderId="3" xfId="6" applyNumberFormat="1" applyBorder="1" applyAlignment="1">
      <alignment horizontal="center"/>
    </xf>
    <xf numFmtId="167" fontId="17" fillId="0" borderId="3" xfId="6" applyNumberFormat="1" applyFont="1" applyBorder="1" applyAlignment="1">
      <alignment horizontal="center"/>
    </xf>
    <xf numFmtId="0" fontId="64" fillId="0" borderId="0" xfId="6" applyFont="1"/>
    <xf numFmtId="2" fontId="64" fillId="0" borderId="0" xfId="6" applyNumberFormat="1" applyFont="1" applyAlignment="1">
      <alignment horizontal="right"/>
    </xf>
    <xf numFmtId="0" fontId="64" fillId="0" borderId="0" xfId="6" applyFont="1" applyAlignment="1">
      <alignment horizontal="center"/>
    </xf>
    <xf numFmtId="2" fontId="41" fillId="0" borderId="0" xfId="6" applyNumberFormat="1" applyFont="1" applyAlignment="1">
      <alignment horizontal="center" vertical="center"/>
    </xf>
    <xf numFmtId="167" fontId="2" fillId="0" borderId="4" xfId="6" applyNumberFormat="1" applyBorder="1" applyAlignment="1">
      <alignment horizontal="center" vertical="center"/>
    </xf>
    <xf numFmtId="166" fontId="2" fillId="0" borderId="3" xfId="6" applyNumberFormat="1" applyBorder="1" applyAlignment="1">
      <alignment horizontal="center"/>
    </xf>
    <xf numFmtId="0" fontId="41" fillId="6" borderId="0" xfId="0" applyFont="1" applyFill="1"/>
    <xf numFmtId="0" fontId="41" fillId="3" borderId="0" xfId="0" applyFont="1" applyFill="1"/>
    <xf numFmtId="0" fontId="41" fillId="7" borderId="0" xfId="0" applyFont="1" applyFill="1"/>
    <xf numFmtId="0" fontId="41" fillId="3" borderId="0" xfId="0" applyFont="1" applyFill="1" applyAlignment="1">
      <alignment horizontal="center"/>
    </xf>
    <xf numFmtId="0" fontId="41" fillId="0" borderId="0" xfId="3" applyFont="1"/>
    <xf numFmtId="0" fontId="17" fillId="2" borderId="0" xfId="0" applyFont="1" applyFill="1"/>
    <xf numFmtId="0" fontId="17" fillId="0" borderId="0" xfId="0" applyFont="1" applyProtection="1">
      <protection locked="0"/>
    </xf>
    <xf numFmtId="0" fontId="41" fillId="7" borderId="0" xfId="0" applyFont="1" applyFill="1" applyAlignment="1">
      <alignment horizontal="center"/>
    </xf>
    <xf numFmtId="0" fontId="17" fillId="0" borderId="0" xfId="0" applyFont="1" applyAlignment="1">
      <alignment horizontal="left"/>
    </xf>
    <xf numFmtId="165" fontId="2" fillId="0" borderId="0" xfId="6" applyNumberFormat="1"/>
    <xf numFmtId="0" fontId="2" fillId="0" borderId="0" xfId="1" applyAlignment="1" applyProtection="1">
      <alignment horizontal="center" vertical="center"/>
      <protection locked="0"/>
    </xf>
    <xf numFmtId="165" fontId="41" fillId="2" borderId="0" xfId="1" applyNumberFormat="1" applyFont="1" applyFill="1" applyAlignment="1">
      <alignment horizontal="center" vertical="center"/>
    </xf>
    <xf numFmtId="1" fontId="41" fillId="2" borderId="2" xfId="0" applyNumberFormat="1" applyFont="1" applyFill="1" applyBorder="1" applyAlignment="1" applyProtection="1">
      <alignment horizontal="center" vertical="center" wrapText="1"/>
      <protection locked="0"/>
    </xf>
    <xf numFmtId="1" fontId="41" fillId="2" borderId="3" xfId="0" applyNumberFormat="1" applyFont="1" applyFill="1" applyBorder="1" applyAlignment="1" applyProtection="1">
      <alignment horizontal="center" vertical="center" wrapText="1"/>
      <protection locked="0"/>
    </xf>
    <xf numFmtId="167" fontId="17" fillId="0" borderId="3" xfId="6" applyNumberFormat="1" applyFont="1" applyBorder="1" applyAlignment="1">
      <alignment horizontal="center" vertical="center"/>
    </xf>
    <xf numFmtId="173" fontId="2" fillId="0" borderId="3" xfId="6" applyNumberFormat="1" applyBorder="1" applyAlignment="1">
      <alignment horizontal="center"/>
    </xf>
    <xf numFmtId="173" fontId="2" fillId="0" borderId="3" xfId="6" applyNumberFormat="1" applyBorder="1" applyAlignment="1">
      <alignment horizontal="center" vertical="center"/>
    </xf>
    <xf numFmtId="166" fontId="27" fillId="2" borderId="3" xfId="0" applyNumberFormat="1" applyFont="1" applyFill="1" applyBorder="1" applyAlignment="1">
      <alignment horizontal="center" vertical="center" wrapText="1"/>
    </xf>
    <xf numFmtId="166" fontId="27" fillId="2" borderId="3" xfId="0" applyNumberFormat="1" applyFont="1" applyFill="1" applyBorder="1" applyAlignment="1">
      <alignment horizontal="center"/>
    </xf>
    <xf numFmtId="164" fontId="2" fillId="0" borderId="3" xfId="1" applyNumberFormat="1" applyBorder="1" applyAlignment="1" applyProtection="1">
      <alignment horizontal="center" vertical="center"/>
      <protection locked="0"/>
    </xf>
    <xf numFmtId="166" fontId="2" fillId="0" borderId="3" xfId="1" applyNumberFormat="1" applyBorder="1" applyAlignment="1" applyProtection="1">
      <alignment horizontal="center" vertical="center"/>
      <protection locked="0"/>
    </xf>
    <xf numFmtId="164" fontId="2" fillId="0" borderId="3" xfId="1" applyNumberFormat="1" applyBorder="1" applyAlignment="1" applyProtection="1">
      <alignment horizontal="center"/>
      <protection locked="0"/>
    </xf>
    <xf numFmtId="165" fontId="2" fillId="0" borderId="0" xfId="6" applyNumberFormat="1" applyAlignment="1">
      <alignment horizontal="center"/>
    </xf>
    <xf numFmtId="167" fontId="12" fillId="0" borderId="3" xfId="4" applyNumberFormat="1" applyFont="1" applyBorder="1" applyAlignment="1">
      <alignment horizontal="center" vertical="center"/>
    </xf>
    <xf numFmtId="167" fontId="2" fillId="0" borderId="3" xfId="4" applyNumberFormat="1" applyBorder="1" applyAlignment="1">
      <alignment horizontal="center" vertical="center"/>
    </xf>
    <xf numFmtId="173" fontId="2" fillId="0" borderId="3" xfId="4" applyNumberFormat="1" applyBorder="1" applyAlignment="1">
      <alignment horizontal="center" vertical="center"/>
    </xf>
    <xf numFmtId="173" fontId="2" fillId="0" borderId="3" xfId="4" applyNumberFormat="1" applyBorder="1" applyAlignment="1">
      <alignment horizontal="center"/>
    </xf>
    <xf numFmtId="173" fontId="41" fillId="0" borderId="3" xfId="0" applyNumberFormat="1" applyFont="1" applyBorder="1" applyAlignment="1">
      <alignment horizontal="center" vertical="center"/>
    </xf>
    <xf numFmtId="15" fontId="41" fillId="6" borderId="0" xfId="0" quotePrefix="1" applyNumberFormat="1" applyFont="1" applyFill="1" applyAlignment="1" applyProtection="1">
      <alignment horizontal="left"/>
      <protection locked="0"/>
    </xf>
    <xf numFmtId="173" fontId="41" fillId="0" borderId="3" xfId="0" applyNumberFormat="1" applyFont="1" applyBorder="1" applyAlignment="1">
      <alignment horizontal="center"/>
    </xf>
    <xf numFmtId="173" fontId="41" fillId="10" borderId="3" xfId="1" applyNumberFormat="1" applyFont="1" applyFill="1" applyBorder="1" applyAlignment="1">
      <alignment horizontal="center" vertical="center"/>
    </xf>
    <xf numFmtId="173" fontId="41" fillId="10" borderId="12" xfId="1" applyNumberFormat="1" applyFont="1" applyFill="1" applyBorder="1" applyAlignment="1">
      <alignment horizontal="center" vertical="center"/>
    </xf>
    <xf numFmtId="173" fontId="41" fillId="10" borderId="25" xfId="1" applyNumberFormat="1" applyFont="1" applyFill="1" applyBorder="1" applyAlignment="1">
      <alignment horizontal="center" vertical="center"/>
    </xf>
    <xf numFmtId="173" fontId="41" fillId="10" borderId="7" xfId="1" applyNumberFormat="1" applyFont="1" applyFill="1" applyBorder="1" applyAlignment="1">
      <alignment horizontal="center" vertical="center"/>
    </xf>
    <xf numFmtId="173" fontId="41" fillId="10" borderId="43" xfId="1" applyNumberFormat="1" applyFont="1" applyFill="1" applyBorder="1" applyAlignment="1">
      <alignment horizontal="center" vertical="center"/>
    </xf>
    <xf numFmtId="173" fontId="41" fillId="10" borderId="4" xfId="1" applyNumberFormat="1" applyFont="1" applyFill="1" applyBorder="1" applyAlignment="1">
      <alignment horizontal="center" vertical="center"/>
    </xf>
    <xf numFmtId="173" fontId="41" fillId="10" borderId="46" xfId="1" applyNumberFormat="1" applyFont="1" applyFill="1" applyBorder="1" applyAlignment="1">
      <alignment horizontal="center" vertical="center"/>
    </xf>
    <xf numFmtId="173" fontId="41" fillId="0" borderId="0" xfId="0" applyNumberFormat="1" applyFont="1"/>
    <xf numFmtId="1" fontId="41" fillId="0" borderId="0" xfId="0" applyNumberFormat="1" applyFont="1"/>
    <xf numFmtId="173" fontId="41" fillId="0" borderId="3" xfId="0" quotePrefix="1" applyNumberFormat="1" applyFont="1" applyBorder="1" applyAlignment="1">
      <alignment horizontal="center" vertical="center"/>
    </xf>
    <xf numFmtId="173" fontId="41" fillId="10" borderId="25" xfId="1" quotePrefix="1" applyNumberFormat="1" applyFont="1" applyFill="1" applyBorder="1" applyAlignment="1">
      <alignment horizontal="center" vertical="center"/>
    </xf>
    <xf numFmtId="173" fontId="41" fillId="10" borderId="3" xfId="1" quotePrefix="1" applyNumberFormat="1" applyFont="1" applyFill="1" applyBorder="1" applyAlignment="1">
      <alignment horizontal="center" vertical="center"/>
    </xf>
    <xf numFmtId="173" fontId="41" fillId="10" borderId="25" xfId="0" applyNumberFormat="1" applyFont="1" applyFill="1" applyBorder="1" applyAlignment="1">
      <alignment horizontal="center" vertical="center"/>
    </xf>
    <xf numFmtId="173" fontId="41" fillId="10" borderId="3" xfId="0" applyNumberFormat="1" applyFont="1" applyFill="1" applyBorder="1" applyAlignment="1">
      <alignment horizontal="center" vertical="center"/>
    </xf>
    <xf numFmtId="173" fontId="41" fillId="10" borderId="12" xfId="0" applyNumberFormat="1" applyFont="1" applyFill="1" applyBorder="1" applyAlignment="1">
      <alignment horizontal="center" vertical="center"/>
    </xf>
    <xf numFmtId="173" fontId="41" fillId="0" borderId="0" xfId="0" applyNumberFormat="1" applyFont="1" applyAlignment="1">
      <alignment horizontal="left"/>
    </xf>
    <xf numFmtId="1" fontId="41" fillId="0" borderId="0" xfId="0" applyNumberFormat="1" applyFont="1" applyAlignment="1">
      <alignment horizontal="left"/>
    </xf>
    <xf numFmtId="166" fontId="41" fillId="0" borderId="3" xfId="0" applyNumberFormat="1" applyFont="1" applyBorder="1" applyAlignment="1">
      <alignment horizontal="center"/>
    </xf>
    <xf numFmtId="166" fontId="41" fillId="0" borderId="0" xfId="0" applyNumberFormat="1" applyFont="1" applyAlignment="1">
      <alignment horizontal="center"/>
    </xf>
    <xf numFmtId="166" fontId="41" fillId="10" borderId="3" xfId="1" applyNumberFormat="1" applyFont="1" applyFill="1" applyBorder="1" applyAlignment="1">
      <alignment horizontal="center" vertical="center"/>
    </xf>
    <xf numFmtId="166" fontId="41" fillId="10" borderId="12" xfId="1" applyNumberFormat="1" applyFont="1" applyFill="1" applyBorder="1" applyAlignment="1">
      <alignment horizontal="center" vertical="center"/>
    </xf>
    <xf numFmtId="166" fontId="41" fillId="10" borderId="25" xfId="1" applyNumberFormat="1" applyFont="1" applyFill="1" applyBorder="1" applyAlignment="1">
      <alignment horizontal="center" vertical="center"/>
    </xf>
    <xf numFmtId="166" fontId="41" fillId="10" borderId="7" xfId="1" applyNumberFormat="1" applyFont="1" applyFill="1" applyBorder="1" applyAlignment="1">
      <alignment horizontal="center" vertical="center"/>
    </xf>
    <xf numFmtId="166" fontId="41" fillId="10" borderId="43" xfId="1" applyNumberFormat="1" applyFont="1" applyFill="1" applyBorder="1" applyAlignment="1">
      <alignment horizontal="center" vertical="center"/>
    </xf>
    <xf numFmtId="166" fontId="41" fillId="10" borderId="4" xfId="1" applyNumberFormat="1" applyFont="1" applyFill="1" applyBorder="1" applyAlignment="1">
      <alignment horizontal="center" vertical="center"/>
    </xf>
    <xf numFmtId="166" fontId="41" fillId="10" borderId="46" xfId="1" applyNumberFormat="1" applyFont="1" applyFill="1" applyBorder="1" applyAlignment="1">
      <alignment horizontal="center" vertical="center"/>
    </xf>
    <xf numFmtId="166" fontId="41" fillId="6" borderId="0" xfId="1" applyNumberFormat="1" applyFont="1" applyFill="1" applyAlignment="1">
      <alignment horizontal="center" vertical="center"/>
    </xf>
    <xf numFmtId="166" fontId="41" fillId="0" borderId="0" xfId="0" applyNumberFormat="1" applyFont="1"/>
    <xf numFmtId="166" fontId="41" fillId="0" borderId="0" xfId="0" applyNumberFormat="1" applyFont="1" applyAlignment="1">
      <alignment horizontal="center" vertical="center"/>
    </xf>
    <xf numFmtId="166" fontId="41" fillId="0" borderId="0" xfId="0" quotePrefix="1" applyNumberFormat="1" applyFont="1" applyAlignment="1">
      <alignment horizontal="center" vertical="center"/>
    </xf>
    <xf numFmtId="166" fontId="41" fillId="10" borderId="13" xfId="1" applyNumberFormat="1" applyFont="1" applyFill="1" applyBorder="1" applyAlignment="1">
      <alignment horizontal="center" vertical="center"/>
    </xf>
    <xf numFmtId="166" fontId="41" fillId="10" borderId="25" xfId="1" quotePrefix="1" applyNumberFormat="1" applyFont="1" applyFill="1" applyBorder="1" applyAlignment="1">
      <alignment horizontal="center" vertical="center"/>
    </xf>
    <xf numFmtId="166" fontId="41" fillId="10" borderId="3" xfId="1" quotePrefix="1" applyNumberFormat="1" applyFont="1" applyFill="1" applyBorder="1" applyAlignment="1">
      <alignment horizontal="center" vertical="center"/>
    </xf>
    <xf numFmtId="166" fontId="41" fillId="10" borderId="25" xfId="0" applyNumberFormat="1" applyFont="1" applyFill="1" applyBorder="1" applyAlignment="1">
      <alignment horizontal="center" vertical="center"/>
    </xf>
    <xf numFmtId="166" fontId="41" fillId="10" borderId="3" xfId="0" applyNumberFormat="1" applyFont="1" applyFill="1" applyBorder="1" applyAlignment="1">
      <alignment horizontal="center" vertical="center"/>
    </xf>
    <xf numFmtId="166" fontId="41" fillId="6" borderId="0" xfId="0" applyNumberFormat="1" applyFont="1" applyFill="1" applyAlignment="1">
      <alignment horizontal="center" vertical="center"/>
    </xf>
    <xf numFmtId="166" fontId="41" fillId="0" borderId="0" xfId="0" applyNumberFormat="1" applyFont="1" applyAlignment="1">
      <alignment horizontal="left"/>
    </xf>
    <xf numFmtId="178" fontId="41" fillId="0" borderId="3" xfId="0" applyNumberFormat="1" applyFont="1" applyBorder="1" applyAlignment="1">
      <alignment horizontal="center"/>
    </xf>
    <xf numFmtId="179" fontId="41" fillId="0" borderId="3" xfId="1" applyNumberFormat="1" applyFont="1" applyBorder="1" applyAlignment="1" applyProtection="1">
      <alignment horizontal="center" vertical="center"/>
      <protection locked="0"/>
    </xf>
    <xf numFmtId="164" fontId="41" fillId="0" borderId="3" xfId="1" applyNumberFormat="1" applyFont="1" applyBorder="1" applyAlignment="1" applyProtection="1">
      <alignment horizontal="center" vertical="center"/>
      <protection locked="0"/>
    </xf>
    <xf numFmtId="1" fontId="41" fillId="0" borderId="3" xfId="1" applyNumberFormat="1" applyFont="1" applyBorder="1" applyAlignment="1" applyProtection="1">
      <alignment horizontal="center" vertical="center"/>
      <protection locked="0"/>
    </xf>
    <xf numFmtId="0" fontId="3" fillId="0" borderId="0" xfId="7" applyFont="1"/>
    <xf numFmtId="0" fontId="2" fillId="0" borderId="0" xfId="7"/>
    <xf numFmtId="0" fontId="2" fillId="0" borderId="29" xfId="7" applyBorder="1"/>
    <xf numFmtId="0" fontId="2" fillId="0" borderId="29" xfId="1" applyBorder="1"/>
    <xf numFmtId="0" fontId="6" fillId="13" borderId="3" xfId="7" applyFont="1" applyFill="1" applyBorder="1" applyAlignment="1">
      <alignment horizontal="center" vertical="center"/>
    </xf>
    <xf numFmtId="165" fontId="6" fillId="11" borderId="3" xfId="7" applyNumberFormat="1" applyFont="1" applyFill="1" applyBorder="1" applyAlignment="1">
      <alignment horizontal="center" vertical="center"/>
    </xf>
    <xf numFmtId="0" fontId="2" fillId="0" borderId="0" xfId="1"/>
    <xf numFmtId="0" fontId="6" fillId="14" borderId="24" xfId="1" applyFont="1" applyFill="1" applyBorder="1" applyAlignment="1">
      <alignment horizontal="center" vertical="center"/>
    </xf>
    <xf numFmtId="165" fontId="6" fillId="11" borderId="26" xfId="1" applyNumberFormat="1" applyFont="1" applyFill="1" applyBorder="1" applyAlignment="1">
      <alignment horizontal="center" vertical="center"/>
    </xf>
    <xf numFmtId="0" fontId="7" fillId="11" borderId="3" xfId="7" applyFont="1" applyFill="1" applyBorder="1" applyAlignment="1">
      <alignment horizontal="center" vertical="center"/>
    </xf>
    <xf numFmtId="0" fontId="7" fillId="13" borderId="3" xfId="7" applyFont="1" applyFill="1" applyBorder="1" applyAlignment="1">
      <alignment horizontal="center" vertical="center"/>
    </xf>
    <xf numFmtId="0" fontId="7" fillId="11" borderId="57" xfId="1" applyFont="1" applyFill="1" applyBorder="1" applyAlignment="1">
      <alignment horizontal="center" vertical="center"/>
    </xf>
    <xf numFmtId="0" fontId="7" fillId="11" borderId="57" xfId="1" quotePrefix="1" applyFont="1" applyFill="1" applyBorder="1" applyAlignment="1">
      <alignment horizontal="center" vertical="center"/>
    </xf>
    <xf numFmtId="0" fontId="7" fillId="14" borderId="57" xfId="1" applyFont="1" applyFill="1" applyBorder="1" applyAlignment="1">
      <alignment horizontal="center" vertical="center"/>
    </xf>
    <xf numFmtId="0" fontId="7" fillId="14" borderId="57" xfId="1" quotePrefix="1" applyFont="1" applyFill="1" applyBorder="1" applyAlignment="1">
      <alignment horizontal="center" vertical="center"/>
    </xf>
    <xf numFmtId="0" fontId="6" fillId="14" borderId="11" xfId="1" applyFont="1" applyFill="1" applyBorder="1" applyAlignment="1">
      <alignment horizontal="center" vertical="center"/>
    </xf>
    <xf numFmtId="165" fontId="6" fillId="11" borderId="13" xfId="1" applyNumberFormat="1" applyFont="1" applyFill="1" applyBorder="1" applyAlignment="1">
      <alignment horizontal="center" vertical="center"/>
    </xf>
    <xf numFmtId="0" fontId="2" fillId="0" borderId="3" xfId="7" applyBorder="1"/>
    <xf numFmtId="165" fontId="2" fillId="11" borderId="3" xfId="7" applyNumberFormat="1" applyFill="1" applyBorder="1" applyAlignment="1">
      <alignment horizontal="center" vertical="center"/>
    </xf>
    <xf numFmtId="2" fontId="2" fillId="13" borderId="3" xfId="7" applyNumberFormat="1" applyFill="1" applyBorder="1" applyAlignment="1">
      <alignment horizontal="center"/>
    </xf>
    <xf numFmtId="0" fontId="2" fillId="0" borderId="27" xfId="7" applyBorder="1"/>
    <xf numFmtId="165" fontId="2" fillId="11" borderId="51" xfId="1" applyNumberFormat="1" applyFill="1" applyBorder="1" applyAlignment="1">
      <alignment horizontal="center" vertical="center"/>
    </xf>
    <xf numFmtId="165" fontId="2" fillId="11" borderId="2" xfId="1" applyNumberFormat="1" applyFill="1" applyBorder="1" applyAlignment="1">
      <alignment horizontal="center" vertical="center"/>
    </xf>
    <xf numFmtId="164" fontId="2" fillId="11" borderId="2" xfId="1" applyNumberFormat="1" applyFill="1" applyBorder="1" applyAlignment="1">
      <alignment horizontal="center" vertical="center"/>
    </xf>
    <xf numFmtId="2" fontId="2" fillId="14" borderId="45" xfId="1" applyNumberFormat="1" applyFill="1" applyBorder="1" applyAlignment="1">
      <alignment horizontal="center"/>
    </xf>
    <xf numFmtId="0" fontId="2" fillId="0" borderId="31" xfId="1" applyBorder="1"/>
    <xf numFmtId="0" fontId="2" fillId="0" borderId="27" xfId="1" applyBorder="1"/>
    <xf numFmtId="165" fontId="2" fillId="11" borderId="8" xfId="1" applyNumberFormat="1" applyFill="1" applyBorder="1" applyAlignment="1">
      <alignment horizontal="center" vertical="center"/>
    </xf>
    <xf numFmtId="165" fontId="2" fillId="11" borderId="3" xfId="1" applyNumberFormat="1" applyFill="1" applyBorder="1" applyAlignment="1">
      <alignment horizontal="center" vertical="center"/>
    </xf>
    <xf numFmtId="164" fontId="2" fillId="11" borderId="3" xfId="1" applyNumberFormat="1" applyFill="1" applyBorder="1" applyAlignment="1">
      <alignment horizontal="center" vertical="center"/>
    </xf>
    <xf numFmtId="2" fontId="2" fillId="14" borderId="9" xfId="1" applyNumberFormat="1" applyFill="1" applyBorder="1" applyAlignment="1">
      <alignment horizontal="center"/>
    </xf>
    <xf numFmtId="165" fontId="2" fillId="11" borderId="3" xfId="7" applyNumberFormat="1" applyFill="1" applyBorder="1" applyAlignment="1">
      <alignment horizontal="center"/>
    </xf>
    <xf numFmtId="0" fontId="2" fillId="11" borderId="3" xfId="7" quotePrefix="1" applyFill="1" applyBorder="1" applyAlignment="1">
      <alignment horizontal="center"/>
    </xf>
    <xf numFmtId="165" fontId="2" fillId="11" borderId="34" xfId="1" applyNumberFormat="1" applyFill="1" applyBorder="1" applyAlignment="1">
      <alignment horizontal="center"/>
    </xf>
    <xf numFmtId="165" fontId="2" fillId="11" borderId="3" xfId="1" applyNumberFormat="1" applyFill="1" applyBorder="1" applyAlignment="1">
      <alignment horizontal="center"/>
    </xf>
    <xf numFmtId="0" fontId="2" fillId="11" borderId="3" xfId="1" quotePrefix="1" applyFill="1" applyBorder="1" applyAlignment="1">
      <alignment horizontal="center"/>
    </xf>
    <xf numFmtId="0" fontId="2" fillId="0" borderId="38" xfId="7" applyBorder="1"/>
    <xf numFmtId="0" fontId="2" fillId="0" borderId="39" xfId="7" applyBorder="1"/>
    <xf numFmtId="0" fontId="2" fillId="0" borderId="38" xfId="1" applyBorder="1"/>
    <xf numFmtId="165" fontId="2" fillId="11" borderId="35" xfId="1" applyNumberFormat="1" applyFill="1" applyBorder="1" applyAlignment="1">
      <alignment horizontal="center"/>
    </xf>
    <xf numFmtId="165" fontId="2" fillId="11" borderId="12" xfId="1" applyNumberFormat="1" applyFill="1" applyBorder="1" applyAlignment="1">
      <alignment horizontal="center"/>
    </xf>
    <xf numFmtId="0" fontId="2" fillId="11" borderId="12" xfId="1" quotePrefix="1" applyFill="1" applyBorder="1" applyAlignment="1">
      <alignment horizontal="center"/>
    </xf>
    <xf numFmtId="2" fontId="2" fillId="14" borderId="13" xfId="1" applyNumberFormat="1" applyFill="1" applyBorder="1" applyAlignment="1">
      <alignment horizontal="center"/>
    </xf>
    <xf numFmtId="0" fontId="2" fillId="0" borderId="37" xfId="1" applyBorder="1"/>
    <xf numFmtId="0" fontId="2" fillId="0" borderId="39" xfId="1" applyBorder="1"/>
    <xf numFmtId="0" fontId="2" fillId="0" borderId="31" xfId="7" applyBorder="1"/>
    <xf numFmtId="0" fontId="6" fillId="11" borderId="3" xfId="7" applyFont="1" applyFill="1" applyBorder="1" applyAlignment="1">
      <alignment horizontal="center" vertical="center"/>
    </xf>
    <xf numFmtId="0" fontId="7" fillId="11" borderId="3" xfId="1" applyFont="1" applyFill="1" applyBorder="1" applyAlignment="1">
      <alignment horizontal="center" vertical="center"/>
    </xf>
    <xf numFmtId="0" fontId="7" fillId="14" borderId="3" xfId="1" applyFont="1" applyFill="1" applyBorder="1" applyAlignment="1">
      <alignment horizontal="center" vertical="center"/>
    </xf>
    <xf numFmtId="165" fontId="2" fillId="11" borderId="3" xfId="7" quotePrefix="1" applyNumberFormat="1" applyFill="1" applyBorder="1" applyAlignment="1">
      <alignment horizontal="center"/>
    </xf>
    <xf numFmtId="0" fontId="2" fillId="11" borderId="0" xfId="7" applyFill="1" applyAlignment="1">
      <alignment horizontal="center"/>
    </xf>
    <xf numFmtId="0" fontId="6" fillId="13" borderId="24" xfId="7" applyFont="1" applyFill="1" applyBorder="1" applyAlignment="1">
      <alignment horizontal="center" vertical="center"/>
    </xf>
    <xf numFmtId="0" fontId="6" fillId="11" borderId="26" xfId="7" applyFont="1" applyFill="1" applyBorder="1" applyAlignment="1">
      <alignment horizontal="center" vertical="center"/>
    </xf>
    <xf numFmtId="0" fontId="7" fillId="11" borderId="57" xfId="7" applyFont="1" applyFill="1" applyBorder="1" applyAlignment="1">
      <alignment horizontal="center" vertical="center"/>
    </xf>
    <xf numFmtId="0" fontId="7" fillId="13" borderId="57" xfId="7" applyFont="1" applyFill="1" applyBorder="1" applyAlignment="1">
      <alignment horizontal="center" vertical="center"/>
    </xf>
    <xf numFmtId="0" fontId="6" fillId="13" borderId="11" xfId="7" applyFont="1" applyFill="1" applyBorder="1" applyAlignment="1">
      <alignment horizontal="center" vertical="center"/>
    </xf>
    <xf numFmtId="0" fontId="6" fillId="11" borderId="13" xfId="7" applyFont="1" applyFill="1" applyBorder="1" applyAlignment="1">
      <alignment horizontal="center" vertical="center"/>
    </xf>
    <xf numFmtId="165" fontId="2" fillId="11" borderId="51" xfId="7" applyNumberFormat="1" applyFill="1" applyBorder="1" applyAlignment="1">
      <alignment horizontal="center" vertical="center"/>
    </xf>
    <xf numFmtId="165" fontId="2" fillId="11" borderId="2" xfId="7" applyNumberFormat="1" applyFill="1" applyBorder="1" applyAlignment="1">
      <alignment horizontal="center" vertical="center"/>
    </xf>
    <xf numFmtId="2" fontId="2" fillId="13" borderId="45" xfId="7" applyNumberFormat="1" applyFill="1" applyBorder="1" applyAlignment="1">
      <alignment horizontal="center"/>
    </xf>
    <xf numFmtId="165" fontId="2" fillId="11" borderId="8" xfId="7" applyNumberFormat="1" applyFill="1" applyBorder="1" applyAlignment="1">
      <alignment horizontal="center" vertical="center"/>
    </xf>
    <xf numFmtId="2" fontId="2" fillId="13" borderId="9" xfId="7" applyNumberFormat="1" applyFill="1" applyBorder="1" applyAlignment="1">
      <alignment horizontal="center"/>
    </xf>
    <xf numFmtId="165" fontId="2" fillId="11" borderId="34" xfId="7" applyNumberFormat="1" applyFill="1" applyBorder="1" applyAlignment="1">
      <alignment horizontal="center"/>
    </xf>
    <xf numFmtId="165" fontId="2" fillId="11" borderId="35" xfId="7" applyNumberFormat="1" applyFill="1" applyBorder="1" applyAlignment="1">
      <alignment horizontal="center"/>
    </xf>
    <xf numFmtId="2" fontId="2" fillId="13" borderId="13" xfId="7" applyNumberFormat="1" applyFill="1" applyBorder="1" applyAlignment="1">
      <alignment horizontal="center"/>
    </xf>
    <xf numFmtId="0" fontId="2" fillId="0" borderId="37" xfId="7" applyBorder="1"/>
    <xf numFmtId="0" fontId="2" fillId="11" borderId="12" xfId="7" quotePrefix="1" applyFill="1" applyBorder="1" applyAlignment="1">
      <alignment horizontal="center"/>
    </xf>
    <xf numFmtId="1" fontId="2" fillId="11" borderId="3" xfId="7" quotePrefix="1" applyNumberFormat="1" applyFill="1" applyBorder="1" applyAlignment="1">
      <alignment horizontal="center"/>
    </xf>
    <xf numFmtId="0" fontId="2" fillId="2" borderId="31" xfId="7" applyFill="1" applyBorder="1" applyAlignment="1">
      <alignment horizontal="center" vertical="center"/>
    </xf>
    <xf numFmtId="165" fontId="2" fillId="2" borderId="0" xfId="7" applyNumberFormat="1" applyFill="1" applyAlignment="1">
      <alignment horizontal="center"/>
    </xf>
    <xf numFmtId="0" fontId="2" fillId="2" borderId="0" xfId="7" quotePrefix="1" applyFill="1" applyAlignment="1">
      <alignment horizontal="center"/>
    </xf>
    <xf numFmtId="164" fontId="2" fillId="2" borderId="0" xfId="7" applyNumberFormat="1" applyFill="1" applyAlignment="1">
      <alignment horizontal="center"/>
    </xf>
    <xf numFmtId="0" fontId="2" fillId="2" borderId="0" xfId="7" applyFill="1"/>
    <xf numFmtId="165" fontId="6" fillId="11" borderId="13" xfId="7" applyNumberFormat="1" applyFont="1" applyFill="1" applyBorder="1" applyAlignment="1">
      <alignment horizontal="center" vertical="center"/>
    </xf>
    <xf numFmtId="165" fontId="2" fillId="11" borderId="12" xfId="7" applyNumberFormat="1" applyFill="1" applyBorder="1" applyAlignment="1">
      <alignment horizontal="center"/>
    </xf>
    <xf numFmtId="165" fontId="6" fillId="11" borderId="26" xfId="7" applyNumberFormat="1" applyFont="1" applyFill="1" applyBorder="1" applyAlignment="1">
      <alignment horizontal="center" vertical="center"/>
    </xf>
    <xf numFmtId="1" fontId="2" fillId="11" borderId="51" xfId="7" applyNumberFormat="1" applyFill="1" applyBorder="1" applyAlignment="1">
      <alignment horizontal="center" vertical="center"/>
    </xf>
    <xf numFmtId="1" fontId="2" fillId="11" borderId="8" xfId="7" applyNumberFormat="1" applyFill="1" applyBorder="1" applyAlignment="1">
      <alignment horizontal="center" vertical="center"/>
    </xf>
    <xf numFmtId="1" fontId="2" fillId="11" borderId="34" xfId="7" applyNumberFormat="1" applyFill="1" applyBorder="1" applyAlignment="1">
      <alignment horizontal="center"/>
    </xf>
    <xf numFmtId="1" fontId="2" fillId="11" borderId="35" xfId="7" applyNumberFormat="1" applyFill="1" applyBorder="1" applyAlignment="1">
      <alignment horizontal="center"/>
    </xf>
    <xf numFmtId="2" fontId="2" fillId="2" borderId="0" xfId="7" applyNumberFormat="1" applyFill="1" applyAlignment="1">
      <alignment horizontal="center"/>
    </xf>
    <xf numFmtId="0" fontId="7" fillId="11" borderId="57" xfId="7" quotePrefix="1" applyFont="1" applyFill="1" applyBorder="1" applyAlignment="1">
      <alignment horizontal="center" vertical="center"/>
    </xf>
    <xf numFmtId="164" fontId="2" fillId="11" borderId="2" xfId="7" applyNumberFormat="1" applyFill="1" applyBorder="1" applyAlignment="1">
      <alignment horizontal="center" vertical="center"/>
    </xf>
    <xf numFmtId="164" fontId="2" fillId="11" borderId="3" xfId="7" applyNumberFormat="1" applyFill="1" applyBorder="1" applyAlignment="1">
      <alignment horizontal="center" vertical="center"/>
    </xf>
    <xf numFmtId="165" fontId="2" fillId="11" borderId="56" xfId="7" applyNumberFormat="1" applyFill="1" applyBorder="1" applyAlignment="1">
      <alignment horizontal="center" vertical="center"/>
    </xf>
    <xf numFmtId="165" fontId="2" fillId="11" borderId="35" xfId="7" applyNumberFormat="1" applyFill="1" applyBorder="1" applyAlignment="1">
      <alignment horizontal="center" vertical="center"/>
    </xf>
    <xf numFmtId="0" fontId="3" fillId="9" borderId="37" xfId="7" applyFont="1" applyFill="1" applyBorder="1"/>
    <xf numFmtId="0" fontId="3" fillId="9" borderId="38" xfId="7" applyFont="1" applyFill="1" applyBorder="1"/>
    <xf numFmtId="0" fontId="3" fillId="9" borderId="39" xfId="7" applyFont="1" applyFill="1" applyBorder="1"/>
    <xf numFmtId="0" fontId="9" fillId="2" borderId="29" xfId="4" applyFont="1" applyFill="1" applyBorder="1" applyAlignment="1">
      <alignment vertical="center"/>
    </xf>
    <xf numFmtId="0" fontId="9" fillId="2" borderId="29" xfId="4" applyFont="1" applyFill="1" applyBorder="1" applyAlignment="1">
      <alignment horizontal="center" vertical="center"/>
    </xf>
    <xf numFmtId="0" fontId="71" fillId="13" borderId="3" xfId="7" applyFont="1" applyFill="1" applyBorder="1" applyAlignment="1">
      <alignment horizontal="center" vertical="center"/>
    </xf>
    <xf numFmtId="0" fontId="10" fillId="13" borderId="3" xfId="4" applyFont="1" applyFill="1" applyBorder="1" applyAlignment="1">
      <alignment horizontal="center" vertical="center"/>
    </xf>
    <xf numFmtId="0" fontId="3" fillId="3" borderId="3" xfId="7" applyFont="1" applyFill="1" applyBorder="1" applyAlignment="1">
      <alignment horizontal="center" vertical="center"/>
    </xf>
    <xf numFmtId="165" fontId="3" fillId="3" borderId="3" xfId="7" applyNumberFormat="1" applyFont="1" applyFill="1" applyBorder="1" applyAlignment="1">
      <alignment horizontal="center" vertical="center"/>
    </xf>
    <xf numFmtId="0" fontId="3" fillId="13" borderId="3" xfId="7" applyFont="1" applyFill="1" applyBorder="1" applyAlignment="1">
      <alignment horizontal="center" vertical="center"/>
    </xf>
    <xf numFmtId="2" fontId="3" fillId="13" borderId="3" xfId="7" applyNumberFormat="1" applyFont="1" applyFill="1" applyBorder="1" applyAlignment="1">
      <alignment horizontal="center" vertical="center"/>
    </xf>
    <xf numFmtId="0" fontId="3" fillId="3" borderId="3" xfId="7" applyFont="1" applyFill="1" applyBorder="1" applyAlignment="1">
      <alignment horizontal="center"/>
    </xf>
    <xf numFmtId="2" fontId="3" fillId="13" borderId="3" xfId="7" applyNumberFormat="1" applyFont="1" applyFill="1" applyBorder="1" applyAlignment="1">
      <alignment horizontal="center"/>
    </xf>
    <xf numFmtId="1" fontId="3" fillId="13" borderId="3" xfId="7" applyNumberFormat="1" applyFont="1" applyFill="1" applyBorder="1" applyAlignment="1">
      <alignment horizontal="center" vertical="center"/>
    </xf>
    <xf numFmtId="165" fontId="3" fillId="0" borderId="3" xfId="7" applyNumberFormat="1" applyFont="1" applyBorder="1" applyAlignment="1">
      <alignment horizontal="center" vertical="center"/>
    </xf>
    <xf numFmtId="0" fontId="3" fillId="13" borderId="10" xfId="7" applyFont="1" applyFill="1" applyBorder="1" applyAlignment="1">
      <alignment horizontal="center" vertical="center"/>
    </xf>
    <xf numFmtId="2" fontId="3" fillId="13" borderId="52" xfId="7" applyNumberFormat="1" applyFont="1" applyFill="1" applyBorder="1" applyAlignment="1">
      <alignment horizontal="center"/>
    </xf>
    <xf numFmtId="0" fontId="3" fillId="3" borderId="0" xfId="7" applyFont="1" applyFill="1" applyAlignment="1">
      <alignment horizontal="center" vertical="center"/>
    </xf>
    <xf numFmtId="0" fontId="3" fillId="2" borderId="48" xfId="7" applyFont="1" applyFill="1" applyBorder="1" applyAlignment="1">
      <alignment horizontal="center" vertical="center"/>
    </xf>
    <xf numFmtId="0" fontId="3" fillId="2" borderId="10" xfId="7" applyFont="1" applyFill="1" applyBorder="1" applyAlignment="1">
      <alignment horizontal="center" vertical="center"/>
    </xf>
    <xf numFmtId="2" fontId="3" fillId="2" borderId="52" xfId="7" applyNumberFormat="1" applyFont="1" applyFill="1" applyBorder="1" applyAlignment="1">
      <alignment horizontal="center"/>
    </xf>
    <xf numFmtId="2" fontId="3" fillId="2" borderId="27" xfId="7" applyNumberFormat="1" applyFont="1" applyFill="1" applyBorder="1" applyAlignment="1">
      <alignment horizontal="center"/>
    </xf>
    <xf numFmtId="0" fontId="3" fillId="2" borderId="0" xfId="7" applyFont="1" applyFill="1"/>
    <xf numFmtId="0" fontId="3" fillId="2" borderId="3" xfId="7" applyFont="1" applyFill="1" applyBorder="1" applyAlignment="1">
      <alignment horizontal="center" vertical="center"/>
    </xf>
    <xf numFmtId="2" fontId="3" fillId="2" borderId="3" xfId="7" applyNumberFormat="1" applyFont="1" applyFill="1" applyBorder="1" applyAlignment="1">
      <alignment horizontal="center"/>
    </xf>
    <xf numFmtId="2" fontId="3" fillId="13" borderId="23" xfId="7" applyNumberFormat="1" applyFont="1" applyFill="1" applyBorder="1" applyAlignment="1">
      <alignment horizontal="center" vertical="center"/>
    </xf>
    <xf numFmtId="2" fontId="3" fillId="2" borderId="23" xfId="7" applyNumberFormat="1" applyFont="1" applyFill="1" applyBorder="1" applyAlignment="1">
      <alignment horizontal="center" vertical="center"/>
    </xf>
    <xf numFmtId="2" fontId="3" fillId="2" borderId="44" xfId="7" applyNumberFormat="1" applyFont="1" applyFill="1" applyBorder="1" applyAlignment="1">
      <alignment horizontal="center" vertical="center"/>
    </xf>
    <xf numFmtId="0" fontId="2" fillId="0" borderId="0" xfId="7" applyAlignment="1">
      <alignment horizontal="center"/>
    </xf>
    <xf numFmtId="0" fontId="3" fillId="13" borderId="52" xfId="7" applyFont="1" applyFill="1" applyBorder="1" applyAlignment="1">
      <alignment horizontal="center" vertical="center"/>
    </xf>
    <xf numFmtId="0" fontId="3" fillId="2" borderId="52" xfId="7" applyFont="1" applyFill="1" applyBorder="1" applyAlignment="1">
      <alignment horizontal="center" vertical="center"/>
    </xf>
    <xf numFmtId="1" fontId="3" fillId="13" borderId="10" xfId="7" applyNumberFormat="1" applyFont="1" applyFill="1" applyBorder="1" applyAlignment="1">
      <alignment horizontal="center" vertical="center"/>
    </xf>
    <xf numFmtId="165" fontId="3" fillId="13" borderId="10" xfId="7" applyNumberFormat="1" applyFont="1" applyFill="1" applyBorder="1" applyAlignment="1">
      <alignment horizontal="center" vertical="center"/>
    </xf>
    <xf numFmtId="0" fontId="3" fillId="2" borderId="31" xfId="7" applyFont="1" applyFill="1" applyBorder="1" applyAlignment="1">
      <alignment horizontal="center" vertical="center"/>
    </xf>
    <xf numFmtId="0" fontId="3" fillId="13" borderId="0" xfId="7" applyFont="1" applyFill="1" applyAlignment="1">
      <alignment horizontal="center" vertical="center"/>
    </xf>
    <xf numFmtId="2" fontId="3" fillId="13" borderId="0" xfId="7" applyNumberFormat="1" applyFont="1" applyFill="1" applyAlignment="1">
      <alignment horizontal="center" vertical="center"/>
    </xf>
    <xf numFmtId="0" fontId="3" fillId="0" borderId="31" xfId="7" applyFont="1" applyBorder="1" applyAlignment="1">
      <alignment horizontal="center" vertical="center"/>
    </xf>
    <xf numFmtId="0" fontId="3" fillId="2" borderId="0" xfId="7" applyFont="1" applyFill="1" applyAlignment="1">
      <alignment horizontal="center" vertical="center"/>
    </xf>
    <xf numFmtId="0" fontId="3" fillId="0" borderId="0" xfId="7" applyFont="1" applyAlignment="1">
      <alignment horizontal="center" vertical="center"/>
    </xf>
    <xf numFmtId="0" fontId="9" fillId="2" borderId="24" xfId="4" applyFont="1" applyFill="1" applyBorder="1" applyAlignment="1">
      <alignment horizontal="center" vertical="center"/>
    </xf>
    <xf numFmtId="0" fontId="9" fillId="2" borderId="29" xfId="4" applyFont="1" applyFill="1" applyBorder="1" applyAlignment="1">
      <alignment horizontal="left" vertical="center" wrapText="1"/>
    </xf>
    <xf numFmtId="0" fontId="71" fillId="2" borderId="8" xfId="7" applyFont="1" applyFill="1" applyBorder="1" applyAlignment="1">
      <alignment horizontal="center" vertical="center"/>
    </xf>
    <xf numFmtId="0" fontId="10" fillId="2" borderId="8" xfId="4" applyFont="1" applyFill="1" applyBorder="1" applyAlignment="1">
      <alignment horizontal="center" vertical="center"/>
    </xf>
    <xf numFmtId="0" fontId="71" fillId="2" borderId="3" xfId="7" applyFont="1" applyFill="1" applyBorder="1" applyAlignment="1">
      <alignment horizontal="center" vertical="center"/>
    </xf>
    <xf numFmtId="0" fontId="33" fillId="2" borderId="8" xfId="4" applyFont="1" applyFill="1" applyBorder="1" applyAlignment="1">
      <alignment horizontal="center" vertical="center"/>
    </xf>
    <xf numFmtId="165" fontId="3" fillId="2" borderId="8" xfId="7" applyNumberFormat="1" applyFont="1" applyFill="1" applyBorder="1" applyAlignment="1">
      <alignment horizontal="center" vertical="center"/>
    </xf>
    <xf numFmtId="165" fontId="3" fillId="2" borderId="3" xfId="7" applyNumberFormat="1" applyFont="1" applyFill="1" applyBorder="1" applyAlignment="1">
      <alignment horizontal="center" vertical="center"/>
    </xf>
    <xf numFmtId="165" fontId="3" fillId="2" borderId="9" xfId="7" applyNumberFormat="1" applyFont="1" applyFill="1" applyBorder="1" applyAlignment="1">
      <alignment horizontal="center" vertical="center"/>
    </xf>
    <xf numFmtId="1" fontId="3" fillId="2" borderId="8" xfId="7" applyNumberFormat="1" applyFont="1" applyFill="1" applyBorder="1" applyAlignment="1">
      <alignment horizontal="center"/>
    </xf>
    <xf numFmtId="165" fontId="3" fillId="11" borderId="3" xfId="7" applyNumberFormat="1" applyFont="1" applyFill="1" applyBorder="1" applyAlignment="1">
      <alignment horizontal="center"/>
    </xf>
    <xf numFmtId="165" fontId="3" fillId="2" borderId="3" xfId="7" applyNumberFormat="1" applyFont="1" applyFill="1" applyBorder="1" applyAlignment="1">
      <alignment horizontal="center"/>
    </xf>
    <xf numFmtId="0" fontId="3" fillId="2" borderId="3" xfId="7" applyFont="1" applyFill="1" applyBorder="1" applyAlignment="1">
      <alignment horizontal="center"/>
    </xf>
    <xf numFmtId="1" fontId="3" fillId="2" borderId="11" xfId="7" applyNumberFormat="1" applyFont="1" applyFill="1" applyBorder="1" applyAlignment="1">
      <alignment horizontal="center"/>
    </xf>
    <xf numFmtId="165" fontId="3" fillId="2" borderId="12" xfId="7" applyNumberFormat="1" applyFont="1" applyFill="1" applyBorder="1" applyAlignment="1">
      <alignment horizontal="center"/>
    </xf>
    <xf numFmtId="11" fontId="3" fillId="2" borderId="0" xfId="4" applyNumberFormat="1" applyFont="1" applyFill="1" applyAlignment="1">
      <alignment horizontal="center"/>
    </xf>
    <xf numFmtId="0" fontId="3" fillId="2" borderId="0" xfId="4" applyFont="1" applyFill="1" applyAlignment="1">
      <alignment horizontal="center"/>
    </xf>
    <xf numFmtId="167" fontId="3" fillId="2" borderId="0" xfId="4" applyNumberFormat="1" applyFont="1" applyFill="1" applyAlignment="1">
      <alignment horizontal="center"/>
    </xf>
    <xf numFmtId="167" fontId="3" fillId="2" borderId="27" xfId="4" applyNumberFormat="1" applyFont="1" applyFill="1" applyBorder="1" applyAlignment="1">
      <alignment horizontal="center"/>
    </xf>
    <xf numFmtId="0" fontId="70" fillId="2" borderId="27" xfId="4" applyFont="1" applyFill="1" applyBorder="1"/>
    <xf numFmtId="0" fontId="2" fillId="0" borderId="30" xfId="7" applyBorder="1"/>
    <xf numFmtId="0" fontId="33" fillId="2" borderId="27" xfId="4" applyFont="1" applyFill="1" applyBorder="1"/>
    <xf numFmtId="173" fontId="12" fillId="2" borderId="0" xfId="4" applyNumberFormat="1" applyFont="1" applyFill="1" applyAlignment="1">
      <alignment horizontal="center"/>
    </xf>
    <xf numFmtId="165" fontId="3" fillId="2" borderId="11" xfId="7" applyNumberFormat="1" applyFont="1" applyFill="1" applyBorder="1" applyAlignment="1">
      <alignment horizontal="center" vertical="center"/>
    </xf>
    <xf numFmtId="165" fontId="3" fillId="2" borderId="12" xfId="7" applyNumberFormat="1" applyFont="1" applyFill="1" applyBorder="1" applyAlignment="1">
      <alignment horizontal="center" vertical="center"/>
    </xf>
    <xf numFmtId="165" fontId="3" fillId="2" borderId="13" xfId="7" applyNumberFormat="1" applyFont="1" applyFill="1" applyBorder="1" applyAlignment="1">
      <alignment horizontal="center" vertical="center"/>
    </xf>
    <xf numFmtId="0" fontId="3" fillId="2" borderId="31" xfId="7" applyFont="1" applyFill="1" applyBorder="1"/>
    <xf numFmtId="164" fontId="5" fillId="2" borderId="0" xfId="4" applyNumberFormat="1" applyFont="1" applyFill="1" applyAlignment="1">
      <alignment horizontal="center"/>
    </xf>
    <xf numFmtId="0" fontId="9" fillId="2" borderId="0" xfId="4" applyFont="1" applyFill="1" applyAlignment="1">
      <alignment vertical="center"/>
    </xf>
    <xf numFmtId="0" fontId="12" fillId="2" borderId="0" xfId="4" applyFont="1" applyFill="1"/>
    <xf numFmtId="0" fontId="33" fillId="2" borderId="0" xfId="4" applyFont="1" applyFill="1"/>
    <xf numFmtId="167" fontId="33" fillId="2" borderId="0" xfId="4" applyNumberFormat="1" applyFont="1" applyFill="1" applyAlignment="1">
      <alignment horizontal="center"/>
    </xf>
    <xf numFmtId="0" fontId="9" fillId="2" borderId="24" xfId="7" applyFont="1" applyFill="1" applyBorder="1" applyAlignment="1">
      <alignment horizontal="center" vertical="center"/>
    </xf>
    <xf numFmtId="165" fontId="9" fillId="2" borderId="25" xfId="7" applyNumberFormat="1" applyFont="1" applyFill="1" applyBorder="1" applyAlignment="1">
      <alignment horizontal="center"/>
    </xf>
    <xf numFmtId="165" fontId="9" fillId="2" borderId="26" xfId="7" applyNumberFormat="1" applyFont="1" applyFill="1" applyBorder="1" applyAlignment="1">
      <alignment horizontal="center"/>
    </xf>
    <xf numFmtId="0" fontId="71" fillId="2" borderId="0" xfId="7" applyFont="1" applyFill="1" applyAlignment="1">
      <alignment vertical="center"/>
    </xf>
    <xf numFmtId="0" fontId="9" fillId="2" borderId="51" xfId="7" applyFont="1" applyFill="1" applyBorder="1" applyAlignment="1">
      <alignment horizontal="center" vertical="center"/>
    </xf>
    <xf numFmtId="0" fontId="3" fillId="2" borderId="27" xfId="7" applyFont="1" applyFill="1" applyBorder="1"/>
    <xf numFmtId="0" fontId="3" fillId="2" borderId="0" xfId="4" applyFont="1" applyFill="1"/>
    <xf numFmtId="165" fontId="9" fillId="2" borderId="8" xfId="7" applyNumberFormat="1" applyFont="1" applyFill="1" applyBorder="1" applyAlignment="1">
      <alignment horizontal="center" vertical="center"/>
    </xf>
    <xf numFmtId="165" fontId="9" fillId="2" borderId="3" xfId="7" applyNumberFormat="1" applyFont="1" applyFill="1" applyBorder="1" applyAlignment="1">
      <alignment horizontal="center"/>
    </xf>
    <xf numFmtId="165" fontId="9" fillId="2" borderId="9" xfId="7" applyNumberFormat="1" applyFont="1" applyFill="1" applyBorder="1" applyAlignment="1">
      <alignment horizontal="center"/>
    </xf>
    <xf numFmtId="2" fontId="10" fillId="2" borderId="0" xfId="4" applyNumberFormat="1" applyFont="1" applyFill="1" applyAlignment="1">
      <alignment horizontal="center"/>
    </xf>
    <xf numFmtId="0" fontId="9" fillId="2" borderId="11" xfId="7" applyFont="1" applyFill="1" applyBorder="1" applyAlignment="1">
      <alignment horizontal="center" vertical="center"/>
    </xf>
    <xf numFmtId="165" fontId="9" fillId="2" borderId="56" xfId="7" applyNumberFormat="1" applyFont="1" applyFill="1" applyBorder="1" applyAlignment="1">
      <alignment horizontal="center"/>
    </xf>
    <xf numFmtId="165" fontId="9" fillId="2" borderId="12" xfId="7" applyNumberFormat="1" applyFont="1" applyFill="1" applyBorder="1" applyAlignment="1">
      <alignment horizontal="center"/>
    </xf>
    <xf numFmtId="165" fontId="9" fillId="2" borderId="47" xfId="7" applyNumberFormat="1" applyFont="1" applyFill="1" applyBorder="1" applyAlignment="1">
      <alignment horizontal="center"/>
    </xf>
    <xf numFmtId="164" fontId="3" fillId="2" borderId="38" xfId="7" applyNumberFormat="1" applyFont="1" applyFill="1" applyBorder="1" applyAlignment="1">
      <alignment horizontal="center"/>
    </xf>
    <xf numFmtId="0" fontId="3" fillId="2" borderId="38" xfId="7" applyFont="1" applyFill="1" applyBorder="1"/>
    <xf numFmtId="0" fontId="3" fillId="2" borderId="39" xfId="7" applyFont="1" applyFill="1" applyBorder="1"/>
    <xf numFmtId="2" fontId="3" fillId="2" borderId="0" xfId="4" applyNumberFormat="1" applyFont="1" applyFill="1" applyAlignment="1">
      <alignment horizontal="center"/>
    </xf>
    <xf numFmtId="0" fontId="2" fillId="0" borderId="0" xfId="7" applyProtection="1">
      <protection locked="0"/>
    </xf>
    <xf numFmtId="0" fontId="3" fillId="13" borderId="34" xfId="7" applyFont="1" applyFill="1" applyBorder="1" applyAlignment="1" applyProtection="1">
      <alignment vertical="center"/>
      <protection locked="0"/>
    </xf>
    <xf numFmtId="0" fontId="3" fillId="13" borderId="5" xfId="7" applyFont="1" applyFill="1" applyBorder="1" applyAlignment="1" applyProtection="1">
      <alignment horizontal="center" vertical="center"/>
      <protection locked="0"/>
    </xf>
    <xf numFmtId="0" fontId="3" fillId="13" borderId="5" xfId="7" applyFont="1" applyFill="1" applyBorder="1" applyAlignment="1" applyProtection="1">
      <alignment vertical="center"/>
      <protection locked="0"/>
    </xf>
    <xf numFmtId="0" fontId="3" fillId="13" borderId="6" xfId="7" applyFont="1" applyFill="1" applyBorder="1" applyAlignment="1" applyProtection="1">
      <alignment vertical="center"/>
      <protection locked="0"/>
    </xf>
    <xf numFmtId="0" fontId="3" fillId="13" borderId="4" xfId="7" applyFont="1" applyFill="1" applyBorder="1" applyAlignment="1" applyProtection="1">
      <alignment vertical="center"/>
      <protection locked="0"/>
    </xf>
    <xf numFmtId="0" fontId="3" fillId="13" borderId="24" xfId="7" applyFont="1" applyFill="1" applyBorder="1" applyAlignment="1" applyProtection="1">
      <alignment horizontal="center" vertical="center"/>
      <protection locked="0"/>
    </xf>
    <xf numFmtId="0" fontId="3" fillId="13" borderId="26" xfId="7" applyFont="1" applyFill="1" applyBorder="1" applyAlignment="1" applyProtection="1">
      <alignment horizontal="center" vertical="center"/>
      <protection locked="0"/>
    </xf>
    <xf numFmtId="0" fontId="3" fillId="13" borderId="61" xfId="7" applyFont="1" applyFill="1" applyBorder="1" applyAlignment="1" applyProtection="1">
      <alignment horizontal="center" vertical="center"/>
      <protection locked="0"/>
    </xf>
    <xf numFmtId="0" fontId="12" fillId="2" borderId="3" xfId="4" applyFont="1" applyFill="1" applyBorder="1" applyAlignment="1">
      <alignment horizontal="center" vertical="center"/>
    </xf>
    <xf numFmtId="0" fontId="27" fillId="0" borderId="3" xfId="7" applyFont="1" applyBorder="1" applyAlignment="1">
      <alignment vertical="center"/>
    </xf>
    <xf numFmtId="0" fontId="3" fillId="13" borderId="8" xfId="7" applyFont="1" applyFill="1" applyBorder="1" applyAlignment="1" applyProtection="1">
      <alignment horizontal="center" vertical="center"/>
      <protection locked="0"/>
    </xf>
    <xf numFmtId="0" fontId="3" fillId="13" borderId="9" xfId="7" applyFont="1" applyFill="1" applyBorder="1" applyAlignment="1" applyProtection="1">
      <alignment horizontal="center" vertical="center"/>
      <protection locked="0"/>
    </xf>
    <xf numFmtId="0" fontId="3" fillId="2" borderId="3" xfId="7" applyFont="1" applyFill="1" applyBorder="1"/>
    <xf numFmtId="2" fontId="27" fillId="0" borderId="3" xfId="7" applyNumberFormat="1" applyFont="1" applyBorder="1" applyAlignment="1">
      <alignment horizontal="center" vertical="center"/>
    </xf>
    <xf numFmtId="0" fontId="3" fillId="13" borderId="60" xfId="7" applyFont="1" applyFill="1" applyBorder="1" applyAlignment="1" applyProtection="1">
      <alignment horizontal="center" vertical="center"/>
      <protection locked="0"/>
    </xf>
    <xf numFmtId="0" fontId="3" fillId="13" borderId="11" xfId="7" applyFont="1" applyFill="1" applyBorder="1" applyAlignment="1" applyProtection="1">
      <alignment horizontal="center" vertical="center"/>
      <protection locked="0"/>
    </xf>
    <xf numFmtId="0" fontId="3" fillId="13" borderId="13" xfId="7" applyFont="1" applyFill="1" applyBorder="1" applyAlignment="1" applyProtection="1">
      <alignment horizontal="center" vertical="center"/>
      <protection locked="0"/>
    </xf>
    <xf numFmtId="0" fontId="3" fillId="13" borderId="65" xfId="7" applyFont="1" applyFill="1" applyBorder="1" applyAlignment="1" applyProtection="1">
      <alignment vertical="center"/>
      <protection locked="0"/>
    </xf>
    <xf numFmtId="0" fontId="3" fillId="13" borderId="18" xfId="7" applyFont="1" applyFill="1" applyBorder="1" applyAlignment="1" applyProtection="1">
      <alignment horizontal="center" vertical="center"/>
      <protection locked="0"/>
    </xf>
    <xf numFmtId="0" fontId="3" fillId="13" borderId="18" xfId="7" applyFont="1" applyFill="1" applyBorder="1" applyAlignment="1" applyProtection="1">
      <alignment vertical="center"/>
      <protection locked="0"/>
    </xf>
    <xf numFmtId="0" fontId="3" fillId="13" borderId="19" xfId="7" applyFont="1" applyFill="1" applyBorder="1" applyAlignment="1" applyProtection="1">
      <alignment vertical="center"/>
      <protection locked="0"/>
    </xf>
    <xf numFmtId="0" fontId="3" fillId="13" borderId="17" xfId="7" applyFont="1" applyFill="1" applyBorder="1" applyAlignment="1" applyProtection="1">
      <alignment vertical="center"/>
      <protection locked="0"/>
    </xf>
    <xf numFmtId="0" fontId="3" fillId="13" borderId="59" xfId="7" applyFont="1" applyFill="1" applyBorder="1" applyAlignment="1" applyProtection="1">
      <alignment horizontal="center" vertical="center"/>
      <protection locked="0"/>
    </xf>
    <xf numFmtId="0" fontId="3" fillId="13" borderId="57" xfId="7" applyFont="1" applyFill="1" applyBorder="1" applyAlignment="1" applyProtection="1">
      <alignment horizontal="center" vertical="center"/>
      <protection locked="0"/>
    </xf>
    <xf numFmtId="0" fontId="3" fillId="13" borderId="66" xfId="7" applyFont="1" applyFill="1" applyBorder="1" applyAlignment="1" applyProtection="1">
      <alignment horizontal="center" vertical="center"/>
      <protection locked="0"/>
    </xf>
    <xf numFmtId="2" fontId="35" fillId="0" borderId="7" xfId="0" applyNumberFormat="1" applyFont="1" applyBorder="1" applyAlignment="1">
      <alignment vertical="center"/>
    </xf>
    <xf numFmtId="2" fontId="35" fillId="2" borderId="7" xfId="0" applyNumberFormat="1" applyFont="1" applyFill="1" applyBorder="1" applyAlignment="1">
      <alignment vertical="center" wrapText="1"/>
    </xf>
    <xf numFmtId="2" fontId="35" fillId="0" borderId="7" xfId="0" applyNumberFormat="1" applyFont="1" applyBorder="1" applyAlignment="1">
      <alignment vertical="center" wrapText="1"/>
    </xf>
    <xf numFmtId="2" fontId="35" fillId="2" borderId="0" xfId="0" applyNumberFormat="1" applyFont="1" applyFill="1"/>
    <xf numFmtId="2" fontId="35" fillId="0" borderId="3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vertical="center"/>
    </xf>
    <xf numFmtId="2" fontId="35" fillId="2" borderId="2" xfId="0" applyNumberFormat="1" applyFont="1" applyFill="1" applyBorder="1" applyAlignment="1">
      <alignment vertical="center" wrapText="1"/>
    </xf>
    <xf numFmtId="2" fontId="35" fillId="0" borderId="2" xfId="0" applyNumberFormat="1" applyFont="1" applyBorder="1" applyAlignment="1">
      <alignment vertical="center" wrapText="1"/>
    </xf>
    <xf numFmtId="2" fontId="35" fillId="2" borderId="3" xfId="0" applyNumberFormat="1" applyFont="1" applyFill="1" applyBorder="1" applyAlignment="1">
      <alignment horizontal="center" vertical="center" wrapText="1"/>
    </xf>
    <xf numFmtId="2" fontId="35" fillId="2" borderId="21" xfId="0" applyNumberFormat="1" applyFont="1" applyFill="1" applyBorder="1" applyAlignment="1">
      <alignment horizontal="center" vertical="center" wrapText="1"/>
    </xf>
    <xf numFmtId="2" fontId="35" fillId="2" borderId="21" xfId="0" applyNumberFormat="1" applyFont="1" applyFill="1" applyBorder="1" applyAlignment="1">
      <alignment horizontal="center"/>
    </xf>
    <xf numFmtId="2" fontId="35" fillId="2" borderId="4" xfId="0" applyNumberFormat="1" applyFont="1" applyFill="1" applyBorder="1" applyAlignment="1">
      <alignment horizontal="center"/>
    </xf>
    <xf numFmtId="2" fontId="35" fillId="2" borderId="3" xfId="0" applyNumberFormat="1" applyFont="1" applyFill="1" applyBorder="1" applyAlignment="1">
      <alignment horizontal="center" vertical="center"/>
    </xf>
    <xf numFmtId="2" fontId="35" fillId="2" borderId="6" xfId="0" applyNumberFormat="1" applyFont="1" applyFill="1" applyBorder="1" applyAlignment="1">
      <alignment horizontal="center" vertical="center" wrapText="1"/>
    </xf>
    <xf numFmtId="2" fontId="35" fillId="0" borderId="6" xfId="0" applyNumberFormat="1" applyFont="1" applyBorder="1" applyAlignment="1">
      <alignment horizontal="center" vertical="center"/>
    </xf>
    <xf numFmtId="2" fontId="35" fillId="0" borderId="0" xfId="0" applyNumberFormat="1" applyFont="1"/>
    <xf numFmtId="2" fontId="35" fillId="0" borderId="0" xfId="0" applyNumberFormat="1" applyFont="1" applyAlignment="1">
      <alignment horizontal="left"/>
    </xf>
    <xf numFmtId="2" fontId="35" fillId="2" borderId="7" xfId="0" applyNumberFormat="1" applyFont="1" applyFill="1" applyBorder="1"/>
    <xf numFmtId="2" fontId="35" fillId="2" borderId="6" xfId="0" applyNumberFormat="1" applyFont="1" applyFill="1" applyBorder="1" applyAlignment="1">
      <alignment horizontal="center" vertical="center"/>
    </xf>
    <xf numFmtId="2" fontId="35" fillId="2" borderId="2" xfId="0" applyNumberFormat="1" applyFont="1" applyFill="1" applyBorder="1" applyAlignment="1">
      <alignment horizontal="center" vertical="center"/>
    </xf>
    <xf numFmtId="2" fontId="35" fillId="2" borderId="4" xfId="0" applyNumberFormat="1" applyFont="1" applyFill="1" applyBorder="1" applyAlignment="1">
      <alignment horizontal="center" vertical="center"/>
    </xf>
    <xf numFmtId="2" fontId="35" fillId="2" borderId="2" xfId="0" applyNumberFormat="1" applyFont="1" applyFill="1" applyBorder="1" applyAlignment="1">
      <alignment horizontal="center"/>
    </xf>
    <xf numFmtId="2" fontId="35" fillId="2" borderId="2" xfId="0" applyNumberFormat="1" applyFont="1" applyFill="1" applyBorder="1" applyAlignment="1">
      <alignment horizontal="center" vertical="center" wrapText="1"/>
    </xf>
    <xf numFmtId="2" fontId="35" fillId="6" borderId="6" xfId="0" applyNumberFormat="1" applyFont="1" applyFill="1" applyBorder="1" applyAlignment="1">
      <alignment horizontal="center" vertical="center"/>
    </xf>
    <xf numFmtId="2" fontId="41" fillId="2" borderId="3" xfId="1" applyNumberFormat="1" applyFont="1" applyFill="1" applyBorder="1" applyAlignment="1">
      <alignment horizontal="center" vertical="center"/>
    </xf>
    <xf numFmtId="2" fontId="8" fillId="0" borderId="0" xfId="0" applyNumberFormat="1" applyFont="1"/>
    <xf numFmtId="2" fontId="8" fillId="2" borderId="0" xfId="0" applyNumberFormat="1" applyFont="1" applyFill="1" applyAlignment="1">
      <alignment horizontal="center"/>
    </xf>
    <xf numFmtId="2" fontId="31" fillId="2" borderId="0" xfId="0" applyNumberFormat="1" applyFont="1" applyFill="1"/>
    <xf numFmtId="2" fontId="7" fillId="2" borderId="0" xfId="0" applyNumberFormat="1" applyFont="1" applyFill="1"/>
    <xf numFmtId="2" fontId="0" fillId="2" borderId="0" xfId="0" applyNumberFormat="1" applyFill="1"/>
    <xf numFmtId="2" fontId="7" fillId="2" borderId="3" xfId="0" applyNumberFormat="1" applyFont="1" applyFill="1" applyBorder="1" applyAlignment="1">
      <alignment horizontal="center"/>
    </xf>
    <xf numFmtId="2" fontId="2" fillId="2" borderId="3" xfId="0" applyNumberFormat="1" applyFont="1" applyFill="1" applyBorder="1" applyAlignment="1">
      <alignment horizontal="center"/>
    </xf>
    <xf numFmtId="2" fontId="10" fillId="2" borderId="0" xfId="1" applyNumberFormat="1" applyFont="1" applyFill="1" applyAlignment="1">
      <alignment horizontal="left"/>
    </xf>
    <xf numFmtId="2" fontId="12" fillId="2" borderId="0" xfId="1" applyNumberFormat="1" applyFont="1" applyFill="1" applyAlignment="1">
      <alignment horizontal="left"/>
    </xf>
    <xf numFmtId="2" fontId="6" fillId="2" borderId="0" xfId="0" applyNumberFormat="1" applyFont="1" applyFill="1"/>
    <xf numFmtId="2" fontId="2" fillId="2" borderId="3" xfId="0" applyNumberFormat="1" applyFont="1" applyFill="1" applyBorder="1" applyAlignment="1">
      <alignment horizontal="center" vertical="center"/>
    </xf>
    <xf numFmtId="2" fontId="3" fillId="2" borderId="3" xfId="0" applyNumberFormat="1" applyFont="1" applyFill="1" applyBorder="1"/>
    <xf numFmtId="2" fontId="3" fillId="2" borderId="3" xfId="0" applyNumberFormat="1" applyFont="1" applyFill="1" applyBorder="1" applyAlignment="1">
      <alignment horizontal="center"/>
    </xf>
    <xf numFmtId="2" fontId="16" fillId="2" borderId="3" xfId="0" applyNumberFormat="1" applyFont="1" applyFill="1" applyBorder="1" applyAlignment="1">
      <alignment horizontal="right"/>
    </xf>
    <xf numFmtId="2" fontId="2" fillId="2" borderId="3" xfId="0" applyNumberFormat="1" applyFont="1" applyFill="1" applyBorder="1" applyAlignment="1">
      <alignment horizontal="right"/>
    </xf>
    <xf numFmtId="2" fontId="2" fillId="2" borderId="0" xfId="0" applyNumberFormat="1" applyFont="1" applyFill="1"/>
    <xf numFmtId="2" fontId="18" fillId="0" borderId="0" xfId="0" applyNumberFormat="1" applyFont="1" applyAlignment="1">
      <alignment horizontal="center" vertical="center"/>
    </xf>
    <xf numFmtId="2" fontId="25" fillId="0" borderId="0" xfId="0" applyNumberFormat="1" applyFont="1" applyAlignment="1">
      <alignment horizontal="center" vertical="center"/>
    </xf>
    <xf numFmtId="2" fontId="26" fillId="0" borderId="0" xfId="0" applyNumberFormat="1" applyFont="1"/>
    <xf numFmtId="2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 vertical="center" wrapText="1"/>
    </xf>
    <xf numFmtId="2" fontId="2" fillId="0" borderId="0" xfId="0" applyNumberFormat="1" applyFont="1" applyAlignment="1">
      <alignment horizontal="center" vertical="center"/>
    </xf>
    <xf numFmtId="2" fontId="2" fillId="0" borderId="3" xfId="0" applyNumberFormat="1" applyFont="1" applyBorder="1" applyAlignment="1">
      <alignment horizontal="center"/>
    </xf>
    <xf numFmtId="2" fontId="0" fillId="2" borderId="3" xfId="0" applyNumberFormat="1" applyFill="1" applyBorder="1" applyAlignment="1">
      <alignment horizontal="center" vertical="center"/>
    </xf>
    <xf numFmtId="2" fontId="2" fillId="2" borderId="3" xfId="0" quotePrefix="1" applyNumberFormat="1" applyFont="1" applyFill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19" fillId="0" borderId="0" xfId="0" applyNumberFormat="1" applyFont="1"/>
    <xf numFmtId="2" fontId="22" fillId="0" borderId="0" xfId="0" applyNumberFormat="1" applyFont="1"/>
    <xf numFmtId="2" fontId="4" fillId="0" borderId="0" xfId="0" applyNumberFormat="1" applyFont="1"/>
    <xf numFmtId="2" fontId="21" fillId="2" borderId="7" xfId="0" applyNumberFormat="1" applyFont="1" applyFill="1" applyBorder="1" applyAlignment="1">
      <alignment horizontal="center" vertical="center"/>
    </xf>
    <xf numFmtId="2" fontId="21" fillId="2" borderId="2" xfId="0" applyNumberFormat="1" applyFont="1" applyFill="1" applyBorder="1" applyAlignment="1">
      <alignment horizontal="center" vertical="center"/>
    </xf>
    <xf numFmtId="2" fontId="3" fillId="0" borderId="3" xfId="0" applyNumberFormat="1" applyFont="1" applyBorder="1" applyAlignment="1">
      <alignment horizontal="center"/>
    </xf>
    <xf numFmtId="2" fontId="39" fillId="2" borderId="3" xfId="0" applyNumberFormat="1" applyFont="1" applyFill="1" applyBorder="1" applyAlignment="1">
      <alignment horizontal="center" vertical="center"/>
    </xf>
    <xf numFmtId="2" fontId="40" fillId="0" borderId="3" xfId="0" applyNumberFormat="1" applyFont="1" applyBorder="1" applyAlignment="1">
      <alignment horizontal="center"/>
    </xf>
    <xf numFmtId="2" fontId="40" fillId="2" borderId="3" xfId="0" applyNumberFormat="1" applyFont="1" applyFill="1" applyBorder="1" applyAlignment="1">
      <alignment horizontal="center"/>
    </xf>
    <xf numFmtId="2" fontId="3" fillId="0" borderId="3" xfId="0" applyNumberFormat="1" applyFont="1" applyBorder="1" applyAlignment="1">
      <alignment horizontal="center" vertical="center"/>
    </xf>
    <xf numFmtId="2" fontId="3" fillId="2" borderId="3" xfId="0" applyNumberFormat="1" applyFont="1" applyFill="1" applyBorder="1" applyAlignment="1">
      <alignment horizontal="center" vertical="center"/>
    </xf>
    <xf numFmtId="2" fontId="40" fillId="2" borderId="3" xfId="0" applyNumberFormat="1" applyFon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5" borderId="0" xfId="0" applyNumberFormat="1" applyFill="1"/>
    <xf numFmtId="2" fontId="20" fillId="5" borderId="0" xfId="0" applyNumberFormat="1" applyFont="1" applyFill="1" applyAlignment="1">
      <alignment horizontal="center" vertical="center"/>
    </xf>
    <xf numFmtId="2" fontId="4" fillId="2" borderId="0" xfId="0" applyNumberFormat="1" applyFont="1" applyFill="1"/>
    <xf numFmtId="2" fontId="9" fillId="2" borderId="3" xfId="0" applyNumberFormat="1" applyFont="1" applyFill="1" applyBorder="1" applyAlignment="1">
      <alignment horizontal="center"/>
    </xf>
    <xf numFmtId="2" fontId="9" fillId="2" borderId="12" xfId="0" applyNumberFormat="1" applyFont="1" applyFill="1" applyBorder="1" applyAlignment="1">
      <alignment horizontal="center"/>
    </xf>
    <xf numFmtId="2" fontId="36" fillId="0" borderId="0" xfId="0" applyNumberFormat="1" applyFont="1"/>
    <xf numFmtId="2" fontId="38" fillId="2" borderId="3" xfId="0" applyNumberFormat="1" applyFont="1" applyFill="1" applyBorder="1" applyAlignment="1">
      <alignment horizontal="center"/>
    </xf>
    <xf numFmtId="2" fontId="38" fillId="2" borderId="12" xfId="0" applyNumberFormat="1" applyFont="1" applyFill="1" applyBorder="1" applyAlignment="1">
      <alignment horizontal="center"/>
    </xf>
    <xf numFmtId="2" fontId="36" fillId="2" borderId="0" xfId="0" applyNumberFormat="1" applyFont="1" applyFill="1"/>
    <xf numFmtId="2" fontId="35" fillId="2" borderId="0" xfId="0" applyNumberFormat="1" applyFont="1" applyFill="1" applyAlignment="1">
      <alignment horizontal="left"/>
    </xf>
    <xf numFmtId="2" fontId="35" fillId="0" borderId="0" xfId="0" applyNumberFormat="1" applyFont="1" applyAlignment="1" applyProtection="1">
      <alignment vertical="center"/>
      <protection locked="0"/>
    </xf>
    <xf numFmtId="2" fontId="35" fillId="2" borderId="0" xfId="0" applyNumberFormat="1" applyFont="1" applyFill="1" applyAlignment="1" applyProtection="1">
      <alignment horizontal="left" vertical="center"/>
      <protection locked="0"/>
    </xf>
    <xf numFmtId="2" fontId="35" fillId="0" borderId="36" xfId="0" applyNumberFormat="1" applyFont="1" applyBorder="1" applyAlignment="1" applyProtection="1">
      <alignment vertical="center"/>
      <protection locked="0"/>
    </xf>
    <xf numFmtId="2" fontId="35" fillId="0" borderId="32" xfId="0" applyNumberFormat="1" applyFont="1" applyBorder="1" applyAlignment="1" applyProtection="1">
      <alignment horizontal="center" vertical="center"/>
      <protection locked="0"/>
    </xf>
    <xf numFmtId="2" fontId="35" fillId="0" borderId="29" xfId="0" quotePrefix="1" applyNumberFormat="1" applyFont="1" applyBorder="1" applyAlignment="1" applyProtection="1">
      <alignment horizontal="center" vertical="center"/>
      <protection locked="0"/>
    </xf>
    <xf numFmtId="2" fontId="35" fillId="0" borderId="29" xfId="0" applyNumberFormat="1" applyFont="1" applyBorder="1" applyAlignment="1" applyProtection="1">
      <alignment vertical="center"/>
      <protection locked="0"/>
    </xf>
    <xf numFmtId="2" fontId="35" fillId="0" borderId="30" xfId="0" applyNumberFormat="1" applyFont="1" applyBorder="1" applyAlignment="1" applyProtection="1">
      <alignment vertical="center"/>
      <protection locked="0"/>
    </xf>
    <xf numFmtId="2" fontId="49" fillId="0" borderId="53" xfId="0" applyNumberFormat="1" applyFont="1" applyBorder="1" applyAlignment="1" applyProtection="1">
      <alignment horizontal="center" vertical="center"/>
      <protection locked="0"/>
    </xf>
    <xf numFmtId="2" fontId="35" fillId="0" borderId="48" xfId="0" applyNumberFormat="1" applyFont="1" applyBorder="1" applyAlignment="1" applyProtection="1">
      <alignment horizontal="center" vertical="center"/>
      <protection locked="0"/>
    </xf>
    <xf numFmtId="2" fontId="35" fillId="0" borderId="27" xfId="0" applyNumberFormat="1" applyFont="1" applyBorder="1" applyAlignment="1" applyProtection="1">
      <alignment vertical="center"/>
      <protection locked="0"/>
    </xf>
    <xf numFmtId="2" fontId="35" fillId="0" borderId="58" xfId="0" applyNumberFormat="1" applyFont="1" applyBorder="1" applyAlignment="1" applyProtection="1">
      <alignment vertical="center"/>
      <protection locked="0"/>
    </xf>
    <xf numFmtId="2" fontId="35" fillId="0" borderId="49" xfId="0" applyNumberFormat="1" applyFont="1" applyBorder="1" applyAlignment="1" applyProtection="1">
      <alignment horizontal="center" vertical="center"/>
      <protection locked="0"/>
    </xf>
    <xf numFmtId="2" fontId="35" fillId="0" borderId="38" xfId="0" quotePrefix="1" applyNumberFormat="1" applyFont="1" applyBorder="1" applyAlignment="1" applyProtection="1">
      <alignment horizontal="center" vertical="center"/>
      <protection locked="0"/>
    </xf>
    <xf numFmtId="2" fontId="35" fillId="0" borderId="38" xfId="0" applyNumberFormat="1" applyFont="1" applyBorder="1" applyAlignment="1" applyProtection="1">
      <alignment vertical="center"/>
      <protection locked="0"/>
    </xf>
    <xf numFmtId="2" fontId="35" fillId="0" borderId="39" xfId="0" applyNumberFormat="1" applyFont="1" applyBorder="1" applyAlignment="1" applyProtection="1">
      <alignment vertical="center"/>
      <protection locked="0"/>
    </xf>
    <xf numFmtId="2" fontId="2" fillId="0" borderId="0" xfId="1" applyNumberFormat="1" applyAlignment="1" applyProtection="1">
      <alignment vertical="center"/>
      <protection locked="0"/>
    </xf>
    <xf numFmtId="0" fontId="41" fillId="0" borderId="0" xfId="0" applyFont="1" applyAlignment="1">
      <alignment horizontal="left"/>
    </xf>
    <xf numFmtId="0" fontId="41" fillId="2" borderId="4" xfId="1" applyFont="1" applyFill="1" applyBorder="1" applyAlignment="1">
      <alignment horizontal="right" vertical="center"/>
    </xf>
    <xf numFmtId="2" fontId="41" fillId="0" borderId="4" xfId="1" applyNumberFormat="1" applyFont="1" applyBorder="1" applyAlignment="1">
      <alignment horizontal="right" vertical="center"/>
    </xf>
    <xf numFmtId="0" fontId="65" fillId="2" borderId="0" xfId="1" applyFont="1" applyFill="1" applyAlignment="1">
      <alignment horizontal="left"/>
    </xf>
    <xf numFmtId="0" fontId="41" fillId="2" borderId="0" xfId="1" applyFont="1" applyFill="1" applyAlignment="1">
      <alignment horizontal="left"/>
    </xf>
    <xf numFmtId="0" fontId="42" fillId="0" borderId="0" xfId="0" applyFont="1"/>
    <xf numFmtId="0" fontId="42" fillId="2" borderId="0" xfId="0" applyFont="1" applyFill="1" applyAlignment="1">
      <alignment horizontal="center"/>
    </xf>
    <xf numFmtId="0" fontId="48" fillId="2" borderId="0" xfId="0" applyFont="1" applyFill="1"/>
    <xf numFmtId="0" fontId="65" fillId="2" borderId="0" xfId="0" applyFont="1" applyFill="1"/>
    <xf numFmtId="0" fontId="65" fillId="2" borderId="3" xfId="0" applyFont="1" applyFill="1" applyBorder="1" applyAlignment="1">
      <alignment horizontal="center"/>
    </xf>
    <xf numFmtId="0" fontId="41" fillId="2" borderId="3" xfId="0" applyFont="1" applyFill="1" applyBorder="1"/>
    <xf numFmtId="167" fontId="41" fillId="2" borderId="3" xfId="0" applyNumberFormat="1" applyFont="1" applyFill="1" applyBorder="1"/>
    <xf numFmtId="2" fontId="41" fillId="2" borderId="3" xfId="0" applyNumberFormat="1" applyFont="1" applyFill="1" applyBorder="1" applyAlignment="1">
      <alignment horizontal="center"/>
    </xf>
    <xf numFmtId="0" fontId="41" fillId="2" borderId="3" xfId="0" applyFont="1" applyFill="1" applyBorder="1" applyAlignment="1">
      <alignment horizontal="center"/>
    </xf>
    <xf numFmtId="2" fontId="41" fillId="2" borderId="3" xfId="0" applyNumberFormat="1" applyFont="1" applyFill="1" applyBorder="1"/>
    <xf numFmtId="2" fontId="42" fillId="2" borderId="3" xfId="0" applyNumberFormat="1" applyFont="1" applyFill="1" applyBorder="1" applyAlignment="1">
      <alignment horizontal="center"/>
    </xf>
    <xf numFmtId="2" fontId="41" fillId="2" borderId="0" xfId="0" applyNumberFormat="1" applyFont="1" applyFill="1" applyAlignment="1">
      <alignment horizontal="center"/>
    </xf>
    <xf numFmtId="2" fontId="42" fillId="2" borderId="0" xfId="0" applyNumberFormat="1" applyFont="1" applyFill="1" applyAlignment="1">
      <alignment horizontal="center"/>
    </xf>
    <xf numFmtId="0" fontId="42" fillId="2" borderId="0" xfId="0" applyFont="1" applyFill="1"/>
    <xf numFmtId="2" fontId="41" fillId="2" borderId="3" xfId="0" applyNumberFormat="1" applyFont="1" applyFill="1" applyBorder="1" applyAlignment="1">
      <alignment horizontal="right"/>
    </xf>
    <xf numFmtId="1" fontId="41" fillId="2" borderId="3" xfId="0" applyNumberFormat="1" applyFont="1" applyFill="1" applyBorder="1" applyAlignment="1">
      <alignment horizontal="center"/>
    </xf>
    <xf numFmtId="165" fontId="50" fillId="2" borderId="3" xfId="0" applyNumberFormat="1" applyFont="1" applyFill="1" applyBorder="1" applyAlignment="1">
      <alignment horizontal="right"/>
    </xf>
    <xf numFmtId="165" fontId="41" fillId="2" borderId="3" xfId="0" applyNumberFormat="1" applyFont="1" applyFill="1" applyBorder="1" applyAlignment="1">
      <alignment horizontal="right"/>
    </xf>
    <xf numFmtId="2" fontId="42" fillId="2" borderId="3" xfId="0" applyNumberFormat="1" applyFont="1" applyFill="1" applyBorder="1" applyAlignment="1">
      <alignment horizontal="center" vertical="center"/>
    </xf>
    <xf numFmtId="165" fontId="41" fillId="2" borderId="3" xfId="0" applyNumberFormat="1" applyFont="1" applyFill="1" applyBorder="1"/>
    <xf numFmtId="165" fontId="41" fillId="2" borderId="0" xfId="0" applyNumberFormat="1" applyFont="1" applyFill="1"/>
    <xf numFmtId="0" fontId="74" fillId="0" borderId="0" xfId="0" applyFont="1" applyAlignment="1">
      <alignment horizontal="center" vertical="center"/>
    </xf>
    <xf numFmtId="0" fontId="75" fillId="0" borderId="0" xfId="0" applyFont="1" applyAlignment="1">
      <alignment horizontal="center" vertical="center"/>
    </xf>
    <xf numFmtId="0" fontId="46" fillId="0" borderId="0" xfId="0" applyFont="1"/>
    <xf numFmtId="0" fontId="41" fillId="0" borderId="0" xfId="0" applyFont="1" applyAlignment="1">
      <alignment horizontal="center"/>
    </xf>
    <xf numFmtId="0" fontId="41" fillId="0" borderId="0" xfId="0" applyFont="1" applyAlignment="1">
      <alignment horizontal="center" vertical="center" wrapText="1"/>
    </xf>
    <xf numFmtId="0" fontId="41" fillId="0" borderId="0" xfId="0" applyFont="1" applyAlignment="1">
      <alignment horizontal="center" vertical="center"/>
    </xf>
    <xf numFmtId="164" fontId="41" fillId="0" borderId="0" xfId="0" applyNumberFormat="1" applyFont="1"/>
    <xf numFmtId="2" fontId="41" fillId="0" borderId="0" xfId="0" applyNumberFormat="1" applyFont="1"/>
    <xf numFmtId="0" fontId="41" fillId="2" borderId="3" xfId="0" quotePrefix="1" applyFont="1" applyFill="1" applyBorder="1" applyAlignment="1">
      <alignment horizontal="center"/>
    </xf>
    <xf numFmtId="165" fontId="41" fillId="2" borderId="3" xfId="0" applyNumberFormat="1" applyFont="1" applyFill="1" applyBorder="1" applyAlignment="1">
      <alignment horizontal="center"/>
    </xf>
    <xf numFmtId="165" fontId="41" fillId="0" borderId="3" xfId="0" applyNumberFormat="1" applyFont="1" applyBorder="1" applyAlignment="1">
      <alignment horizontal="center"/>
    </xf>
    <xf numFmtId="164" fontId="41" fillId="0" borderId="3" xfId="0" applyNumberFormat="1" applyFont="1" applyBorder="1" applyAlignment="1">
      <alignment horizontal="center"/>
    </xf>
    <xf numFmtId="2" fontId="41" fillId="0" borderId="3" xfId="0" quotePrefix="1" applyNumberFormat="1" applyFont="1" applyBorder="1" applyAlignment="1">
      <alignment horizontal="center" vertical="center"/>
    </xf>
    <xf numFmtId="165" fontId="41" fillId="0" borderId="3" xfId="0" quotePrefix="1" applyNumberFormat="1" applyFont="1" applyBorder="1" applyAlignment="1">
      <alignment horizontal="center" vertical="center"/>
    </xf>
    <xf numFmtId="0" fontId="76" fillId="0" borderId="0" xfId="0" applyFont="1"/>
    <xf numFmtId="0" fontId="77" fillId="0" borderId="0" xfId="0" applyFont="1"/>
    <xf numFmtId="0" fontId="74" fillId="0" borderId="3" xfId="0" applyFont="1" applyBorder="1"/>
    <xf numFmtId="0" fontId="42" fillId="0" borderId="7" xfId="0" applyFont="1" applyBorder="1"/>
    <xf numFmtId="0" fontId="41" fillId="2" borderId="7" xfId="0" applyFont="1" applyFill="1" applyBorder="1" applyAlignment="1">
      <alignment horizontal="center" vertical="center"/>
    </xf>
    <xf numFmtId="0" fontId="42" fillId="0" borderId="0" xfId="0" applyFont="1" applyAlignment="1">
      <alignment horizontal="center" vertical="center"/>
    </xf>
    <xf numFmtId="0" fontId="41" fillId="2" borderId="2" xfId="0" applyFont="1" applyFill="1" applyBorder="1" applyAlignment="1">
      <alignment horizontal="center" vertical="center"/>
    </xf>
    <xf numFmtId="2" fontId="41" fillId="0" borderId="3" xfId="0" applyNumberFormat="1" applyFont="1" applyBorder="1"/>
    <xf numFmtId="164" fontId="41" fillId="2" borderId="3" xfId="0" applyNumberFormat="1" applyFont="1" applyFill="1" applyBorder="1" applyAlignment="1">
      <alignment horizontal="center" vertical="center"/>
    </xf>
    <xf numFmtId="164" fontId="41" fillId="2" borderId="3" xfId="0" applyNumberFormat="1" applyFont="1" applyFill="1" applyBorder="1" applyAlignment="1">
      <alignment horizontal="center"/>
    </xf>
    <xf numFmtId="164" fontId="41" fillId="0" borderId="3" xfId="0" applyNumberFormat="1" applyFont="1" applyBorder="1"/>
    <xf numFmtId="165" fontId="41" fillId="0" borderId="3" xfId="0" applyNumberFormat="1" applyFont="1" applyBorder="1" applyAlignment="1">
      <alignment horizontal="center" vertical="center"/>
    </xf>
    <xf numFmtId="2" fontId="42" fillId="0" borderId="0" xfId="0" applyNumberFormat="1" applyFont="1" applyAlignment="1">
      <alignment horizontal="center" vertical="center"/>
    </xf>
    <xf numFmtId="0" fontId="41" fillId="5" borderId="0" xfId="0" applyFont="1" applyFill="1"/>
    <xf numFmtId="0" fontId="78" fillId="5" borderId="0" xfId="0" applyFont="1" applyFill="1" applyAlignment="1">
      <alignment horizontal="center" vertical="center"/>
    </xf>
    <xf numFmtId="0" fontId="42" fillId="2" borderId="8" xfId="0" applyFont="1" applyFill="1" applyBorder="1" applyAlignment="1">
      <alignment horizontal="center" vertical="center"/>
    </xf>
    <xf numFmtId="0" fontId="42" fillId="2" borderId="3" xfId="0" applyFont="1" applyFill="1" applyBorder="1" applyAlignment="1">
      <alignment horizontal="center"/>
    </xf>
    <xf numFmtId="2" fontId="42" fillId="2" borderId="9" xfId="0" applyNumberFormat="1" applyFont="1" applyFill="1" applyBorder="1" applyAlignment="1">
      <alignment horizontal="center"/>
    </xf>
    <xf numFmtId="0" fontId="79" fillId="2" borderId="8" xfId="0" applyFont="1" applyFill="1" applyBorder="1" applyAlignment="1">
      <alignment horizontal="center" vertical="center"/>
    </xf>
    <xf numFmtId="0" fontId="79" fillId="2" borderId="3" xfId="0" applyFont="1" applyFill="1" applyBorder="1" applyAlignment="1">
      <alignment horizontal="center"/>
    </xf>
    <xf numFmtId="2" fontId="79" fillId="2" borderId="9" xfId="0" applyNumberFormat="1" applyFont="1" applyFill="1" applyBorder="1" applyAlignment="1">
      <alignment horizontal="center"/>
    </xf>
    <xf numFmtId="2" fontId="42" fillId="2" borderId="8" xfId="0" applyNumberFormat="1" applyFont="1" applyFill="1" applyBorder="1" applyAlignment="1">
      <alignment horizontal="center" vertical="center"/>
    </xf>
    <xf numFmtId="164" fontId="42" fillId="2" borderId="3" xfId="0" applyNumberFormat="1" applyFont="1" applyFill="1" applyBorder="1" applyAlignment="1">
      <alignment horizontal="center"/>
    </xf>
    <xf numFmtId="2" fontId="79" fillId="2" borderId="8" xfId="0" applyNumberFormat="1" applyFont="1" applyFill="1" applyBorder="1" applyAlignment="1">
      <alignment horizontal="center" vertical="center"/>
    </xf>
    <xf numFmtId="164" fontId="79" fillId="2" borderId="3" xfId="0" applyNumberFormat="1" applyFont="1" applyFill="1" applyBorder="1" applyAlignment="1">
      <alignment horizontal="center"/>
    </xf>
    <xf numFmtId="2" fontId="42" fillId="2" borderId="11" xfId="0" applyNumberFormat="1" applyFont="1" applyFill="1" applyBorder="1" applyAlignment="1">
      <alignment horizontal="center" vertical="center"/>
    </xf>
    <xf numFmtId="0" fontId="42" fillId="2" borderId="12" xfId="0" applyFont="1" applyFill="1" applyBorder="1" applyAlignment="1">
      <alignment horizontal="center"/>
    </xf>
    <xf numFmtId="2" fontId="42" fillId="2" borderId="13" xfId="0" applyNumberFormat="1" applyFont="1" applyFill="1" applyBorder="1" applyAlignment="1">
      <alignment horizontal="center"/>
    </xf>
    <xf numFmtId="2" fontId="79" fillId="2" borderId="11" xfId="0" applyNumberFormat="1" applyFont="1" applyFill="1" applyBorder="1" applyAlignment="1">
      <alignment horizontal="center" vertical="center"/>
    </xf>
    <xf numFmtId="0" fontId="79" fillId="2" borderId="12" xfId="0" applyFont="1" applyFill="1" applyBorder="1" applyAlignment="1">
      <alignment horizontal="center"/>
    </xf>
    <xf numFmtId="2" fontId="79" fillId="2" borderId="13" xfId="0" applyNumberFormat="1" applyFont="1" applyFill="1" applyBorder="1" applyAlignment="1">
      <alignment horizontal="center"/>
    </xf>
    <xf numFmtId="0" fontId="79" fillId="2" borderId="0" xfId="0" applyFont="1" applyFill="1" applyAlignment="1">
      <alignment horizontal="center" vertical="center"/>
    </xf>
    <xf numFmtId="0" fontId="79" fillId="2" borderId="0" xfId="0" applyFont="1" applyFill="1" applyAlignment="1">
      <alignment horizontal="center"/>
    </xf>
    <xf numFmtId="2" fontId="79" fillId="2" borderId="0" xfId="0" applyNumberFormat="1" applyFont="1" applyFill="1" applyAlignment="1">
      <alignment horizontal="center"/>
    </xf>
    <xf numFmtId="2" fontId="42" fillId="2" borderId="0" xfId="0" applyNumberFormat="1" applyFont="1" applyFill="1" applyAlignment="1">
      <alignment horizontal="center" vertical="center"/>
    </xf>
    <xf numFmtId="0" fontId="77" fillId="5" borderId="0" xfId="0" applyFont="1" applyFill="1"/>
    <xf numFmtId="164" fontId="41" fillId="0" borderId="3" xfId="0" applyNumberFormat="1" applyFont="1" applyBorder="1" applyAlignment="1">
      <alignment horizontal="center" vertical="center"/>
    </xf>
    <xf numFmtId="166" fontId="41" fillId="2" borderId="3" xfId="0" applyNumberFormat="1" applyFont="1" applyFill="1" applyBorder="1"/>
    <xf numFmtId="180" fontId="41" fillId="2" borderId="3" xfId="0" applyNumberFormat="1" applyFont="1" applyFill="1" applyBorder="1"/>
    <xf numFmtId="0" fontId="2" fillId="0" borderId="0" xfId="4"/>
    <xf numFmtId="0" fontId="2" fillId="9" borderId="41" xfId="4" applyFill="1" applyBorder="1" applyProtection="1">
      <protection locked="0"/>
    </xf>
    <xf numFmtId="0" fontId="2" fillId="9" borderId="42" xfId="4" applyFill="1" applyBorder="1" applyProtection="1">
      <protection locked="0"/>
    </xf>
    <xf numFmtId="0" fontId="2" fillId="0" borderId="31" xfId="4" applyBorder="1"/>
    <xf numFmtId="0" fontId="2" fillId="0" borderId="0" xfId="4" applyAlignment="1">
      <alignment horizontal="center" vertical="center"/>
    </xf>
    <xf numFmtId="0" fontId="2" fillId="0" borderId="0" xfId="4" applyAlignment="1">
      <alignment horizontal="center"/>
    </xf>
    <xf numFmtId="0" fontId="2" fillId="2" borderId="29" xfId="4" applyFill="1" applyBorder="1"/>
    <xf numFmtId="0" fontId="2" fillId="2" borderId="0" xfId="4" applyFill="1"/>
    <xf numFmtId="0" fontId="80" fillId="2" borderId="0" xfId="4" applyFont="1" applyFill="1" applyAlignment="1">
      <alignment vertical="center"/>
    </xf>
    <xf numFmtId="0" fontId="9" fillId="2" borderId="0" xfId="4" applyFont="1" applyFill="1" applyAlignment="1">
      <alignment horizontal="center" vertical="center"/>
    </xf>
    <xf numFmtId="2" fontId="9" fillId="2" borderId="0" xfId="4" applyNumberFormat="1" applyFont="1" applyFill="1" applyAlignment="1">
      <alignment horizontal="center" vertical="center"/>
    </xf>
    <xf numFmtId="0" fontId="2" fillId="2" borderId="31" xfId="4" applyFill="1" applyBorder="1"/>
    <xf numFmtId="0" fontId="2" fillId="2" borderId="37" xfId="4" applyFill="1" applyBorder="1"/>
    <xf numFmtId="0" fontId="2" fillId="2" borderId="38" xfId="4" applyFill="1" applyBorder="1"/>
    <xf numFmtId="0" fontId="2" fillId="0" borderId="0" xfId="4" applyProtection="1">
      <protection locked="0"/>
    </xf>
    <xf numFmtId="0" fontId="33" fillId="0" borderId="4" xfId="5" applyFont="1" applyBorder="1" applyAlignment="1">
      <alignment horizontal="left" vertical="top" wrapText="1"/>
    </xf>
    <xf numFmtId="0" fontId="33" fillId="0" borderId="0" xfId="5" applyFont="1" applyAlignment="1">
      <alignment horizontal="justify" vertical="center" wrapText="1"/>
    </xf>
    <xf numFmtId="0" fontId="2" fillId="0" borderId="0" xfId="5" applyAlignment="1" applyProtection="1">
      <alignment wrapText="1"/>
      <protection hidden="1"/>
    </xf>
    <xf numFmtId="0" fontId="2" fillId="0" borderId="0" xfId="5" applyProtection="1">
      <protection locked="0"/>
    </xf>
    <xf numFmtId="0" fontId="84" fillId="0" borderId="0" xfId="5" applyFont="1" applyAlignment="1">
      <alignment horizontal="center" vertical="center" wrapText="1"/>
    </xf>
    <xf numFmtId="0" fontId="6" fillId="0" borderId="0" xfId="5" applyFont="1" applyProtection="1">
      <protection locked="0"/>
    </xf>
    <xf numFmtId="0" fontId="2" fillId="0" borderId="0" xfId="5" applyAlignment="1">
      <alignment horizontal="left" vertical="top"/>
    </xf>
    <xf numFmtId="0" fontId="33" fillId="0" borderId="6" xfId="5" applyFont="1" applyBorder="1" applyAlignment="1">
      <alignment horizontal="left" vertical="top"/>
    </xf>
    <xf numFmtId="0" fontId="86" fillId="0" borderId="0" xfId="5" applyFont="1"/>
    <xf numFmtId="0" fontId="33" fillId="0" borderId="0" xfId="5" applyFont="1" applyAlignment="1" applyProtection="1">
      <alignment horizontal="center" vertical="center" wrapText="1"/>
      <protection locked="0"/>
    </xf>
    <xf numFmtId="1" fontId="33" fillId="0" borderId="0" xfId="5" quotePrefix="1" applyNumberFormat="1" applyFont="1" applyAlignment="1" applyProtection="1">
      <alignment horizontal="left"/>
      <protection locked="0"/>
    </xf>
    <xf numFmtId="0" fontId="33" fillId="0" borderId="0" xfId="5" applyFont="1" applyProtection="1">
      <protection locked="0"/>
    </xf>
    <xf numFmtId="1" fontId="85" fillId="0" borderId="0" xfId="5" quotePrefix="1" applyNumberFormat="1" applyFont="1" applyProtection="1">
      <protection locked="0"/>
    </xf>
    <xf numFmtId="0" fontId="86" fillId="0" borderId="0" xfId="5" applyFont="1" applyProtection="1">
      <protection locked="0"/>
    </xf>
    <xf numFmtId="181" fontId="33" fillId="0" borderId="0" xfId="5" quotePrefix="1" applyNumberFormat="1" applyFont="1" applyAlignment="1" applyProtection="1">
      <alignment horizontal="left"/>
      <protection locked="0"/>
    </xf>
    <xf numFmtId="2" fontId="85" fillId="0" borderId="0" xfId="5" quotePrefix="1" applyNumberFormat="1" applyFont="1" applyProtection="1">
      <protection locked="0"/>
    </xf>
    <xf numFmtId="0" fontId="2" fillId="0" borderId="0" xfId="5" applyAlignment="1">
      <alignment vertical="top" wrapText="1"/>
    </xf>
    <xf numFmtId="0" fontId="84" fillId="0" borderId="0" xfId="5" applyFont="1" applyAlignment="1">
      <alignment wrapText="1"/>
    </xf>
    <xf numFmtId="0" fontId="82" fillId="0" borderId="0" xfId="5" applyFont="1" applyAlignment="1">
      <alignment horizontal="center"/>
    </xf>
    <xf numFmtId="0" fontId="66" fillId="0" borderId="0" xfId="5" applyFont="1"/>
    <xf numFmtId="177" fontId="2" fillId="0" borderId="27" xfId="5" applyNumberFormat="1" applyBorder="1"/>
    <xf numFmtId="0" fontId="1" fillId="2" borderId="3" xfId="0" applyFont="1" applyFill="1" applyBorder="1" applyAlignment="1">
      <alignment horizontal="center"/>
    </xf>
    <xf numFmtId="0" fontId="1" fillId="2" borderId="3" xfId="0" applyFont="1" applyFill="1" applyBorder="1" applyAlignment="1">
      <alignment vertical="center"/>
    </xf>
    <xf numFmtId="0" fontId="41" fillId="0" borderId="3" xfId="1" applyFont="1" applyBorder="1" applyAlignment="1">
      <alignment horizontal="center" vertical="center"/>
    </xf>
    <xf numFmtId="0" fontId="41" fillId="0" borderId="0" xfId="1" applyFont="1" applyAlignment="1" applyProtection="1">
      <alignment horizontal="center" vertical="center"/>
      <protection locked="0"/>
    </xf>
    <xf numFmtId="0" fontId="35" fillId="12" borderId="3" xfId="0" applyFont="1" applyFill="1" applyBorder="1" applyAlignment="1" applyProtection="1">
      <alignment vertical="center"/>
      <protection locked="0"/>
    </xf>
    <xf numFmtId="0" fontId="35" fillId="12" borderId="4" xfId="0" applyFont="1" applyFill="1" applyBorder="1" applyAlignment="1" applyProtection="1">
      <alignment vertical="center"/>
      <protection locked="0"/>
    </xf>
    <xf numFmtId="0" fontId="35" fillId="0" borderId="0" xfId="0" applyFont="1" applyAlignment="1" applyProtection="1">
      <alignment vertical="center"/>
      <protection locked="0"/>
    </xf>
    <xf numFmtId="0" fontId="35" fillId="12" borderId="0" xfId="0" applyFont="1" applyFill="1" applyAlignment="1" applyProtection="1">
      <alignment vertical="center"/>
      <protection locked="0"/>
    </xf>
    <xf numFmtId="0" fontId="35" fillId="12" borderId="0" xfId="0" applyFont="1" applyFill="1" applyAlignment="1" applyProtection="1">
      <alignment horizontal="right" vertical="center"/>
      <protection locked="0"/>
    </xf>
    <xf numFmtId="0" fontId="6" fillId="0" borderId="3" xfId="0" applyFont="1" applyBorder="1" applyAlignment="1" applyProtection="1">
      <alignment horizontal="center" wrapText="1"/>
      <protection hidden="1"/>
    </xf>
    <xf numFmtId="0" fontId="27" fillId="2" borderId="23" xfId="0" applyFont="1" applyFill="1" applyBorder="1" applyAlignment="1" applyProtection="1">
      <alignment horizontal="left" vertical="top"/>
      <protection hidden="1"/>
    </xf>
    <xf numFmtId="0" fontId="27" fillId="8" borderId="3" xfId="0" applyFont="1" applyFill="1" applyBorder="1" applyAlignment="1" applyProtection="1">
      <alignment horizontal="left" vertical="top"/>
      <protection hidden="1"/>
    </xf>
    <xf numFmtId="0" fontId="42" fillId="2" borderId="0" xfId="1" quotePrefix="1" applyFont="1" applyFill="1" applyAlignment="1" applyProtection="1">
      <alignment vertical="center"/>
      <protection locked="0"/>
    </xf>
    <xf numFmtId="0" fontId="73" fillId="2" borderId="0" xfId="0" applyFont="1" applyFill="1" applyAlignment="1" applyProtection="1">
      <alignment horizontal="center" vertical="center"/>
      <protection locked="0"/>
    </xf>
    <xf numFmtId="0" fontId="43" fillId="2" borderId="0" xfId="0" applyFont="1" applyFill="1" applyProtection="1">
      <protection locked="0"/>
    </xf>
    <xf numFmtId="165" fontId="35" fillId="2" borderId="0" xfId="0" applyNumberFormat="1" applyFont="1" applyFill="1" applyAlignment="1" applyProtection="1">
      <alignment horizontal="center"/>
      <protection locked="0"/>
    </xf>
    <xf numFmtId="165" fontId="35" fillId="2" borderId="0" xfId="0" applyNumberFormat="1" applyFont="1" applyFill="1" applyProtection="1">
      <protection locked="0"/>
    </xf>
    <xf numFmtId="165" fontId="41" fillId="2" borderId="0" xfId="0" applyNumberFormat="1" applyFont="1" applyFill="1" applyAlignment="1" applyProtection="1">
      <alignment horizontal="center"/>
      <protection locked="0"/>
    </xf>
    <xf numFmtId="165" fontId="41" fillId="2" borderId="0" xfId="0" applyNumberFormat="1" applyFont="1" applyFill="1" applyProtection="1">
      <protection locked="0"/>
    </xf>
    <xf numFmtId="0" fontId="42" fillId="2" borderId="0" xfId="2" applyFont="1" applyFill="1" applyAlignment="1" applyProtection="1">
      <alignment horizontal="center" vertical="center" wrapText="1"/>
      <protection locked="0"/>
    </xf>
    <xf numFmtId="0" fontId="41" fillId="2" borderId="0" xfId="0" applyFont="1" applyFill="1" applyAlignment="1" applyProtection="1">
      <alignment vertical="center" wrapText="1"/>
      <protection locked="0"/>
    </xf>
    <xf numFmtId="0" fontId="35" fillId="2" borderId="0" xfId="0" applyFont="1" applyFill="1" applyAlignment="1" applyProtection="1">
      <alignment vertical="center" wrapText="1"/>
      <protection locked="0"/>
    </xf>
    <xf numFmtId="0" fontId="73" fillId="2" borderId="3" xfId="0" applyFont="1" applyFill="1" applyBorder="1" applyAlignment="1" applyProtection="1">
      <alignment vertical="center" wrapText="1"/>
      <protection locked="0"/>
    </xf>
    <xf numFmtId="166" fontId="35" fillId="2" borderId="0" xfId="0" quotePrefix="1" applyNumberFormat="1" applyFont="1" applyFill="1" applyAlignment="1" applyProtection="1">
      <alignment horizontal="center"/>
      <protection locked="0"/>
    </xf>
    <xf numFmtId="1" fontId="35" fillId="2" borderId="0" xfId="0" applyNumberFormat="1" applyFont="1" applyFill="1" applyAlignment="1" applyProtection="1">
      <alignment horizontal="center"/>
      <protection locked="0"/>
    </xf>
    <xf numFmtId="0" fontId="35" fillId="0" borderId="0" xfId="0" quotePrefix="1" applyFont="1" applyAlignment="1">
      <alignment horizontal="center" vertical="center"/>
    </xf>
    <xf numFmtId="0" fontId="35" fillId="0" borderId="0" xfId="0" applyFont="1" applyAlignment="1" applyProtection="1">
      <alignment horizontal="left"/>
      <protection locked="0"/>
    </xf>
    <xf numFmtId="0" fontId="2" fillId="0" borderId="0" xfId="0" applyFont="1" applyAlignment="1">
      <alignment horizontal="left"/>
    </xf>
    <xf numFmtId="0" fontId="2" fillId="2" borderId="0" xfId="0" applyFont="1" applyFill="1"/>
    <xf numFmtId="165" fontId="78" fillId="6" borderId="3" xfId="0" applyNumberFormat="1" applyFont="1" applyFill="1" applyBorder="1" applyAlignment="1" applyProtection="1">
      <alignment horizontal="center" vertical="center"/>
      <protection locked="0"/>
    </xf>
    <xf numFmtId="1" fontId="78" fillId="7" borderId="2" xfId="0" quotePrefix="1" applyNumberFormat="1" applyFont="1" applyFill="1" applyBorder="1" applyAlignment="1" applyProtection="1">
      <alignment horizontal="center" vertical="center" wrapText="1"/>
      <protection locked="0"/>
    </xf>
    <xf numFmtId="1" fontId="78" fillId="7" borderId="2" xfId="0" applyNumberFormat="1" applyFont="1" applyFill="1" applyBorder="1" applyAlignment="1" applyProtection="1">
      <alignment horizontal="center" vertical="center" wrapText="1"/>
      <protection locked="0"/>
    </xf>
    <xf numFmtId="1" fontId="78" fillId="7" borderId="3" xfId="0" applyNumberFormat="1" applyFont="1" applyFill="1" applyBorder="1" applyAlignment="1" applyProtection="1">
      <alignment horizontal="center"/>
      <protection locked="0"/>
    </xf>
    <xf numFmtId="1" fontId="78" fillId="6" borderId="3" xfId="0" quotePrefix="1" applyNumberFormat="1" applyFont="1" applyFill="1" applyBorder="1" applyAlignment="1" applyProtection="1">
      <alignment horizontal="center" vertical="center"/>
      <protection locked="0"/>
    </xf>
    <xf numFmtId="1" fontId="78" fillId="6" borderId="3" xfId="0" applyNumberFormat="1" applyFont="1" applyFill="1" applyBorder="1" applyAlignment="1" applyProtection="1">
      <alignment horizontal="center" vertical="center"/>
      <protection locked="0"/>
    </xf>
    <xf numFmtId="0" fontId="78" fillId="6" borderId="0" xfId="0" applyFont="1" applyFill="1" applyProtection="1">
      <protection locked="0"/>
    </xf>
    <xf numFmtId="0" fontId="2" fillId="0" borderId="0" xfId="1" applyAlignment="1" applyProtection="1">
      <alignment horizontal="right"/>
      <protection locked="0"/>
    </xf>
    <xf numFmtId="165" fontId="78" fillId="2" borderId="0" xfId="1" applyNumberFormat="1" applyFont="1" applyFill="1" applyAlignment="1">
      <alignment horizontal="left" vertical="center"/>
    </xf>
    <xf numFmtId="165" fontId="78" fillId="0" borderId="6" xfId="1" applyNumberFormat="1" applyFont="1" applyBorder="1" applyAlignment="1">
      <alignment horizontal="center" vertical="center"/>
    </xf>
    <xf numFmtId="165" fontId="78" fillId="0" borderId="3" xfId="1" applyNumberFormat="1" applyFont="1" applyBorder="1" applyAlignment="1">
      <alignment horizontal="center" vertical="center"/>
    </xf>
    <xf numFmtId="165" fontId="78" fillId="2" borderId="6" xfId="1" applyNumberFormat="1" applyFont="1" applyFill="1" applyBorder="1" applyAlignment="1">
      <alignment horizontal="left" vertical="center"/>
    </xf>
    <xf numFmtId="165" fontId="78" fillId="2" borderId="21" xfId="1" applyNumberFormat="1" applyFont="1" applyFill="1" applyBorder="1" applyAlignment="1">
      <alignment horizontal="left" vertical="center"/>
    </xf>
    <xf numFmtId="165" fontId="78" fillId="0" borderId="6" xfId="1" applyNumberFormat="1" applyFont="1" applyBorder="1" applyAlignment="1">
      <alignment horizontal="left" vertical="center"/>
    </xf>
    <xf numFmtId="0" fontId="78" fillId="2" borderId="0" xfId="1" applyFont="1" applyFill="1" applyAlignment="1">
      <alignment horizontal="left" vertical="center"/>
    </xf>
    <xf numFmtId="0" fontId="78" fillId="2" borderId="0" xfId="1" applyFont="1" applyFill="1" applyAlignment="1">
      <alignment vertical="center"/>
    </xf>
    <xf numFmtId="165" fontId="41" fillId="0" borderId="3" xfId="1" applyNumberFormat="1" applyFont="1" applyBorder="1" applyAlignment="1" applyProtection="1">
      <alignment horizontal="center" vertical="center"/>
      <protection locked="0"/>
    </xf>
    <xf numFmtId="0" fontId="66" fillId="15" borderId="0" xfId="4" applyFont="1" applyFill="1" applyAlignment="1" applyProtection="1">
      <alignment vertical="center"/>
      <protection locked="0"/>
    </xf>
    <xf numFmtId="0" fontId="66" fillId="15" borderId="0" xfId="4" applyFont="1" applyFill="1" applyAlignment="1" applyProtection="1">
      <alignment horizontal="center" vertical="center"/>
      <protection locked="0"/>
    </xf>
    <xf numFmtId="0" fontId="33" fillId="15" borderId="0" xfId="4" applyFont="1" applyFill="1" applyProtection="1">
      <protection locked="0"/>
    </xf>
    <xf numFmtId="0" fontId="33" fillId="15" borderId="0" xfId="4" applyFont="1" applyFill="1" applyAlignment="1" applyProtection="1">
      <alignment horizontal="center"/>
      <protection locked="0"/>
    </xf>
    <xf numFmtId="0" fontId="33" fillId="15" borderId="3" xfId="4" applyFont="1" applyFill="1" applyBorder="1" applyAlignment="1" applyProtection="1">
      <alignment horizontal="center" vertical="center"/>
      <protection locked="0"/>
    </xf>
    <xf numFmtId="0" fontId="6" fillId="15" borderId="3" xfId="4" applyFont="1" applyFill="1" applyBorder="1" applyAlignment="1" applyProtection="1">
      <alignment horizontal="center" vertical="center"/>
      <protection locked="0"/>
    </xf>
    <xf numFmtId="0" fontId="2" fillId="15" borderId="0" xfId="4" applyFill="1" applyProtection="1">
      <protection locked="0"/>
    </xf>
    <xf numFmtId="1" fontId="2" fillId="15" borderId="3" xfId="4" applyNumberFormat="1" applyFill="1" applyBorder="1" applyAlignment="1" applyProtection="1">
      <alignment horizontal="center" vertical="center"/>
      <protection locked="0"/>
    </xf>
    <xf numFmtId="2" fontId="2" fillId="15" borderId="3" xfId="4" quotePrefix="1" applyNumberFormat="1" applyFill="1" applyBorder="1" applyAlignment="1" applyProtection="1">
      <alignment horizontal="center" vertical="center"/>
      <protection locked="0"/>
    </xf>
    <xf numFmtId="2" fontId="2" fillId="16" borderId="3" xfId="4" applyNumberFormat="1" applyFill="1" applyBorder="1" applyAlignment="1" applyProtection="1">
      <alignment horizontal="center"/>
      <protection locked="0"/>
    </xf>
    <xf numFmtId="2" fontId="2" fillId="15" borderId="3" xfId="4" applyNumberFormat="1" applyFill="1" applyBorder="1" applyAlignment="1" applyProtection="1">
      <alignment horizontal="center" vertical="center"/>
      <protection locked="0"/>
    </xf>
    <xf numFmtId="0" fontId="12" fillId="15" borderId="3" xfId="4" applyFont="1" applyFill="1" applyBorder="1" applyAlignment="1" applyProtection="1">
      <alignment horizontal="center" vertical="center"/>
      <protection locked="0"/>
    </xf>
    <xf numFmtId="165" fontId="2" fillId="15" borderId="3" xfId="4" applyNumberFormat="1" applyFill="1" applyBorder="1" applyAlignment="1" applyProtection="1">
      <alignment horizontal="center" vertical="center"/>
      <protection locked="0"/>
    </xf>
    <xf numFmtId="0" fontId="2" fillId="15" borderId="3" xfId="4" applyFill="1" applyBorder="1" applyAlignment="1" applyProtection="1">
      <alignment horizontal="center" vertical="center"/>
      <protection locked="0"/>
    </xf>
    <xf numFmtId="1" fontId="2" fillId="15" borderId="3" xfId="4" quotePrefix="1" applyNumberFormat="1" applyFill="1" applyBorder="1" applyAlignment="1" applyProtection="1">
      <alignment horizontal="center" vertical="center"/>
      <protection locked="0"/>
    </xf>
    <xf numFmtId="164" fontId="2" fillId="15" borderId="3" xfId="4" applyNumberFormat="1" applyFill="1" applyBorder="1" applyAlignment="1" applyProtection="1">
      <alignment horizontal="center" vertical="center"/>
      <protection locked="0"/>
    </xf>
    <xf numFmtId="164" fontId="2" fillId="15" borderId="3" xfId="4" quotePrefix="1" applyNumberFormat="1" applyFill="1" applyBorder="1" applyAlignment="1" applyProtection="1">
      <alignment horizontal="center" vertical="center"/>
      <protection locked="0"/>
    </xf>
    <xf numFmtId="0" fontId="2" fillId="15" borderId="31" xfId="4" applyFill="1" applyBorder="1" applyProtection="1">
      <protection locked="0"/>
    </xf>
    <xf numFmtId="0" fontId="2" fillId="15" borderId="27" xfId="4" applyFill="1" applyBorder="1" applyProtection="1">
      <protection locked="0"/>
    </xf>
    <xf numFmtId="0" fontId="6" fillId="15" borderId="0" xfId="4" applyFont="1" applyFill="1" applyAlignment="1" applyProtection="1">
      <alignment vertical="center"/>
      <protection locked="0"/>
    </xf>
    <xf numFmtId="0" fontId="2" fillId="15" borderId="3" xfId="4" applyFill="1" applyBorder="1" applyAlignment="1" applyProtection="1">
      <alignment horizontal="right" vertical="center"/>
      <protection locked="0"/>
    </xf>
    <xf numFmtId="0" fontId="73" fillId="15" borderId="31" xfId="4" applyFont="1" applyFill="1" applyBorder="1" applyAlignment="1" applyProtection="1">
      <alignment horizontal="center" vertical="center" wrapText="1"/>
      <protection locked="0"/>
    </xf>
    <xf numFmtId="0" fontId="2" fillId="15" borderId="0" xfId="4" applyFill="1" applyAlignment="1" applyProtection="1">
      <alignment horizontal="center" vertical="center"/>
      <protection locked="0"/>
    </xf>
    <xf numFmtId="164" fontId="2" fillId="15" borderId="0" xfId="4" applyNumberFormat="1" applyFill="1" applyAlignment="1" applyProtection="1">
      <alignment horizontal="center" vertical="center"/>
      <protection locked="0"/>
    </xf>
    <xf numFmtId="0" fontId="73" fillId="15" borderId="0" xfId="4" applyFont="1" applyFill="1" applyAlignment="1" applyProtection="1">
      <alignment horizontal="center" vertical="center" wrapText="1"/>
      <protection locked="0"/>
    </xf>
    <xf numFmtId="0" fontId="2" fillId="15" borderId="0" xfId="4" applyFill="1" applyAlignment="1" applyProtection="1">
      <alignment horizontal="right" vertical="center"/>
      <protection locked="0"/>
    </xf>
    <xf numFmtId="0" fontId="2" fillId="15" borderId="3" xfId="4" quotePrefix="1" applyFill="1" applyBorder="1" applyAlignment="1" applyProtection="1">
      <alignment horizontal="center" vertical="center"/>
      <protection locked="0"/>
    </xf>
    <xf numFmtId="165" fontId="2" fillId="15" borderId="3" xfId="4" quotePrefix="1" applyNumberFormat="1" applyFill="1" applyBorder="1" applyAlignment="1" applyProtection="1">
      <alignment horizontal="center" vertical="center"/>
      <protection locked="0"/>
    </xf>
    <xf numFmtId="0" fontId="6" fillId="15" borderId="3" xfId="4" applyFont="1" applyFill="1" applyBorder="1" applyAlignment="1">
      <alignment horizontal="center" vertical="center"/>
    </xf>
    <xf numFmtId="0" fontId="33" fillId="2" borderId="29" xfId="4" applyFont="1" applyFill="1" applyBorder="1"/>
    <xf numFmtId="0" fontId="6" fillId="2" borderId="3" xfId="4" applyFont="1" applyFill="1" applyBorder="1" applyAlignment="1">
      <alignment horizontal="center" vertical="center"/>
    </xf>
    <xf numFmtId="0" fontId="33" fillId="15" borderId="3" xfId="4" applyFont="1" applyFill="1" applyBorder="1" applyAlignment="1">
      <alignment horizontal="center" vertical="center"/>
    </xf>
    <xf numFmtId="0" fontId="2" fillId="15" borderId="3" xfId="4" applyFill="1" applyBorder="1" applyAlignment="1">
      <alignment horizontal="center" vertical="center"/>
    </xf>
    <xf numFmtId="0" fontId="12" fillId="15" borderId="3" xfId="4" applyFont="1" applyFill="1" applyBorder="1" applyAlignment="1">
      <alignment horizontal="center" vertical="center"/>
    </xf>
    <xf numFmtId="2" fontId="12" fillId="15" borderId="3" xfId="4" applyNumberFormat="1" applyFont="1" applyFill="1" applyBorder="1" applyAlignment="1">
      <alignment horizontal="center" vertical="center"/>
    </xf>
    <xf numFmtId="2" fontId="2" fillId="15" borderId="3" xfId="4" applyNumberFormat="1" applyFill="1" applyBorder="1" applyAlignment="1">
      <alignment horizontal="center"/>
    </xf>
    <xf numFmtId="1" fontId="12" fillId="15" borderId="3" xfId="4" applyNumberFormat="1" applyFont="1" applyFill="1" applyBorder="1" applyAlignment="1">
      <alignment horizontal="center" vertical="center"/>
    </xf>
    <xf numFmtId="2" fontId="3" fillId="15" borderId="3" xfId="4" applyNumberFormat="1" applyFont="1" applyFill="1" applyBorder="1" applyAlignment="1">
      <alignment horizontal="center" vertical="center"/>
    </xf>
    <xf numFmtId="1" fontId="2" fillId="15" borderId="3" xfId="4" applyNumberFormat="1" applyFill="1" applyBorder="1" applyAlignment="1">
      <alignment horizontal="center" vertical="center"/>
    </xf>
    <xf numFmtId="2" fontId="2" fillId="15" borderId="3" xfId="4" applyNumberFormat="1" applyFill="1" applyBorder="1" applyAlignment="1">
      <alignment horizontal="center" vertical="center"/>
    </xf>
    <xf numFmtId="2" fontId="2" fillId="15" borderId="3" xfId="4" quotePrefix="1" applyNumberFormat="1" applyFill="1" applyBorder="1" applyAlignment="1">
      <alignment horizontal="center" vertical="center"/>
    </xf>
    <xf numFmtId="0" fontId="2" fillId="0" borderId="27" xfId="4" applyBorder="1"/>
    <xf numFmtId="0" fontId="33" fillId="2" borderId="0" xfId="4" applyFont="1" applyFill="1" applyAlignment="1">
      <alignment horizontal="center"/>
    </xf>
    <xf numFmtId="0" fontId="90" fillId="2" borderId="24" xfId="4" applyFont="1" applyFill="1" applyBorder="1" applyAlignment="1">
      <alignment horizontal="center" vertical="center"/>
    </xf>
    <xf numFmtId="0" fontId="9" fillId="2" borderId="8" xfId="4" applyFont="1" applyFill="1" applyBorder="1" applyAlignment="1">
      <alignment horizontal="center" vertical="center"/>
    </xf>
    <xf numFmtId="0" fontId="9" fillId="2" borderId="3" xfId="4" applyFont="1" applyFill="1" applyBorder="1" applyAlignment="1">
      <alignment horizontal="center" vertical="center"/>
    </xf>
    <xf numFmtId="0" fontId="6" fillId="2" borderId="25" xfId="4" applyFont="1" applyFill="1" applyBorder="1" applyAlignment="1">
      <alignment horizontal="center" vertical="center"/>
    </xf>
    <xf numFmtId="2" fontId="9" fillId="2" borderId="8" xfId="4" applyNumberFormat="1" applyFont="1" applyFill="1" applyBorder="1" applyAlignment="1">
      <alignment horizontal="center" vertical="center"/>
    </xf>
    <xf numFmtId="164" fontId="9" fillId="2" borderId="3" xfId="4" applyNumberFormat="1" applyFont="1" applyFill="1" applyBorder="1" applyAlignment="1">
      <alignment horizontal="center" vertical="center"/>
    </xf>
    <xf numFmtId="2" fontId="9" fillId="2" borderId="9" xfId="4" applyNumberFormat="1" applyFont="1" applyFill="1" applyBorder="1" applyAlignment="1">
      <alignment horizontal="center" vertical="center"/>
    </xf>
    <xf numFmtId="165" fontId="2" fillId="3" borderId="24" xfId="4" applyNumberFormat="1" applyFill="1" applyBorder="1" applyAlignment="1">
      <alignment horizontal="center" vertical="center" wrapText="1"/>
    </xf>
    <xf numFmtId="2" fontId="3" fillId="0" borderId="43" xfId="4" applyNumberFormat="1" applyFont="1" applyBorder="1" applyAlignment="1">
      <alignment horizontal="center" vertical="center"/>
    </xf>
    <xf numFmtId="165" fontId="91" fillId="0" borderId="26" xfId="4" applyNumberFormat="1" applyFont="1" applyBorder="1" applyAlignment="1">
      <alignment horizontal="center" vertical="center"/>
    </xf>
    <xf numFmtId="1" fontId="12" fillId="2" borderId="8" xfId="4" applyNumberFormat="1" applyFont="1" applyFill="1" applyBorder="1" applyAlignment="1">
      <alignment horizontal="center" vertical="center"/>
    </xf>
    <xf numFmtId="2" fontId="12" fillId="2" borderId="3" xfId="4" applyNumberFormat="1" applyFont="1" applyFill="1" applyBorder="1" applyAlignment="1">
      <alignment horizontal="center" vertical="center"/>
    </xf>
    <xf numFmtId="2" fontId="12" fillId="2" borderId="9" xfId="4" applyNumberFormat="1" applyFont="1" applyFill="1" applyBorder="1" applyAlignment="1">
      <alignment horizontal="center" vertical="center"/>
    </xf>
    <xf numFmtId="1" fontId="2" fillId="3" borderId="8" xfId="4" applyNumberFormat="1" applyFill="1" applyBorder="1" applyAlignment="1">
      <alignment horizontal="center" vertical="center" wrapText="1"/>
    </xf>
    <xf numFmtId="164" fontId="91" fillId="0" borderId="4" xfId="4" applyNumberFormat="1" applyFont="1" applyBorder="1" applyAlignment="1">
      <alignment horizontal="center" vertical="center"/>
    </xf>
    <xf numFmtId="164" fontId="91" fillId="0" borderId="45" xfId="4" applyNumberFormat="1" applyFont="1" applyBorder="1" applyAlignment="1">
      <alignment horizontal="center" vertical="center"/>
    </xf>
    <xf numFmtId="1" fontId="2" fillId="2" borderId="8" xfId="4" applyNumberFormat="1" applyFill="1" applyBorder="1" applyAlignment="1">
      <alignment horizontal="center" vertical="center"/>
    </xf>
    <xf numFmtId="2" fontId="2" fillId="2" borderId="3" xfId="4" applyNumberFormat="1" applyFill="1" applyBorder="1" applyAlignment="1">
      <alignment horizontal="center" vertical="center"/>
    </xf>
    <xf numFmtId="2" fontId="2" fillId="2" borderId="9" xfId="4" applyNumberFormat="1" applyFill="1" applyBorder="1" applyAlignment="1">
      <alignment horizontal="center" vertical="center"/>
    </xf>
    <xf numFmtId="165" fontId="2" fillId="3" borderId="8" xfId="4" applyNumberFormat="1" applyFill="1" applyBorder="1" applyAlignment="1">
      <alignment horizontal="center" vertical="center" wrapText="1"/>
    </xf>
    <xf numFmtId="167" fontId="3" fillId="0" borderId="4" xfId="4" applyNumberFormat="1" applyFont="1" applyBorder="1" applyAlignment="1">
      <alignment horizontal="center" vertical="center"/>
    </xf>
    <xf numFmtId="167" fontId="91" fillId="0" borderId="45" xfId="4" applyNumberFormat="1" applyFont="1" applyBorder="1" applyAlignment="1">
      <alignment horizontal="center" vertical="center"/>
    </xf>
    <xf numFmtId="0" fontId="2" fillId="2" borderId="0" xfId="4" applyFill="1" applyAlignment="1">
      <alignment horizontal="center" vertical="center"/>
    </xf>
    <xf numFmtId="167" fontId="3" fillId="0" borderId="46" xfId="4" applyNumberFormat="1" applyFont="1" applyBorder="1" applyAlignment="1">
      <alignment horizontal="center" vertical="center"/>
    </xf>
    <xf numFmtId="2" fontId="91" fillId="0" borderId="47" xfId="4" applyNumberFormat="1" applyFont="1" applyBorder="1" applyAlignment="1">
      <alignment horizontal="center" vertical="center"/>
    </xf>
    <xf numFmtId="2" fontId="92" fillId="2" borderId="0" xfId="4" applyNumberFormat="1" applyFont="1" applyFill="1" applyAlignment="1">
      <alignment horizontal="center" vertical="center" wrapText="1"/>
    </xf>
    <xf numFmtId="2" fontId="93" fillId="2" borderId="0" xfId="4" applyNumberFormat="1" applyFont="1" applyFill="1" applyAlignment="1">
      <alignment horizontal="center" vertical="center"/>
    </xf>
    <xf numFmtId="2" fontId="89" fillId="2" borderId="27" xfId="4" applyNumberFormat="1" applyFont="1" applyFill="1" applyBorder="1" applyAlignment="1">
      <alignment horizontal="center" vertical="center"/>
    </xf>
    <xf numFmtId="1" fontId="2" fillId="2" borderId="11" xfId="4" applyNumberFormat="1" applyFill="1" applyBorder="1" applyAlignment="1">
      <alignment horizontal="center" vertical="center"/>
    </xf>
    <xf numFmtId="2" fontId="2" fillId="2" borderId="12" xfId="4" applyNumberFormat="1" applyFill="1" applyBorder="1" applyAlignment="1">
      <alignment horizontal="center" vertical="center"/>
    </xf>
    <xf numFmtId="2" fontId="2" fillId="2" borderId="13" xfId="4" applyNumberFormat="1" applyFill="1" applyBorder="1" applyAlignment="1">
      <alignment horizontal="center" vertical="center"/>
    </xf>
    <xf numFmtId="2" fontId="94" fillId="2" borderId="27" xfId="4" applyNumberFormat="1" applyFont="1" applyFill="1" applyBorder="1" applyAlignment="1">
      <alignment horizontal="center" vertical="center"/>
    </xf>
    <xf numFmtId="0" fontId="6" fillId="2" borderId="26" xfId="4" applyFont="1" applyFill="1" applyBorder="1" applyAlignment="1">
      <alignment horizontal="center" vertical="center"/>
    </xf>
    <xf numFmtId="164" fontId="9" fillId="2" borderId="8" xfId="4" applyNumberFormat="1" applyFont="1" applyFill="1" applyBorder="1" applyAlignment="1">
      <alignment horizontal="center" vertical="center"/>
    </xf>
    <xf numFmtId="164" fontId="9" fillId="2" borderId="9" xfId="4" applyNumberFormat="1" applyFont="1" applyFill="1" applyBorder="1" applyAlignment="1">
      <alignment horizontal="center" vertical="center"/>
    </xf>
    <xf numFmtId="165" fontId="2" fillId="0" borderId="0" xfId="4" applyNumberFormat="1"/>
    <xf numFmtId="0" fontId="6" fillId="2" borderId="9" xfId="4" applyFont="1" applyFill="1" applyBorder="1" applyAlignment="1">
      <alignment horizontal="center" vertical="center"/>
    </xf>
    <xf numFmtId="0" fontId="2" fillId="2" borderId="8" xfId="4" applyFill="1" applyBorder="1" applyAlignment="1">
      <alignment horizontal="center" vertical="center"/>
    </xf>
    <xf numFmtId="0" fontId="92" fillId="2" borderId="0" xfId="4" applyFont="1" applyFill="1"/>
    <xf numFmtId="0" fontId="92" fillId="2" borderId="27" xfId="4" applyFont="1" applyFill="1" applyBorder="1"/>
    <xf numFmtId="2" fontId="92" fillId="2" borderId="0" xfId="4" applyNumberFormat="1" applyFont="1" applyFill="1" applyAlignment="1">
      <alignment horizontal="center" vertical="center"/>
    </xf>
    <xf numFmtId="165" fontId="9" fillId="2" borderId="8" xfId="4" applyNumberFormat="1" applyFont="1" applyFill="1" applyBorder="1" applyAlignment="1">
      <alignment horizontal="center" vertical="center"/>
    </xf>
    <xf numFmtId="2" fontId="9" fillId="2" borderId="3" xfId="4" applyNumberFormat="1" applyFont="1" applyFill="1" applyBorder="1" applyAlignment="1">
      <alignment horizontal="center" vertical="center"/>
    </xf>
    <xf numFmtId="0" fontId="2" fillId="2" borderId="27" xfId="4" applyFill="1" applyBorder="1"/>
    <xf numFmtId="0" fontId="9" fillId="2" borderId="11" xfId="4" applyFont="1" applyFill="1" applyBorder="1" applyAlignment="1">
      <alignment horizontal="center" vertical="center"/>
    </xf>
    <xf numFmtId="0" fontId="9" fillId="2" borderId="12" xfId="4" applyFont="1" applyFill="1" applyBorder="1" applyAlignment="1">
      <alignment horizontal="center" vertical="center"/>
    </xf>
    <xf numFmtId="0" fontId="70" fillId="2" borderId="0" xfId="4" applyFont="1" applyFill="1"/>
    <xf numFmtId="0" fontId="70" fillId="0" borderId="0" xfId="4" applyFont="1"/>
    <xf numFmtId="0" fontId="2" fillId="2" borderId="11" xfId="4" applyFill="1" applyBorder="1" applyAlignment="1">
      <alignment horizontal="center" vertical="center"/>
    </xf>
    <xf numFmtId="0" fontId="9" fillId="2" borderId="27" xfId="4" applyFont="1" applyFill="1" applyBorder="1" applyAlignment="1">
      <alignment horizontal="center" vertical="center"/>
    </xf>
    <xf numFmtId="0" fontId="9" fillId="0" borderId="0" xfId="4" applyFont="1" applyAlignment="1">
      <alignment horizontal="center" vertical="center"/>
    </xf>
    <xf numFmtId="2" fontId="9" fillId="2" borderId="27" xfId="4" applyNumberFormat="1" applyFont="1" applyFill="1" applyBorder="1" applyAlignment="1">
      <alignment horizontal="center" vertical="center"/>
    </xf>
    <xf numFmtId="2" fontId="9" fillId="0" borderId="0" xfId="4" applyNumberFormat="1" applyFont="1" applyAlignment="1">
      <alignment horizontal="center" vertical="center"/>
    </xf>
    <xf numFmtId="0" fontId="2" fillId="2" borderId="9" xfId="4" applyFill="1" applyBorder="1" applyAlignment="1">
      <alignment horizontal="center" vertical="center"/>
    </xf>
    <xf numFmtId="0" fontId="81" fillId="3" borderId="0" xfId="4" applyFont="1" applyFill="1" applyAlignment="1">
      <alignment horizontal="center" vertical="center"/>
    </xf>
    <xf numFmtId="2" fontId="81" fillId="3" borderId="0" xfId="4" applyNumberFormat="1" applyFont="1" applyFill="1" applyAlignment="1">
      <alignment horizontal="center" vertical="center"/>
    </xf>
    <xf numFmtId="0" fontId="2" fillId="2" borderId="13" xfId="4" applyFill="1" applyBorder="1" applyAlignment="1">
      <alignment horizontal="center" vertical="center"/>
    </xf>
    <xf numFmtId="0" fontId="12" fillId="2" borderId="8" xfId="4" applyFont="1" applyFill="1" applyBorder="1" applyAlignment="1">
      <alignment horizontal="center" vertical="center"/>
    </xf>
    <xf numFmtId="164" fontId="12" fillId="2" borderId="3" xfId="4" applyNumberFormat="1" applyFont="1" applyFill="1" applyBorder="1" applyAlignment="1">
      <alignment horizontal="center" vertical="center"/>
    </xf>
    <xf numFmtId="173" fontId="12" fillId="2" borderId="3" xfId="4" applyNumberFormat="1" applyFont="1" applyFill="1" applyBorder="1" applyAlignment="1">
      <alignment horizontal="center" vertical="center"/>
    </xf>
    <xf numFmtId="0" fontId="12" fillId="2" borderId="9" xfId="4" applyFont="1" applyFill="1" applyBorder="1" applyAlignment="1">
      <alignment horizontal="center" vertical="center"/>
    </xf>
    <xf numFmtId="0" fontId="12" fillId="2" borderId="11" xfId="4" applyFont="1" applyFill="1" applyBorder="1" applyAlignment="1">
      <alignment horizontal="center" vertical="center"/>
    </xf>
    <xf numFmtId="0" fontId="12" fillId="2" borderId="12" xfId="4" applyFont="1" applyFill="1" applyBorder="1" applyAlignment="1">
      <alignment horizontal="center" vertical="center"/>
    </xf>
    <xf numFmtId="164" fontId="12" fillId="2" borderId="12" xfId="4" applyNumberFormat="1" applyFont="1" applyFill="1" applyBorder="1" applyAlignment="1">
      <alignment horizontal="center" vertical="center"/>
    </xf>
    <xf numFmtId="0" fontId="12" fillId="2" borderId="13" xfId="4" applyFont="1" applyFill="1" applyBorder="1" applyAlignment="1">
      <alignment horizontal="center" vertical="center"/>
    </xf>
    <xf numFmtId="0" fontId="81" fillId="3" borderId="38" xfId="4" applyFont="1" applyFill="1" applyBorder="1" applyAlignment="1">
      <alignment horizontal="center" vertical="center"/>
    </xf>
    <xf numFmtId="2" fontId="81" fillId="3" borderId="38" xfId="4" applyNumberFormat="1" applyFont="1" applyFill="1" applyBorder="1" applyAlignment="1">
      <alignment horizontal="center" vertical="center"/>
    </xf>
    <xf numFmtId="0" fontId="2" fillId="2" borderId="39" xfId="4" applyFill="1" applyBorder="1"/>
    <xf numFmtId="0" fontId="41" fillId="0" borderId="34" xfId="4" applyFont="1" applyBorder="1" applyProtection="1">
      <protection locked="0"/>
    </xf>
    <xf numFmtId="0" fontId="41" fillId="0" borderId="5" xfId="4" applyFont="1" applyBorder="1" applyAlignment="1" applyProtection="1">
      <alignment horizontal="center" vertical="center"/>
      <protection locked="0"/>
    </xf>
    <xf numFmtId="0" fontId="41" fillId="0" borderId="5" xfId="4" applyFont="1" applyBorder="1" applyAlignment="1" applyProtection="1">
      <alignment vertical="center"/>
      <protection locked="0"/>
    </xf>
    <xf numFmtId="0" fontId="41" fillId="0" borderId="3" xfId="4" applyFont="1" applyBorder="1" applyAlignment="1" applyProtection="1">
      <alignment vertical="center"/>
      <protection locked="0"/>
    </xf>
    <xf numFmtId="0" fontId="41" fillId="0" borderId="9" xfId="4" applyFont="1" applyBorder="1" applyAlignment="1" applyProtection="1">
      <alignment horizontal="center" vertical="center"/>
      <protection locked="0"/>
    </xf>
    <xf numFmtId="0" fontId="41" fillId="0" borderId="8" xfId="4" applyFont="1" applyBorder="1" applyAlignment="1" applyProtection="1">
      <alignment horizontal="center" vertical="center"/>
      <protection locked="0"/>
    </xf>
    <xf numFmtId="0" fontId="41" fillId="0" borderId="4" xfId="4" applyFont="1" applyBorder="1" applyProtection="1">
      <protection locked="0"/>
    </xf>
    <xf numFmtId="0" fontId="41" fillId="0" borderId="5" xfId="4" applyFont="1" applyBorder="1" applyProtection="1">
      <protection locked="0"/>
    </xf>
    <xf numFmtId="0" fontId="41" fillId="0" borderId="61" xfId="4" applyFont="1" applyBorder="1" applyProtection="1">
      <protection locked="0"/>
    </xf>
    <xf numFmtId="0" fontId="41" fillId="0" borderId="37" xfId="4" applyFont="1" applyBorder="1" applyProtection="1">
      <protection locked="0"/>
    </xf>
    <xf numFmtId="0" fontId="41" fillId="0" borderId="38" xfId="4" applyFont="1" applyBorder="1" applyProtection="1">
      <protection locked="0"/>
    </xf>
    <xf numFmtId="0" fontId="41" fillId="0" borderId="39" xfId="4" applyFont="1" applyBorder="1" applyProtection="1">
      <protection locked="0"/>
    </xf>
    <xf numFmtId="0" fontId="42" fillId="0" borderId="35" xfId="4" applyFont="1" applyBorder="1" applyAlignment="1" applyProtection="1">
      <alignment horizontal="center"/>
      <protection locked="0"/>
    </xf>
    <xf numFmtId="0" fontId="42" fillId="0" borderId="63" xfId="4" applyFont="1" applyBorder="1" applyAlignment="1" applyProtection="1">
      <alignment horizontal="center"/>
      <protection locked="0"/>
    </xf>
    <xf numFmtId="0" fontId="42" fillId="0" borderId="64" xfId="4" applyFont="1" applyBorder="1" applyAlignment="1" applyProtection="1">
      <alignment horizontal="center"/>
      <protection locked="0"/>
    </xf>
    <xf numFmtId="0" fontId="81" fillId="3" borderId="0" xfId="4" applyFont="1" applyFill="1" applyAlignment="1">
      <alignment horizontal="center" vertical="center" wrapText="1"/>
    </xf>
    <xf numFmtId="0" fontId="6" fillId="2" borderId="24" xfId="4" applyFont="1" applyFill="1" applyBorder="1" applyAlignment="1">
      <alignment horizontal="center" vertical="center" wrapText="1"/>
    </xf>
    <xf numFmtId="0" fontId="6" fillId="2" borderId="25" xfId="4" applyFont="1" applyFill="1" applyBorder="1" applyAlignment="1">
      <alignment horizontal="center" vertical="center" wrapText="1"/>
    </xf>
    <xf numFmtId="0" fontId="41" fillId="0" borderId="14" xfId="4" applyFont="1" applyBorder="1" applyAlignment="1" applyProtection="1">
      <alignment horizontal="center"/>
      <protection locked="0"/>
    </xf>
    <xf numFmtId="0" fontId="41" fillId="0" borderId="15" xfId="4" applyFont="1" applyBorder="1" applyAlignment="1" applyProtection="1">
      <alignment horizontal="center"/>
      <protection locked="0"/>
    </xf>
    <xf numFmtId="0" fontId="41" fillId="0" borderId="16" xfId="4" applyFont="1" applyBorder="1" applyAlignment="1" applyProtection="1">
      <alignment horizontal="center"/>
      <protection locked="0"/>
    </xf>
    <xf numFmtId="0" fontId="9" fillId="0" borderId="8" xfId="4" applyFont="1" applyBorder="1" applyAlignment="1">
      <alignment horizontal="center" vertical="center" wrapText="1"/>
    </xf>
    <xf numFmtId="0" fontId="9" fillId="0" borderId="3" xfId="4" applyFont="1" applyBorder="1" applyAlignment="1">
      <alignment horizontal="center" vertical="center" wrapText="1"/>
    </xf>
    <xf numFmtId="0" fontId="9" fillId="0" borderId="9" xfId="4" applyFont="1" applyBorder="1" applyAlignment="1">
      <alignment horizontal="center" vertical="center" wrapText="1"/>
    </xf>
    <xf numFmtId="0" fontId="90" fillId="2" borderId="25" xfId="4" applyFont="1" applyFill="1" applyBorder="1" applyAlignment="1">
      <alignment horizontal="left" vertical="center" wrapText="1"/>
    </xf>
    <xf numFmtId="0" fontId="90" fillId="2" borderId="26" xfId="4" applyFont="1" applyFill="1" applyBorder="1" applyAlignment="1">
      <alignment horizontal="left" vertical="center" wrapText="1"/>
    </xf>
    <xf numFmtId="0" fontId="9" fillId="0" borderId="24" xfId="4" applyFont="1" applyBorder="1" applyAlignment="1">
      <alignment horizontal="center" vertical="center"/>
    </xf>
    <xf numFmtId="0" fontId="9" fillId="0" borderId="25" xfId="4" applyFont="1" applyBorder="1" applyAlignment="1">
      <alignment horizontal="center" vertical="center"/>
    </xf>
    <xf numFmtId="0" fontId="9" fillId="0" borderId="26" xfId="4" applyFont="1" applyBorder="1" applyAlignment="1">
      <alignment horizontal="center" vertical="center"/>
    </xf>
    <xf numFmtId="0" fontId="68" fillId="2" borderId="24" xfId="4" applyFont="1" applyFill="1" applyBorder="1" applyAlignment="1">
      <alignment horizontal="center" vertical="center" wrapText="1"/>
    </xf>
    <xf numFmtId="0" fontId="68" fillId="2" borderId="8" xfId="4" applyFont="1" applyFill="1" applyBorder="1" applyAlignment="1">
      <alignment horizontal="center" vertical="center" wrapText="1"/>
    </xf>
    <xf numFmtId="0" fontId="68" fillId="2" borderId="60" xfId="4" applyFont="1" applyFill="1" applyBorder="1" applyAlignment="1">
      <alignment horizontal="center" vertical="center" wrapText="1"/>
    </xf>
    <xf numFmtId="0" fontId="68" fillId="2" borderId="43" xfId="4" applyFont="1" applyFill="1" applyBorder="1" applyAlignment="1">
      <alignment horizontal="center" vertical="center" wrapText="1"/>
    </xf>
    <xf numFmtId="0" fontId="68" fillId="2" borderId="4" xfId="4" applyFont="1" applyFill="1" applyBorder="1" applyAlignment="1">
      <alignment horizontal="center" vertical="center" wrapText="1"/>
    </xf>
    <xf numFmtId="0" fontId="68" fillId="2" borderId="17" xfId="4" applyFont="1" applyFill="1" applyBorder="1" applyAlignment="1">
      <alignment horizontal="center" vertical="center" wrapText="1"/>
    </xf>
    <xf numFmtId="0" fontId="6" fillId="2" borderId="33" xfId="4" applyFont="1" applyFill="1" applyBorder="1" applyAlignment="1">
      <alignment horizontal="center" vertical="center" wrapText="1"/>
    </xf>
    <xf numFmtId="0" fontId="6" fillId="2" borderId="44" xfId="4" applyFont="1" applyFill="1" applyBorder="1" applyAlignment="1">
      <alignment horizontal="center" vertical="center" wrapText="1"/>
    </xf>
    <xf numFmtId="0" fontId="33" fillId="2" borderId="60" xfId="4" applyFont="1" applyFill="1" applyBorder="1" applyAlignment="1">
      <alignment horizontal="center" vertical="center" wrapText="1"/>
    </xf>
    <xf numFmtId="0" fontId="33" fillId="2" borderId="7" xfId="4" applyFont="1" applyFill="1" applyBorder="1" applyAlignment="1">
      <alignment horizontal="center" vertical="center" wrapText="1"/>
    </xf>
    <xf numFmtId="0" fontId="33" fillId="2" borderId="50" xfId="4" applyFont="1" applyFill="1" applyBorder="1" applyAlignment="1">
      <alignment horizontal="center" vertical="center" wrapText="1"/>
    </xf>
    <xf numFmtId="0" fontId="6" fillId="2" borderId="24" xfId="4" applyFont="1" applyFill="1" applyBorder="1" applyAlignment="1">
      <alignment horizontal="center" vertical="center"/>
    </xf>
    <xf numFmtId="0" fontId="6" fillId="2" borderId="25" xfId="4" applyFont="1" applyFill="1" applyBorder="1" applyAlignment="1">
      <alignment horizontal="center" vertical="center"/>
    </xf>
    <xf numFmtId="0" fontId="6" fillId="2" borderId="62" xfId="4" applyFont="1" applyFill="1" applyBorder="1" applyAlignment="1">
      <alignment horizontal="center" vertical="center"/>
    </xf>
    <xf numFmtId="0" fontId="6" fillId="2" borderId="2" xfId="4" applyFont="1" applyFill="1" applyBorder="1" applyAlignment="1">
      <alignment horizontal="center" vertical="center"/>
    </xf>
    <xf numFmtId="0" fontId="6" fillId="2" borderId="33" xfId="4" applyFont="1" applyFill="1" applyBorder="1" applyAlignment="1">
      <alignment horizontal="center" vertical="center"/>
    </xf>
    <xf numFmtId="0" fontId="6" fillId="2" borderId="45" xfId="4" applyFont="1" applyFill="1" applyBorder="1" applyAlignment="1">
      <alignment horizontal="center" vertical="center"/>
    </xf>
    <xf numFmtId="0" fontId="2" fillId="15" borderId="3" xfId="4" applyFill="1" applyBorder="1" applyAlignment="1">
      <alignment horizontal="center" vertical="center" wrapText="1"/>
    </xf>
    <xf numFmtId="0" fontId="66" fillId="15" borderId="3" xfId="4" applyFont="1" applyFill="1" applyBorder="1" applyAlignment="1">
      <alignment horizontal="center" vertical="center" wrapText="1"/>
    </xf>
    <xf numFmtId="0" fontId="33" fillId="15" borderId="3" xfId="4" applyFont="1" applyFill="1" applyBorder="1" applyAlignment="1">
      <alignment horizontal="center" vertical="center"/>
    </xf>
    <xf numFmtId="0" fontId="6" fillId="2" borderId="3" xfId="4" applyFont="1" applyFill="1" applyBorder="1" applyAlignment="1">
      <alignment horizontal="center" vertical="center" wrapText="1"/>
    </xf>
    <xf numFmtId="0" fontId="2" fillId="15" borderId="3" xfId="4" applyFill="1" applyBorder="1" applyAlignment="1">
      <alignment horizontal="center" vertical="center"/>
    </xf>
    <xf numFmtId="0" fontId="6" fillId="15" borderId="3" xfId="4" applyFont="1" applyFill="1" applyBorder="1" applyAlignment="1">
      <alignment horizontal="center" vertical="center"/>
    </xf>
    <xf numFmtId="0" fontId="33" fillId="15" borderId="3" xfId="4" applyFont="1" applyFill="1" applyBorder="1" applyAlignment="1">
      <alignment horizontal="center"/>
    </xf>
    <xf numFmtId="0" fontId="6" fillId="2" borderId="3" xfId="4" applyFont="1" applyFill="1" applyBorder="1" applyAlignment="1">
      <alignment horizontal="center" vertical="center"/>
    </xf>
    <xf numFmtId="0" fontId="6" fillId="15" borderId="3" xfId="4" applyFont="1" applyFill="1" applyBorder="1" applyAlignment="1" applyProtection="1">
      <alignment horizontal="center" vertical="center" wrapText="1"/>
      <protection locked="0"/>
    </xf>
    <xf numFmtId="0" fontId="6" fillId="15" borderId="3" xfId="4" applyFont="1" applyFill="1" applyBorder="1" applyAlignment="1" applyProtection="1">
      <alignment horizontal="center" vertical="center"/>
      <protection locked="0"/>
    </xf>
    <xf numFmtId="0" fontId="73" fillId="9" borderId="40" xfId="4" applyFont="1" applyFill="1" applyBorder="1" applyAlignment="1" applyProtection="1">
      <alignment horizontal="center" vertical="center" wrapText="1"/>
      <protection locked="0"/>
    </xf>
    <xf numFmtId="0" fontId="73" fillId="9" borderId="41" xfId="4" applyFont="1" applyFill="1" applyBorder="1" applyAlignment="1" applyProtection="1">
      <alignment horizontal="center" vertical="center" wrapText="1"/>
      <protection locked="0"/>
    </xf>
    <xf numFmtId="0" fontId="73" fillId="15" borderId="3" xfId="4" applyFont="1" applyFill="1" applyBorder="1" applyAlignment="1" applyProtection="1">
      <alignment horizontal="center" vertical="center" wrapText="1"/>
      <protection locked="0"/>
    </xf>
    <xf numFmtId="0" fontId="66" fillId="15" borderId="3" xfId="4" applyFont="1" applyFill="1" applyBorder="1" applyAlignment="1" applyProtection="1">
      <alignment horizontal="center" vertical="center"/>
      <protection locked="0"/>
    </xf>
    <xf numFmtId="0" fontId="33" fillId="15" borderId="3" xfId="4" applyFont="1" applyFill="1" applyBorder="1" applyAlignment="1" applyProtection="1">
      <alignment horizontal="center"/>
      <protection locked="0"/>
    </xf>
    <xf numFmtId="0" fontId="33" fillId="15" borderId="3" xfId="4" applyFont="1" applyFill="1" applyBorder="1" applyAlignment="1" applyProtection="1">
      <alignment horizontal="center" vertical="center"/>
      <protection locked="0"/>
    </xf>
    <xf numFmtId="0" fontId="32" fillId="9" borderId="28" xfId="4" applyFont="1" applyFill="1" applyBorder="1" applyAlignment="1">
      <alignment horizontal="center" vertical="center"/>
    </xf>
    <xf numFmtId="0" fontId="32" fillId="9" borderId="29" xfId="4" applyFont="1" applyFill="1" applyBorder="1" applyAlignment="1">
      <alignment horizontal="center" vertical="center"/>
    </xf>
    <xf numFmtId="0" fontId="32" fillId="9" borderId="30" xfId="4" applyFont="1" applyFill="1" applyBorder="1" applyAlignment="1">
      <alignment horizontal="center" vertical="center"/>
    </xf>
    <xf numFmtId="0" fontId="63" fillId="2" borderId="0" xfId="0" applyFont="1" applyFill="1" applyAlignment="1" applyProtection="1">
      <alignment horizontal="center"/>
      <protection locked="0"/>
    </xf>
    <xf numFmtId="0" fontId="42" fillId="2" borderId="17" xfId="2" applyFont="1" applyFill="1" applyBorder="1" applyAlignment="1" applyProtection="1">
      <alignment horizontal="center" vertical="center" wrapText="1"/>
      <protection locked="0"/>
    </xf>
    <xf numFmtId="0" fontId="42" fillId="2" borderId="19" xfId="2" applyFont="1" applyFill="1" applyBorder="1" applyAlignment="1" applyProtection="1">
      <alignment horizontal="center" vertical="center" wrapText="1"/>
      <protection locked="0"/>
    </xf>
    <xf numFmtId="0" fontId="42" fillId="2" borderId="20" xfId="2" applyFont="1" applyFill="1" applyBorder="1" applyAlignment="1" applyProtection="1">
      <alignment horizontal="center" vertical="center" wrapText="1"/>
      <protection locked="0"/>
    </xf>
    <xf numFmtId="0" fontId="42" fillId="2" borderId="21" xfId="2" applyFont="1" applyFill="1" applyBorder="1" applyAlignment="1" applyProtection="1">
      <alignment horizontal="center" vertical="center" wrapText="1"/>
      <protection locked="0"/>
    </xf>
    <xf numFmtId="0" fontId="42" fillId="2" borderId="17" xfId="0" applyFont="1" applyFill="1" applyBorder="1" applyAlignment="1" applyProtection="1">
      <alignment horizontal="center" vertical="center"/>
      <protection locked="0"/>
    </xf>
    <xf numFmtId="0" fontId="42" fillId="2" borderId="18" xfId="0" applyFont="1" applyFill="1" applyBorder="1" applyAlignment="1" applyProtection="1">
      <alignment horizontal="center" vertical="center"/>
      <protection locked="0"/>
    </xf>
    <xf numFmtId="0" fontId="42" fillId="2" borderId="19" xfId="0" applyFont="1" applyFill="1" applyBorder="1" applyAlignment="1" applyProtection="1">
      <alignment horizontal="center" vertical="center"/>
      <protection locked="0"/>
    </xf>
    <xf numFmtId="0" fontId="42" fillId="2" borderId="20" xfId="0" applyFont="1" applyFill="1" applyBorder="1" applyAlignment="1" applyProtection="1">
      <alignment horizontal="center" vertical="center"/>
      <protection locked="0"/>
    </xf>
    <xf numFmtId="0" fontId="42" fillId="2" borderId="1" xfId="0" applyFont="1" applyFill="1" applyBorder="1" applyAlignment="1" applyProtection="1">
      <alignment horizontal="center" vertical="center"/>
      <protection locked="0"/>
    </xf>
    <xf numFmtId="0" fontId="42" fillId="2" borderId="21" xfId="0" applyFont="1" applyFill="1" applyBorder="1" applyAlignment="1" applyProtection="1">
      <alignment horizontal="center" vertical="center"/>
      <protection locked="0"/>
    </xf>
    <xf numFmtId="0" fontId="41" fillId="2" borderId="4" xfId="0" applyFont="1" applyFill="1" applyBorder="1" applyAlignment="1" applyProtection="1">
      <alignment horizontal="center" vertical="center"/>
      <protection locked="0"/>
    </xf>
    <xf numFmtId="0" fontId="41" fillId="2" borderId="5" xfId="0" applyFont="1" applyFill="1" applyBorder="1" applyAlignment="1" applyProtection="1">
      <alignment horizontal="center" vertical="center"/>
      <protection locked="0"/>
    </xf>
    <xf numFmtId="0" fontId="41" fillId="2" borderId="6" xfId="0" applyFont="1" applyFill="1" applyBorder="1" applyAlignment="1" applyProtection="1">
      <alignment horizontal="center" vertical="center"/>
      <protection locked="0"/>
    </xf>
    <xf numFmtId="0" fontId="41" fillId="2" borderId="3" xfId="0" applyFont="1" applyFill="1" applyBorder="1" applyAlignment="1" applyProtection="1">
      <alignment horizontal="center" vertical="center" wrapText="1"/>
      <protection locked="0"/>
    </xf>
    <xf numFmtId="0" fontId="41" fillId="2" borderId="4" xfId="0" applyFont="1" applyFill="1" applyBorder="1" applyAlignment="1" applyProtection="1">
      <alignment horizontal="left" vertical="center"/>
      <protection locked="0"/>
    </xf>
    <xf numFmtId="0" fontId="41" fillId="2" borderId="5" xfId="0" applyFont="1" applyFill="1" applyBorder="1" applyAlignment="1" applyProtection="1">
      <alignment horizontal="left" vertical="center"/>
      <protection locked="0"/>
    </xf>
    <xf numFmtId="177" fontId="41" fillId="6" borderId="0" xfId="0" quotePrefix="1" applyNumberFormat="1" applyFont="1" applyFill="1" applyAlignment="1" applyProtection="1">
      <alignment horizontal="left"/>
      <protection locked="0"/>
    </xf>
    <xf numFmtId="2" fontId="35" fillId="2" borderId="7" xfId="0" applyNumberFormat="1" applyFont="1" applyFill="1" applyBorder="1" applyAlignment="1">
      <alignment horizontal="center" vertical="center" wrapText="1"/>
    </xf>
    <xf numFmtId="2" fontId="35" fillId="2" borderId="2" xfId="0" applyNumberFormat="1" applyFont="1" applyFill="1" applyBorder="1" applyAlignment="1">
      <alignment horizontal="center" vertical="center" wrapText="1"/>
    </xf>
    <xf numFmtId="2" fontId="35" fillId="2" borderId="3" xfId="0" applyNumberFormat="1" applyFont="1" applyFill="1" applyBorder="1" applyAlignment="1">
      <alignment horizontal="center" vertical="center" wrapText="1"/>
    </xf>
    <xf numFmtId="0" fontId="78" fillId="2" borderId="0" xfId="0" applyFont="1" applyFill="1" applyAlignment="1" applyProtection="1">
      <alignment horizontal="left" vertical="top" wrapText="1"/>
      <protection locked="0"/>
    </xf>
    <xf numFmtId="0" fontId="35" fillId="0" borderId="7" xfId="0" applyFont="1" applyBorder="1" applyAlignment="1">
      <alignment horizontal="center" vertical="center"/>
    </xf>
    <xf numFmtId="0" fontId="35" fillId="0" borderId="10" xfId="0" applyFont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9" xfId="0" applyNumberFormat="1" applyFont="1" applyBorder="1" applyAlignment="1" applyProtection="1">
      <alignment horizontal="left" vertical="center"/>
      <protection locked="0"/>
    </xf>
    <xf numFmtId="0" fontId="41" fillId="6" borderId="0" xfId="0" applyFont="1" applyFill="1" applyAlignment="1" applyProtection="1">
      <alignment horizontal="left"/>
      <protection locked="0"/>
    </xf>
    <xf numFmtId="2" fontId="35" fillId="2" borderId="3" xfId="0" applyNumberFormat="1" applyFont="1" applyFill="1" applyBorder="1" applyAlignment="1">
      <alignment horizontal="center" vertical="center"/>
    </xf>
    <xf numFmtId="2" fontId="35" fillId="2" borderId="7" xfId="0" applyNumberFormat="1" applyFont="1" applyFill="1" applyBorder="1" applyAlignment="1">
      <alignment horizontal="center" vertical="center"/>
    </xf>
    <xf numFmtId="2" fontId="35" fillId="2" borderId="2" xfId="0" applyNumberFormat="1" applyFont="1" applyFill="1" applyBorder="1" applyAlignment="1">
      <alignment horizontal="center" vertical="center"/>
    </xf>
    <xf numFmtId="0" fontId="41" fillId="2" borderId="7" xfId="0" applyFont="1" applyFill="1" applyBorder="1" applyAlignment="1" applyProtection="1">
      <alignment horizontal="center" vertical="center" wrapText="1"/>
      <protection locked="0"/>
    </xf>
    <xf numFmtId="0" fontId="41" fillId="2" borderId="10" xfId="0" applyFont="1" applyFill="1" applyBorder="1" applyAlignment="1" applyProtection="1">
      <alignment horizontal="center" vertical="center" wrapText="1"/>
      <protection locked="0"/>
    </xf>
    <xf numFmtId="0" fontId="41" fillId="2" borderId="2" xfId="0" applyFont="1" applyFill="1" applyBorder="1" applyAlignment="1" applyProtection="1">
      <alignment horizontal="center" vertical="center" wrapText="1"/>
      <protection locked="0"/>
    </xf>
    <xf numFmtId="0" fontId="41" fillId="2" borderId="3" xfId="0" applyFont="1" applyFill="1" applyBorder="1" applyAlignment="1" applyProtection="1">
      <alignment horizontal="center" vertical="center"/>
      <protection locked="0"/>
    </xf>
    <xf numFmtId="0" fontId="41" fillId="2" borderId="0" xfId="0" applyFont="1" applyFill="1" applyAlignment="1" applyProtection="1">
      <alignment horizontal="center"/>
      <protection locked="0"/>
    </xf>
    <xf numFmtId="0" fontId="73" fillId="2" borderId="0" xfId="0" applyFont="1" applyFill="1" applyAlignment="1" applyProtection="1">
      <alignment horizontal="center" vertical="center"/>
      <protection locked="0"/>
    </xf>
    <xf numFmtId="0" fontId="42" fillId="2" borderId="3" xfId="0" applyFont="1" applyFill="1" applyBorder="1" applyAlignment="1" applyProtection="1">
      <alignment horizontal="center" vertical="center"/>
      <protection locked="0"/>
    </xf>
    <xf numFmtId="2" fontId="35" fillId="2" borderId="10" xfId="0" applyNumberFormat="1" applyFont="1" applyFill="1" applyBorder="1" applyAlignment="1">
      <alignment horizontal="center" vertical="center" wrapText="1"/>
    </xf>
    <xf numFmtId="2" fontId="35" fillId="0" borderId="7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2" fontId="35" fillId="2" borderId="4" xfId="0" applyNumberFormat="1" applyFont="1" applyFill="1" applyBorder="1" applyAlignment="1">
      <alignment horizontal="center" vertical="center"/>
    </xf>
    <xf numFmtId="2" fontId="35" fillId="2" borderId="5" xfId="0" applyNumberFormat="1" applyFont="1" applyFill="1" applyBorder="1" applyAlignment="1">
      <alignment horizontal="center" vertical="center"/>
    </xf>
    <xf numFmtId="2" fontId="35" fillId="2" borderId="6" xfId="0" applyNumberFormat="1" applyFont="1" applyFill="1" applyBorder="1" applyAlignment="1">
      <alignment horizontal="center" vertical="center"/>
    </xf>
    <xf numFmtId="2" fontId="35" fillId="2" borderId="19" xfId="0" applyNumberFormat="1" applyFont="1" applyFill="1" applyBorder="1" applyAlignment="1">
      <alignment horizontal="center" vertical="center"/>
    </xf>
    <xf numFmtId="2" fontId="35" fillId="2" borderId="21" xfId="0" applyNumberFormat="1" applyFont="1" applyFill="1" applyBorder="1" applyAlignment="1">
      <alignment horizontal="center" vertical="center"/>
    </xf>
    <xf numFmtId="2" fontId="35" fillId="2" borderId="17" xfId="0" applyNumberFormat="1" applyFont="1" applyFill="1" applyBorder="1" applyAlignment="1">
      <alignment horizontal="center" vertical="center" wrapText="1"/>
    </xf>
    <xf numFmtId="2" fontId="35" fillId="2" borderId="20" xfId="0" applyNumberFormat="1" applyFont="1" applyFill="1" applyBorder="1" applyAlignment="1">
      <alignment horizontal="center" vertical="center" wrapText="1"/>
    </xf>
    <xf numFmtId="0" fontId="42" fillId="2" borderId="3" xfId="0" applyFont="1" applyFill="1" applyBorder="1" applyAlignment="1">
      <alignment horizontal="center" vertical="center"/>
    </xf>
    <xf numFmtId="0" fontId="32" fillId="2" borderId="0" xfId="1" applyFont="1" applyFill="1" applyAlignment="1">
      <alignment horizontal="center" vertical="center"/>
    </xf>
    <xf numFmtId="0" fontId="41" fillId="2" borderId="0" xfId="1" applyFont="1" applyFill="1" applyAlignment="1">
      <alignment horizontal="center" vertical="center"/>
    </xf>
    <xf numFmtId="0" fontId="42" fillId="2" borderId="17" xfId="0" applyFont="1" applyFill="1" applyBorder="1" applyAlignment="1">
      <alignment horizontal="center" vertical="center"/>
    </xf>
    <xf numFmtId="0" fontId="42" fillId="2" borderId="18" xfId="0" applyFont="1" applyFill="1" applyBorder="1" applyAlignment="1">
      <alignment horizontal="center" vertical="center"/>
    </xf>
    <xf numFmtId="0" fontId="42" fillId="2" borderId="19" xfId="0" applyFont="1" applyFill="1" applyBorder="1" applyAlignment="1">
      <alignment horizontal="center" vertical="center"/>
    </xf>
    <xf numFmtId="0" fontId="42" fillId="2" borderId="20" xfId="0" applyFont="1" applyFill="1" applyBorder="1" applyAlignment="1">
      <alignment horizontal="center" vertical="center"/>
    </xf>
    <xf numFmtId="0" fontId="42" fillId="2" borderId="1" xfId="0" applyFont="1" applyFill="1" applyBorder="1" applyAlignment="1">
      <alignment horizontal="center" vertical="center"/>
    </xf>
    <xf numFmtId="0" fontId="42" fillId="2" borderId="21" xfId="0" applyFont="1" applyFill="1" applyBorder="1" applyAlignment="1">
      <alignment horizontal="center" vertical="center"/>
    </xf>
    <xf numFmtId="1" fontId="41" fillId="2" borderId="3" xfId="1" applyNumberFormat="1" applyFont="1" applyFill="1" applyBorder="1" applyAlignment="1">
      <alignment horizontal="center" vertical="center"/>
    </xf>
    <xf numFmtId="169" fontId="41" fillId="2" borderId="17" xfId="1" applyNumberFormat="1" applyFont="1" applyFill="1" applyBorder="1" applyAlignment="1">
      <alignment horizontal="center" vertical="center"/>
    </xf>
    <xf numFmtId="169" fontId="41" fillId="2" borderId="23" xfId="1" applyNumberFormat="1" applyFont="1" applyFill="1" applyBorder="1" applyAlignment="1">
      <alignment horizontal="center" vertical="center"/>
    </xf>
    <xf numFmtId="169" fontId="41" fillId="2" borderId="20" xfId="1" applyNumberFormat="1" applyFont="1" applyFill="1" applyBorder="1" applyAlignment="1">
      <alignment horizontal="center" vertical="center"/>
    </xf>
    <xf numFmtId="0" fontId="42" fillId="2" borderId="17" xfId="2" applyFont="1" applyFill="1" applyBorder="1" applyAlignment="1">
      <alignment horizontal="center" vertical="center" wrapText="1"/>
    </xf>
    <xf numFmtId="0" fontId="42" fillId="2" borderId="19" xfId="2" applyFont="1" applyFill="1" applyBorder="1" applyAlignment="1">
      <alignment horizontal="center" vertical="center" wrapText="1"/>
    </xf>
    <xf numFmtId="0" fontId="42" fillId="2" borderId="23" xfId="2" applyFont="1" applyFill="1" applyBorder="1" applyAlignment="1">
      <alignment horizontal="center" vertical="center" wrapText="1"/>
    </xf>
    <xf numFmtId="0" fontId="42" fillId="2" borderId="52" xfId="2" applyFont="1" applyFill="1" applyBorder="1" applyAlignment="1">
      <alignment horizontal="center" vertical="center" wrapText="1"/>
    </xf>
    <xf numFmtId="0" fontId="42" fillId="2" borderId="4" xfId="1" applyFont="1" applyFill="1" applyBorder="1" applyAlignment="1">
      <alignment horizontal="center" vertical="center" wrapText="1"/>
    </xf>
    <xf numFmtId="0" fontId="42" fillId="2" borderId="6" xfId="1" applyFont="1" applyFill="1" applyBorder="1" applyAlignment="1">
      <alignment horizontal="center" vertical="center" wrapText="1"/>
    </xf>
    <xf numFmtId="177" fontId="41" fillId="2" borderId="0" xfId="1" applyNumberFormat="1" applyFont="1" applyFill="1" applyAlignment="1">
      <alignment horizontal="left" vertical="center"/>
    </xf>
    <xf numFmtId="0" fontId="42" fillId="2" borderId="0" xfId="1" applyFont="1" applyFill="1" applyAlignment="1" applyProtection="1">
      <alignment horizontal="center" vertical="center"/>
      <protection locked="0"/>
    </xf>
    <xf numFmtId="0" fontId="42" fillId="2" borderId="3" xfId="1" applyFont="1" applyFill="1" applyBorder="1" applyAlignment="1">
      <alignment horizontal="center" vertical="center" wrapText="1"/>
    </xf>
    <xf numFmtId="0" fontId="41" fillId="2" borderId="7" xfId="1" applyFont="1" applyFill="1" applyBorder="1" applyAlignment="1">
      <alignment horizontal="center" vertical="center" wrapText="1"/>
    </xf>
    <xf numFmtId="0" fontId="41" fillId="2" borderId="10" xfId="1" applyFont="1" applyFill="1" applyBorder="1" applyAlignment="1">
      <alignment horizontal="center" vertical="center" wrapText="1"/>
    </xf>
    <xf numFmtId="0" fontId="41" fillId="2" borderId="2" xfId="1" applyFont="1" applyFill="1" applyBorder="1" applyAlignment="1">
      <alignment horizontal="center" vertical="center" wrapText="1"/>
    </xf>
    <xf numFmtId="0" fontId="41" fillId="2" borderId="3" xfId="0" applyFont="1" applyFill="1" applyBorder="1" applyAlignment="1">
      <alignment horizontal="center" vertical="center" wrapText="1"/>
    </xf>
    <xf numFmtId="0" fontId="78" fillId="2" borderId="0" xfId="1" applyFont="1" applyFill="1" applyAlignment="1">
      <alignment horizontal="left" vertical="top" wrapText="1"/>
    </xf>
    <xf numFmtId="0" fontId="42" fillId="0" borderId="17" xfId="1" applyFont="1" applyBorder="1" applyAlignment="1">
      <alignment horizontal="center" vertical="center" wrapText="1"/>
    </xf>
    <xf numFmtId="0" fontId="42" fillId="0" borderId="19" xfId="1" applyFont="1" applyBorder="1" applyAlignment="1">
      <alignment horizontal="center" vertical="center" wrapText="1"/>
    </xf>
    <xf numFmtId="0" fontId="42" fillId="0" borderId="20" xfId="1" applyFont="1" applyBorder="1" applyAlignment="1">
      <alignment horizontal="center" vertical="center" wrapText="1"/>
    </xf>
    <xf numFmtId="0" fontId="42" fillId="0" borderId="21" xfId="1" applyFont="1" applyBorder="1" applyAlignment="1">
      <alignment horizontal="center" vertical="center" wrapText="1"/>
    </xf>
    <xf numFmtId="0" fontId="42" fillId="2" borderId="0" xfId="1" applyFont="1" applyFill="1" applyAlignment="1">
      <alignment horizontal="center" vertical="center" wrapText="1"/>
    </xf>
    <xf numFmtId="0" fontId="42" fillId="2" borderId="3" xfId="0" applyFont="1" applyFill="1" applyBorder="1" applyAlignment="1">
      <alignment horizontal="center" vertical="center" wrapText="1"/>
    </xf>
    <xf numFmtId="0" fontId="42" fillId="2" borderId="3" xfId="1" applyFont="1" applyFill="1" applyBorder="1" applyAlignment="1">
      <alignment horizontal="center" vertical="center"/>
    </xf>
    <xf numFmtId="1" fontId="41" fillId="2" borderId="17" xfId="1" applyNumberFormat="1" applyFont="1" applyFill="1" applyBorder="1" applyAlignment="1">
      <alignment horizontal="center" vertical="center"/>
    </xf>
    <xf numFmtId="1" fontId="41" fillId="2" borderId="23" xfId="1" applyNumberFormat="1" applyFont="1" applyFill="1" applyBorder="1" applyAlignment="1">
      <alignment horizontal="center" vertical="center"/>
    </xf>
    <xf numFmtId="1" fontId="41" fillId="2" borderId="20" xfId="1" applyNumberFormat="1" applyFont="1" applyFill="1" applyBorder="1" applyAlignment="1">
      <alignment horizontal="center" vertical="center"/>
    </xf>
    <xf numFmtId="0" fontId="42" fillId="2" borderId="17" xfId="1" applyFont="1" applyFill="1" applyBorder="1" applyAlignment="1">
      <alignment horizontal="center" vertical="center"/>
    </xf>
    <xf numFmtId="0" fontId="42" fillId="2" borderId="20" xfId="1" applyFont="1" applyFill="1" applyBorder="1" applyAlignment="1">
      <alignment horizontal="center" vertical="center"/>
    </xf>
    <xf numFmtId="167" fontId="42" fillId="2" borderId="0" xfId="1" applyNumberFormat="1" applyFont="1" applyFill="1" applyAlignment="1" applyProtection="1">
      <alignment horizontal="center" vertical="center"/>
      <protection locked="0"/>
    </xf>
    <xf numFmtId="0" fontId="41" fillId="2" borderId="3" xfId="1" applyFont="1" applyFill="1" applyBorder="1" applyAlignment="1" applyProtection="1">
      <alignment horizontal="center" vertical="center"/>
      <protection locked="0"/>
    </xf>
    <xf numFmtId="0" fontId="42" fillId="2" borderId="3" xfId="1" applyFont="1" applyFill="1" applyBorder="1" applyAlignment="1" applyProtection="1">
      <alignment horizontal="center" vertical="center"/>
      <protection locked="0"/>
    </xf>
    <xf numFmtId="0" fontId="2" fillId="0" borderId="3" xfId="1" applyBorder="1" applyAlignment="1" applyProtection="1">
      <alignment horizontal="center" vertical="center"/>
      <protection locked="0"/>
    </xf>
    <xf numFmtId="0" fontId="42" fillId="2" borderId="7" xfId="1" applyFont="1" applyFill="1" applyBorder="1" applyAlignment="1">
      <alignment horizontal="center" vertical="center" wrapText="1"/>
    </xf>
    <xf numFmtId="0" fontId="42" fillId="2" borderId="2" xfId="1" applyFont="1" applyFill="1" applyBorder="1" applyAlignment="1">
      <alignment horizontal="center" vertical="center" wrapText="1"/>
    </xf>
    <xf numFmtId="1" fontId="41" fillId="2" borderId="3" xfId="0" applyNumberFormat="1" applyFont="1" applyFill="1" applyBorder="1" applyAlignment="1">
      <alignment horizontal="center" vertical="center"/>
    </xf>
    <xf numFmtId="1" fontId="41" fillId="2" borderId="17" xfId="1" quotePrefix="1" applyNumberFormat="1" applyFont="1" applyFill="1" applyBorder="1" applyAlignment="1">
      <alignment horizontal="center" vertical="center"/>
    </xf>
    <xf numFmtId="1" fontId="41" fillId="2" borderId="23" xfId="1" quotePrefix="1" applyNumberFormat="1" applyFont="1" applyFill="1" applyBorder="1" applyAlignment="1">
      <alignment horizontal="center" vertical="center"/>
    </xf>
    <xf numFmtId="1" fontId="41" fillId="2" borderId="20" xfId="1" quotePrefix="1" applyNumberFormat="1" applyFont="1" applyFill="1" applyBorder="1" applyAlignment="1">
      <alignment horizontal="center" vertical="center"/>
    </xf>
    <xf numFmtId="0" fontId="42" fillId="2" borderId="7" xfId="1" applyFont="1" applyFill="1" applyBorder="1" applyAlignment="1">
      <alignment horizontal="center" vertical="center"/>
    </xf>
    <xf numFmtId="0" fontId="42" fillId="2" borderId="2" xfId="1" applyFont="1" applyFill="1" applyBorder="1" applyAlignment="1">
      <alignment horizontal="center" vertical="center"/>
    </xf>
    <xf numFmtId="0" fontId="41" fillId="2" borderId="0" xfId="1" applyFont="1" applyFill="1" applyAlignment="1">
      <alignment horizontal="left" vertical="top" wrapText="1"/>
    </xf>
    <xf numFmtId="0" fontId="2" fillId="0" borderId="7" xfId="1" applyBorder="1" applyAlignment="1" applyProtection="1">
      <alignment horizontal="center" vertical="center"/>
      <protection locked="0"/>
    </xf>
    <xf numFmtId="0" fontId="2" fillId="0" borderId="10" xfId="1" applyBorder="1" applyAlignment="1" applyProtection="1">
      <alignment horizontal="center" vertical="center"/>
      <protection locked="0"/>
    </xf>
    <xf numFmtId="0" fontId="2" fillId="0" borderId="2" xfId="1" applyBorder="1" applyAlignment="1" applyProtection="1">
      <alignment horizontal="center" vertical="center"/>
      <protection locked="0"/>
    </xf>
    <xf numFmtId="0" fontId="3" fillId="2" borderId="36" xfId="7" applyFont="1" applyFill="1" applyBorder="1" applyAlignment="1">
      <alignment horizontal="center" vertical="center"/>
    </xf>
    <xf numFmtId="0" fontId="3" fillId="2" borderId="58" xfId="7" applyFont="1" applyFill="1" applyBorder="1" applyAlignment="1">
      <alignment horizontal="center" vertical="center"/>
    </xf>
    <xf numFmtId="0" fontId="9" fillId="2" borderId="40" xfId="7" applyFont="1" applyFill="1" applyBorder="1" applyAlignment="1">
      <alignment horizontal="center" vertical="center"/>
    </xf>
    <xf numFmtId="0" fontId="9" fillId="2" borderId="41" xfId="7" applyFont="1" applyFill="1" applyBorder="1" applyAlignment="1">
      <alignment horizontal="center" vertical="center"/>
    </xf>
    <xf numFmtId="0" fontId="9" fillId="2" borderId="42" xfId="7" applyFont="1" applyFill="1" applyBorder="1" applyAlignment="1">
      <alignment horizontal="center" vertical="center"/>
    </xf>
    <xf numFmtId="0" fontId="70" fillId="13" borderId="14" xfId="7" applyFont="1" applyFill="1" applyBorder="1" applyAlignment="1" applyProtection="1">
      <alignment horizontal="center" vertical="center"/>
      <protection locked="0"/>
    </xf>
    <xf numFmtId="0" fontId="70" fillId="13" borderId="15" xfId="7" applyFont="1" applyFill="1" applyBorder="1" applyAlignment="1" applyProtection="1">
      <alignment horizontal="center" vertical="center"/>
      <protection locked="0"/>
    </xf>
    <xf numFmtId="0" fontId="70" fillId="13" borderId="29" xfId="7" applyFont="1" applyFill="1" applyBorder="1" applyAlignment="1" applyProtection="1">
      <alignment horizontal="center" vertical="center"/>
      <protection locked="0"/>
    </xf>
    <xf numFmtId="0" fontId="70" fillId="13" borderId="16" xfId="7" applyFont="1" applyFill="1" applyBorder="1" applyAlignment="1" applyProtection="1">
      <alignment horizontal="center" vertical="center"/>
      <protection locked="0"/>
    </xf>
    <xf numFmtId="0" fontId="70" fillId="2" borderId="3" xfId="4" applyFont="1" applyFill="1" applyBorder="1" applyAlignment="1">
      <alignment horizontal="center" vertical="center"/>
    </xf>
    <xf numFmtId="0" fontId="70" fillId="13" borderId="11" xfId="7" applyFont="1" applyFill="1" applyBorder="1" applyAlignment="1" applyProtection="1">
      <alignment horizontal="center" vertical="center"/>
      <protection locked="0"/>
    </xf>
    <xf numFmtId="0" fontId="70" fillId="13" borderId="12" xfId="7" applyFont="1" applyFill="1" applyBorder="1" applyAlignment="1" applyProtection="1">
      <alignment horizontal="center" vertical="center"/>
      <protection locked="0"/>
    </xf>
    <xf numFmtId="0" fontId="70" fillId="13" borderId="56" xfId="7" applyFont="1" applyFill="1" applyBorder="1" applyAlignment="1" applyProtection="1">
      <alignment horizontal="center" vertical="center"/>
      <protection locked="0"/>
    </xf>
    <xf numFmtId="0" fontId="70" fillId="13" borderId="13" xfId="7" applyFont="1" applyFill="1" applyBorder="1" applyAlignment="1" applyProtection="1">
      <alignment horizontal="center" vertical="center"/>
      <protection locked="0"/>
    </xf>
    <xf numFmtId="0" fontId="9" fillId="2" borderId="43" xfId="4" applyFont="1" applyFill="1" applyBorder="1" applyAlignment="1">
      <alignment horizontal="left" vertical="center" wrapText="1"/>
    </xf>
    <xf numFmtId="0" fontId="9" fillId="2" borderId="15" xfId="4" applyFont="1" applyFill="1" applyBorder="1" applyAlignment="1">
      <alignment horizontal="left" vertical="center" wrapText="1"/>
    </xf>
    <xf numFmtId="0" fontId="9" fillId="2" borderId="16" xfId="4" applyFont="1" applyFill="1" applyBorder="1" applyAlignment="1">
      <alignment horizontal="left" vertical="center" wrapText="1"/>
    </xf>
    <xf numFmtId="0" fontId="71" fillId="2" borderId="3" xfId="7" applyFont="1" applyFill="1" applyBorder="1" applyAlignment="1">
      <alignment horizontal="center" vertical="center"/>
    </xf>
    <xf numFmtId="0" fontId="71" fillId="2" borderId="9" xfId="7" applyFont="1" applyFill="1" applyBorder="1" applyAlignment="1">
      <alignment horizontal="center" vertical="center"/>
    </xf>
    <xf numFmtId="0" fontId="9" fillId="2" borderId="60" xfId="7" applyFont="1" applyFill="1" applyBorder="1" applyAlignment="1">
      <alignment horizontal="center" vertical="center" wrapText="1"/>
    </xf>
    <xf numFmtId="0" fontId="9" fillId="2" borderId="48" xfId="7" applyFont="1" applyFill="1" applyBorder="1" applyAlignment="1">
      <alignment horizontal="center" vertical="center" wrapText="1"/>
    </xf>
    <xf numFmtId="0" fontId="9" fillId="2" borderId="51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0" fontId="70" fillId="2" borderId="9" xfId="4" applyFont="1" applyFill="1" applyBorder="1" applyAlignment="1">
      <alignment horizontal="center" vertical="center" wrapText="1"/>
    </xf>
    <xf numFmtId="0" fontId="3" fillId="13" borderId="65" xfId="7" applyFont="1" applyFill="1" applyBorder="1" applyAlignment="1">
      <alignment horizontal="center" vertical="center"/>
    </xf>
    <xf numFmtId="0" fontId="3" fillId="13" borderId="31" xfId="7" applyFont="1" applyFill="1" applyBorder="1" applyAlignment="1">
      <alignment horizontal="center" vertical="center"/>
    </xf>
    <xf numFmtId="0" fontId="3" fillId="13" borderId="19" xfId="7" applyFont="1" applyFill="1" applyBorder="1" applyAlignment="1">
      <alignment horizontal="center" vertical="center"/>
    </xf>
    <xf numFmtId="0" fontId="3" fillId="13" borderId="52" xfId="7" applyFont="1" applyFill="1" applyBorder="1" applyAlignment="1">
      <alignment horizontal="center" vertical="center"/>
    </xf>
    <xf numFmtId="0" fontId="9" fillId="2" borderId="25" xfId="4" applyFont="1" applyFill="1" applyBorder="1" applyAlignment="1">
      <alignment horizontal="left" vertical="center" wrapText="1"/>
    </xf>
    <xf numFmtId="0" fontId="9" fillId="2" borderId="26" xfId="4" applyFont="1" applyFill="1" applyBorder="1" applyAlignment="1">
      <alignment horizontal="left" vertical="center" wrapText="1"/>
    </xf>
    <xf numFmtId="0" fontId="3" fillId="13" borderId="60" xfId="7" applyFont="1" applyFill="1" applyBorder="1" applyAlignment="1">
      <alignment horizontal="center" vertical="center"/>
    </xf>
    <xf numFmtId="0" fontId="3" fillId="13" borderId="48" xfId="7" applyFont="1" applyFill="1" applyBorder="1" applyAlignment="1">
      <alignment horizontal="center" vertical="center"/>
    </xf>
    <xf numFmtId="1" fontId="9" fillId="3" borderId="3" xfId="7" applyNumberFormat="1" applyFont="1" applyFill="1" applyBorder="1" applyAlignment="1">
      <alignment horizontal="center" vertical="center"/>
    </xf>
    <xf numFmtId="1" fontId="9" fillId="3" borderId="4" xfId="7" applyNumberFormat="1" applyFont="1" applyFill="1" applyBorder="1" applyAlignment="1">
      <alignment horizontal="center" vertical="center"/>
    </xf>
    <xf numFmtId="0" fontId="70" fillId="3" borderId="3" xfId="7" applyFont="1" applyFill="1" applyBorder="1" applyAlignment="1">
      <alignment horizontal="center" vertical="center"/>
    </xf>
    <xf numFmtId="0" fontId="70" fillId="3" borderId="4" xfId="7" applyFont="1" applyFill="1" applyBorder="1" applyAlignment="1">
      <alignment horizontal="center" vertical="center"/>
    </xf>
    <xf numFmtId="1" fontId="9" fillId="3" borderId="25" xfId="7" applyNumberFormat="1" applyFont="1" applyFill="1" applyBorder="1" applyAlignment="1">
      <alignment horizontal="center" vertical="center"/>
    </xf>
    <xf numFmtId="1" fontId="9" fillId="3" borderId="43" xfId="7" applyNumberFormat="1" applyFont="1" applyFill="1" applyBorder="1" applyAlignment="1">
      <alignment horizontal="center" vertical="center"/>
    </xf>
    <xf numFmtId="0" fontId="71" fillId="13" borderId="3" xfId="7" applyFont="1" applyFill="1" applyBorder="1" applyAlignment="1">
      <alignment horizontal="center" vertical="center"/>
    </xf>
    <xf numFmtId="0" fontId="70" fillId="13" borderId="24" xfId="7" applyFont="1" applyFill="1" applyBorder="1" applyAlignment="1">
      <alignment horizontal="center" vertical="center"/>
    </xf>
    <xf numFmtId="0" fontId="70" fillId="13" borderId="8" xfId="7" applyFont="1" applyFill="1" applyBorder="1" applyAlignment="1">
      <alignment horizontal="center" vertical="center"/>
    </xf>
    <xf numFmtId="0" fontId="70" fillId="13" borderId="25" xfId="7" applyFont="1" applyFill="1" applyBorder="1" applyAlignment="1">
      <alignment horizontal="center" vertical="center" wrapText="1"/>
    </xf>
    <xf numFmtId="0" fontId="70" fillId="13" borderId="3" xfId="7" applyFont="1" applyFill="1" applyBorder="1" applyAlignment="1">
      <alignment horizontal="center" vertical="center" wrapText="1"/>
    </xf>
    <xf numFmtId="0" fontId="9" fillId="13" borderId="25" xfId="4" applyFont="1" applyFill="1" applyBorder="1" applyAlignment="1">
      <alignment horizontal="center" vertical="center"/>
    </xf>
    <xf numFmtId="0" fontId="70" fillId="13" borderId="25" xfId="7" applyFont="1" applyFill="1" applyBorder="1" applyAlignment="1">
      <alignment horizontal="center" vertical="center"/>
    </xf>
    <xf numFmtId="0" fontId="70" fillId="13" borderId="3" xfId="7" applyFont="1" applyFill="1" applyBorder="1" applyAlignment="1">
      <alignment horizontal="center" vertical="center"/>
    </xf>
    <xf numFmtId="0" fontId="3" fillId="13" borderId="7" xfId="7" applyFont="1" applyFill="1" applyBorder="1" applyAlignment="1">
      <alignment horizontal="center" vertical="center"/>
    </xf>
    <xf numFmtId="0" fontId="3" fillId="13" borderId="10" xfId="7" applyFont="1" applyFill="1" applyBorder="1" applyAlignment="1">
      <alignment horizontal="center" vertical="center"/>
    </xf>
    <xf numFmtId="0" fontId="3" fillId="13" borderId="2" xfId="7" applyFont="1" applyFill="1" applyBorder="1" applyAlignment="1">
      <alignment horizontal="center" vertical="center"/>
    </xf>
    <xf numFmtId="0" fontId="10" fillId="13" borderId="40" xfId="4" applyFont="1" applyFill="1" applyBorder="1" applyAlignment="1">
      <alignment horizontal="center" vertical="center"/>
    </xf>
    <xf numFmtId="0" fontId="10" fillId="13" borderId="54" xfId="4" applyFont="1" applyFill="1" applyBorder="1" applyAlignment="1">
      <alignment horizontal="center" vertical="center"/>
    </xf>
    <xf numFmtId="0" fontId="69" fillId="13" borderId="37" xfId="4" applyFont="1" applyFill="1" applyBorder="1" applyAlignment="1">
      <alignment horizontal="center" vertical="center"/>
    </xf>
    <xf numFmtId="0" fontId="10" fillId="13" borderId="59" xfId="4" applyFont="1" applyFill="1" applyBorder="1" applyAlignment="1">
      <alignment horizontal="center" vertical="center"/>
    </xf>
    <xf numFmtId="0" fontId="2" fillId="0" borderId="36" xfId="7" applyBorder="1" applyAlignment="1">
      <alignment horizontal="center" vertical="center"/>
    </xf>
    <xf numFmtId="0" fontId="2" fillId="0" borderId="53" xfId="7" applyBorder="1" applyAlignment="1">
      <alignment horizontal="center" vertical="center"/>
    </xf>
    <xf numFmtId="0" fontId="2" fillId="0" borderId="58" xfId="7" applyBorder="1" applyAlignment="1">
      <alignment horizontal="center" vertical="center"/>
    </xf>
    <xf numFmtId="0" fontId="9" fillId="13" borderId="28" xfId="4" applyFont="1" applyFill="1" applyBorder="1" applyAlignment="1">
      <alignment horizontal="center" vertical="center"/>
    </xf>
    <xf numFmtId="0" fontId="9" fillId="13" borderId="29" xfId="4" applyFont="1" applyFill="1" applyBorder="1" applyAlignment="1">
      <alignment horizontal="center" vertical="center"/>
    </xf>
    <xf numFmtId="0" fontId="9" fillId="13" borderId="30" xfId="4" applyFont="1" applyFill="1" applyBorder="1" applyAlignment="1">
      <alignment horizontal="center" vertical="center"/>
    </xf>
    <xf numFmtId="1" fontId="68" fillId="13" borderId="28" xfId="7" applyNumberFormat="1" applyFont="1" applyFill="1" applyBorder="1" applyAlignment="1">
      <alignment horizontal="center" vertical="center"/>
    </xf>
    <xf numFmtId="1" fontId="68" fillId="13" borderId="30" xfId="7" applyNumberFormat="1" applyFont="1" applyFill="1" applyBorder="1" applyAlignment="1">
      <alignment horizontal="center" vertical="center"/>
    </xf>
    <xf numFmtId="0" fontId="7" fillId="13" borderId="40" xfId="7" applyFont="1" applyFill="1" applyBorder="1" applyAlignment="1">
      <alignment horizontal="center" vertical="center"/>
    </xf>
    <xf numFmtId="0" fontId="7" fillId="13" borderId="54" xfId="7" applyFont="1" applyFill="1" applyBorder="1" applyAlignment="1">
      <alignment horizontal="center" vertical="center"/>
    </xf>
    <xf numFmtId="0" fontId="7" fillId="13" borderId="55" xfId="7" applyFont="1" applyFill="1" applyBorder="1" applyAlignment="1">
      <alignment horizontal="center" vertical="center"/>
    </xf>
    <xf numFmtId="0" fontId="7" fillId="13" borderId="41" xfId="7" applyFont="1" applyFill="1" applyBorder="1" applyAlignment="1">
      <alignment horizontal="center" vertical="center"/>
    </xf>
    <xf numFmtId="0" fontId="7" fillId="13" borderId="36" xfId="7" applyFont="1" applyFill="1" applyBorder="1" applyAlignment="1">
      <alignment horizontal="center" vertical="center"/>
    </xf>
    <xf numFmtId="0" fontId="7" fillId="13" borderId="58" xfId="7" applyFont="1" applyFill="1" applyBorder="1" applyAlignment="1">
      <alignment horizontal="center" vertical="center"/>
    </xf>
    <xf numFmtId="0" fontId="9" fillId="13" borderId="40" xfId="4" applyFont="1" applyFill="1" applyBorder="1" applyAlignment="1">
      <alignment horizontal="center" vertical="center"/>
    </xf>
    <xf numFmtId="0" fontId="9" fillId="13" borderId="41" xfId="4" applyFont="1" applyFill="1" applyBorder="1" applyAlignment="1">
      <alignment horizontal="center" vertical="center"/>
    </xf>
    <xf numFmtId="0" fontId="9" fillId="13" borderId="42" xfId="4" applyFont="1" applyFill="1" applyBorder="1" applyAlignment="1">
      <alignment horizontal="center" vertical="center"/>
    </xf>
    <xf numFmtId="0" fontId="10" fillId="13" borderId="3" xfId="4" applyFont="1" applyFill="1" applyBorder="1" applyAlignment="1">
      <alignment horizontal="center" vertical="center"/>
    </xf>
    <xf numFmtId="0" fontId="69" fillId="13" borderId="3" xfId="4" applyFont="1" applyFill="1" applyBorder="1" applyAlignment="1">
      <alignment horizontal="center" vertical="center"/>
    </xf>
    <xf numFmtId="0" fontId="2" fillId="0" borderId="28" xfId="7" applyBorder="1" applyAlignment="1">
      <alignment horizontal="center" vertical="center"/>
    </xf>
    <xf numFmtId="0" fontId="2" fillId="0" borderId="31" xfId="7" applyBorder="1" applyAlignment="1">
      <alignment horizontal="center" vertical="center"/>
    </xf>
    <xf numFmtId="0" fontId="2" fillId="0" borderId="37" xfId="7" applyBorder="1" applyAlignment="1">
      <alignment horizontal="center" vertical="center"/>
    </xf>
    <xf numFmtId="0" fontId="9" fillId="13" borderId="3" xfId="4" applyFont="1" applyFill="1" applyBorder="1" applyAlignment="1">
      <alignment horizontal="center" vertical="center"/>
    </xf>
    <xf numFmtId="1" fontId="68" fillId="13" borderId="3" xfId="7" applyNumberFormat="1" applyFont="1" applyFill="1" applyBorder="1" applyAlignment="1">
      <alignment horizontal="center" vertical="center"/>
    </xf>
    <xf numFmtId="0" fontId="7" fillId="13" borderId="3" xfId="7" applyFont="1" applyFill="1" applyBorder="1" applyAlignment="1">
      <alignment horizontal="center" vertical="center"/>
    </xf>
    <xf numFmtId="0" fontId="67" fillId="9" borderId="40" xfId="7" applyFont="1" applyFill="1" applyBorder="1" applyAlignment="1">
      <alignment horizontal="center" vertical="center"/>
    </xf>
    <xf numFmtId="0" fontId="67" fillId="9" borderId="29" xfId="7" applyFont="1" applyFill="1" applyBorder="1" applyAlignment="1">
      <alignment horizontal="center" vertical="center"/>
    </xf>
    <xf numFmtId="0" fontId="67" fillId="9" borderId="41" xfId="7" applyFont="1" applyFill="1" applyBorder="1" applyAlignment="1">
      <alignment horizontal="center" vertical="center"/>
    </xf>
    <xf numFmtId="0" fontId="67" fillId="9" borderId="30" xfId="7" applyFont="1" applyFill="1" applyBorder="1" applyAlignment="1">
      <alignment horizontal="center" vertical="center"/>
    </xf>
    <xf numFmtId="0" fontId="68" fillId="14" borderId="28" xfId="1" applyFont="1" applyFill="1" applyBorder="1" applyAlignment="1">
      <alignment horizontal="center" vertical="center"/>
    </xf>
    <xf numFmtId="0" fontId="68" fillId="14" borderId="29" xfId="1" applyFont="1" applyFill="1" applyBorder="1" applyAlignment="1">
      <alignment horizontal="center" vertical="center"/>
    </xf>
    <xf numFmtId="0" fontId="68" fillId="14" borderId="30" xfId="1" applyFont="1" applyFill="1" applyBorder="1" applyAlignment="1">
      <alignment horizontal="center" vertical="center"/>
    </xf>
    <xf numFmtId="0" fontId="9" fillId="14" borderId="28" xfId="1" applyFont="1" applyFill="1" applyBorder="1" applyAlignment="1">
      <alignment horizontal="center" vertical="center"/>
    </xf>
    <xf numFmtId="0" fontId="9" fillId="14" borderId="29" xfId="1" applyFont="1" applyFill="1" applyBorder="1" applyAlignment="1">
      <alignment horizontal="center" vertical="center"/>
    </xf>
    <xf numFmtId="0" fontId="9" fillId="14" borderId="30" xfId="1" applyFont="1" applyFill="1" applyBorder="1" applyAlignment="1">
      <alignment horizontal="center" vertical="center"/>
    </xf>
    <xf numFmtId="0" fontId="7" fillId="14" borderId="40" xfId="1" applyFont="1" applyFill="1" applyBorder="1" applyAlignment="1">
      <alignment horizontal="center" vertical="center"/>
    </xf>
    <xf numFmtId="0" fontId="7" fillId="14" borderId="54" xfId="1" applyFont="1" applyFill="1" applyBorder="1" applyAlignment="1">
      <alignment horizontal="center" vertical="center"/>
    </xf>
    <xf numFmtId="0" fontId="7" fillId="14" borderId="55" xfId="1" applyFont="1" applyFill="1" applyBorder="1" applyAlignment="1">
      <alignment horizontal="center" vertical="center"/>
    </xf>
    <xf numFmtId="0" fontId="7" fillId="14" borderId="41" xfId="1" applyFont="1" applyFill="1" applyBorder="1" applyAlignment="1">
      <alignment horizontal="center" vertical="center"/>
    </xf>
    <xf numFmtId="0" fontId="7" fillId="14" borderId="36" xfId="1" applyFont="1" applyFill="1" applyBorder="1" applyAlignment="1">
      <alignment horizontal="center" vertical="center"/>
    </xf>
    <xf numFmtId="0" fontId="7" fillId="14" borderId="58" xfId="1" applyFont="1" applyFill="1" applyBorder="1" applyAlignment="1">
      <alignment horizontal="center" vertical="center"/>
    </xf>
    <xf numFmtId="0" fontId="10" fillId="14" borderId="40" xfId="1" applyFont="1" applyFill="1" applyBorder="1" applyAlignment="1">
      <alignment horizontal="center" vertical="center"/>
    </xf>
    <xf numFmtId="0" fontId="10" fillId="14" borderId="54" xfId="1" applyFont="1" applyFill="1" applyBorder="1" applyAlignment="1">
      <alignment horizontal="center" vertical="center"/>
    </xf>
    <xf numFmtId="0" fontId="69" fillId="14" borderId="37" xfId="1" applyFont="1" applyFill="1" applyBorder="1" applyAlignment="1">
      <alignment horizontal="center" vertical="center"/>
    </xf>
    <xf numFmtId="0" fontId="10" fillId="14" borderId="59" xfId="1" applyFont="1" applyFill="1" applyBorder="1" applyAlignment="1">
      <alignment horizontal="center" vertical="center"/>
    </xf>
    <xf numFmtId="0" fontId="12" fillId="0" borderId="0" xfId="5" applyFont="1" applyAlignment="1">
      <alignment horizontal="left" vertical="center" wrapText="1"/>
    </xf>
    <xf numFmtId="0" fontId="33" fillId="0" borderId="0" xfId="5" applyFont="1" applyAlignment="1">
      <alignment horizontal="left" vertical="center" wrapText="1"/>
    </xf>
    <xf numFmtId="177" fontId="33" fillId="0" borderId="0" xfId="5" applyNumberFormat="1" applyFont="1" applyAlignment="1">
      <alignment horizontal="left" vertical="top" wrapText="1"/>
    </xf>
    <xf numFmtId="0" fontId="33" fillId="0" borderId="0" xfId="5" applyFont="1" applyAlignment="1">
      <alignment horizontal="left" vertical="top" wrapText="1"/>
    </xf>
    <xf numFmtId="0" fontId="33" fillId="3" borderId="0" xfId="5" applyFont="1" applyFill="1" applyAlignment="1">
      <alignment horizontal="justify" vertical="center" wrapText="1"/>
    </xf>
    <xf numFmtId="177" fontId="33" fillId="0" borderId="0" xfId="5" applyNumberFormat="1" applyFont="1" applyAlignment="1">
      <alignment horizontal="left" vertical="center" wrapText="1"/>
    </xf>
    <xf numFmtId="0" fontId="33" fillId="0" borderId="4" xfId="5" applyFont="1" applyBorder="1" applyAlignment="1">
      <alignment horizontal="left" vertical="top" wrapText="1"/>
    </xf>
    <xf numFmtId="0" fontId="33" fillId="0" borderId="5" xfId="5" applyFont="1" applyBorder="1" applyAlignment="1">
      <alignment horizontal="left" vertical="top" wrapText="1"/>
    </xf>
    <xf numFmtId="0" fontId="85" fillId="0" borderId="0" xfId="5" applyFont="1" applyAlignment="1" applyProtection="1">
      <alignment horizontal="left"/>
      <protection locked="0"/>
    </xf>
    <xf numFmtId="0" fontId="86" fillId="0" borderId="0" xfId="5" applyFont="1" applyAlignment="1" applyProtection="1">
      <alignment horizontal="left" vertical="center" wrapText="1"/>
      <protection locked="0"/>
    </xf>
    <xf numFmtId="0" fontId="33" fillId="0" borderId="0" xfId="5" applyFont="1" applyAlignment="1" applyProtection="1">
      <alignment horizontal="left" vertical="top" wrapText="1"/>
      <protection locked="0"/>
    </xf>
    <xf numFmtId="0" fontId="33" fillId="0" borderId="0" xfId="5" applyFont="1" applyAlignment="1" applyProtection="1">
      <alignment horizontal="justify" vertical="top" wrapText="1"/>
      <protection locked="0"/>
    </xf>
    <xf numFmtId="182" fontId="85" fillId="0" borderId="0" xfId="5" quotePrefix="1" applyNumberFormat="1" applyFont="1" applyAlignment="1" applyProtection="1">
      <alignment horizontal="left" vertical="center"/>
      <protection locked="0"/>
    </xf>
    <xf numFmtId="182" fontId="85" fillId="0" borderId="0" xfId="5" applyNumberFormat="1" applyFont="1" applyAlignment="1" applyProtection="1">
      <alignment horizontal="left" vertical="center"/>
      <protection locked="0"/>
    </xf>
    <xf numFmtId="0" fontId="82" fillId="0" borderId="0" xfId="5" applyFont="1" applyAlignment="1">
      <alignment horizontal="center"/>
    </xf>
    <xf numFmtId="0" fontId="85" fillId="0" borderId="0" xfId="5" quotePrefix="1" applyFont="1" applyAlignment="1" applyProtection="1">
      <alignment horizontal="left"/>
      <protection locked="0"/>
    </xf>
    <xf numFmtId="0" fontId="86" fillId="0" borderId="0" xfId="5" quotePrefix="1" applyFont="1" applyAlignment="1" applyProtection="1">
      <alignment horizontal="left" vertical="center" wrapText="1"/>
      <protection locked="0"/>
    </xf>
    <xf numFmtId="11" fontId="85" fillId="0" borderId="0" xfId="5" quotePrefix="1" applyNumberFormat="1" applyFont="1" applyAlignment="1" applyProtection="1">
      <alignment horizontal="left"/>
      <protection locked="0"/>
    </xf>
    <xf numFmtId="0" fontId="33" fillId="0" borderId="0" xfId="5" applyFont="1" applyAlignment="1" applyProtection="1">
      <alignment horizontal="left" vertical="center" wrapText="1"/>
      <protection locked="0"/>
    </xf>
    <xf numFmtId="0" fontId="52" fillId="0" borderId="0" xfId="5" applyFont="1" applyAlignment="1" applyProtection="1">
      <alignment horizontal="center" vertical="center"/>
      <protection locked="0"/>
    </xf>
    <xf numFmtId="177" fontId="85" fillId="0" borderId="0" xfId="5" quotePrefix="1" applyNumberFormat="1" applyFont="1" applyAlignment="1" applyProtection="1">
      <alignment horizontal="center" vertical="center"/>
      <protection locked="0"/>
    </xf>
    <xf numFmtId="177" fontId="85" fillId="0" borderId="0" xfId="5" applyNumberFormat="1" applyFont="1" applyAlignment="1" applyProtection="1">
      <alignment horizontal="center" vertical="center"/>
      <protection locked="0"/>
    </xf>
    <xf numFmtId="0" fontId="33" fillId="0" borderId="0" xfId="5" applyFont="1" applyAlignment="1">
      <alignment horizontal="center"/>
    </xf>
    <xf numFmtId="0" fontId="23" fillId="0" borderId="0" xfId="5" applyFont="1" applyAlignment="1">
      <alignment horizontal="right" vertical="center"/>
    </xf>
    <xf numFmtId="0" fontId="83" fillId="0" borderId="0" xfId="5" applyFont="1" applyAlignment="1">
      <alignment horizontal="center"/>
    </xf>
    <xf numFmtId="0" fontId="2" fillId="0" borderId="0" xfId="6" applyAlignment="1">
      <alignment horizontal="left" vertical="center" wrapText="1"/>
    </xf>
    <xf numFmtId="0" fontId="59" fillId="3" borderId="40" xfId="6" applyFont="1" applyFill="1" applyBorder="1" applyAlignment="1">
      <alignment horizontal="center" vertical="center"/>
    </xf>
    <xf numFmtId="0" fontId="59" fillId="3" borderId="41" xfId="6" applyFont="1" applyFill="1" applyBorder="1" applyAlignment="1">
      <alignment horizontal="center" vertical="center"/>
    </xf>
    <xf numFmtId="0" fontId="59" fillId="3" borderId="42" xfId="6" applyFont="1" applyFill="1" applyBorder="1" applyAlignment="1">
      <alignment horizontal="center" vertical="center"/>
    </xf>
    <xf numFmtId="0" fontId="58" fillId="0" borderId="0" xfId="6" applyFont="1" applyAlignment="1">
      <alignment horizontal="center" wrapText="1"/>
    </xf>
    <xf numFmtId="0" fontId="2" fillId="0" borderId="0" xfId="6" applyAlignment="1">
      <alignment horizontal="center" vertical="center" wrapText="1"/>
    </xf>
    <xf numFmtId="0" fontId="2" fillId="0" borderId="0" xfId="6" applyAlignment="1">
      <alignment horizontal="center" vertical="center"/>
    </xf>
    <xf numFmtId="49" fontId="42" fillId="2" borderId="1" xfId="0" applyNumberFormat="1" applyFont="1" applyFill="1" applyBorder="1" applyAlignment="1">
      <alignment horizontal="left" vertical="center"/>
    </xf>
    <xf numFmtId="0" fontId="41" fillId="2" borderId="7" xfId="0" applyFont="1" applyFill="1" applyBorder="1" applyAlignment="1">
      <alignment horizontal="center" vertical="center" wrapText="1"/>
    </xf>
    <xf numFmtId="0" fontId="41" fillId="2" borderId="10" xfId="0" applyFont="1" applyFill="1" applyBorder="1" applyAlignment="1">
      <alignment horizontal="center" vertical="center" wrapText="1"/>
    </xf>
    <xf numFmtId="2" fontId="41" fillId="2" borderId="3" xfId="0" quotePrefix="1" applyNumberFormat="1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176" fontId="2" fillId="0" borderId="7" xfId="0" applyNumberFormat="1" applyFont="1" applyBorder="1" applyAlignment="1">
      <alignment horizontal="center" vertical="center" wrapText="1"/>
    </xf>
    <xf numFmtId="176" fontId="2" fillId="0" borderId="10" xfId="0" applyNumberFormat="1" applyFont="1" applyBorder="1" applyAlignment="1">
      <alignment horizontal="center" vertical="center" wrapText="1"/>
    </xf>
    <xf numFmtId="176" fontId="2" fillId="0" borderId="2" xfId="0" applyNumberFormat="1" applyFont="1" applyBorder="1" applyAlignment="1">
      <alignment horizontal="center" vertical="center" wrapText="1"/>
    </xf>
    <xf numFmtId="0" fontId="32" fillId="2" borderId="0" xfId="0" applyFont="1" applyFill="1" applyAlignment="1">
      <alignment horizontal="center" vertical="center"/>
    </xf>
    <xf numFmtId="0" fontId="35" fillId="2" borderId="0" xfId="0" quotePrefix="1" applyFont="1" applyFill="1" applyAlignment="1">
      <alignment horizontal="center" vertical="center"/>
    </xf>
    <xf numFmtId="2" fontId="41" fillId="2" borderId="7" xfId="0" quotePrefix="1" applyNumberFormat="1" applyFont="1" applyFill="1" applyBorder="1" applyAlignment="1">
      <alignment horizontal="center" vertical="center" wrapText="1"/>
    </xf>
    <xf numFmtId="2" fontId="41" fillId="2" borderId="10" xfId="0" quotePrefix="1" applyNumberFormat="1" applyFont="1" applyFill="1" applyBorder="1" applyAlignment="1">
      <alignment horizontal="center" vertical="center" wrapText="1"/>
    </xf>
    <xf numFmtId="2" fontId="41" fillId="2" borderId="2" xfId="0" quotePrefix="1" applyNumberFormat="1" applyFont="1" applyFill="1" applyBorder="1" applyAlignment="1">
      <alignment horizontal="center" vertical="center" wrapText="1"/>
    </xf>
    <xf numFmtId="0" fontId="41" fillId="2" borderId="0" xfId="0" applyFont="1" applyFill="1" applyAlignment="1">
      <alignment horizontal="center" vertical="center"/>
    </xf>
    <xf numFmtId="0" fontId="42" fillId="2" borderId="7" xfId="0" applyFont="1" applyFill="1" applyBorder="1" applyAlignment="1">
      <alignment horizontal="center" vertical="center"/>
    </xf>
    <xf numFmtId="0" fontId="42" fillId="2" borderId="2" xfId="0" applyFont="1" applyFill="1" applyBorder="1" applyAlignment="1">
      <alignment horizontal="center" vertical="center"/>
    </xf>
    <xf numFmtId="0" fontId="41" fillId="2" borderId="2" xfId="0" applyFont="1" applyFill="1" applyBorder="1" applyAlignment="1">
      <alignment horizontal="center" vertical="center" wrapText="1"/>
    </xf>
    <xf numFmtId="0" fontId="42" fillId="0" borderId="17" xfId="2" applyFont="1" applyBorder="1" applyAlignment="1">
      <alignment horizontal="center" vertical="center"/>
    </xf>
    <xf numFmtId="0" fontId="42" fillId="0" borderId="20" xfId="2" applyFont="1" applyBorder="1" applyAlignment="1">
      <alignment horizontal="center" vertical="center"/>
    </xf>
    <xf numFmtId="174" fontId="41" fillId="0" borderId="7" xfId="0" applyNumberFormat="1" applyFont="1" applyBorder="1" applyAlignment="1">
      <alignment horizontal="center" vertical="center" wrapText="1"/>
    </xf>
    <xf numFmtId="174" fontId="41" fillId="0" borderId="10" xfId="0" applyNumberFormat="1" applyFont="1" applyBorder="1" applyAlignment="1">
      <alignment horizontal="center" vertical="center" wrapText="1"/>
    </xf>
    <xf numFmtId="174" fontId="41" fillId="0" borderId="2" xfId="0" applyNumberFormat="1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/>
    </xf>
    <xf numFmtId="0" fontId="42" fillId="2" borderId="14" xfId="0" applyFont="1" applyFill="1" applyBorder="1" applyAlignment="1">
      <alignment horizontal="center"/>
    </xf>
    <xf numFmtId="0" fontId="42" fillId="2" borderId="15" xfId="0" applyFont="1" applyFill="1" applyBorder="1" applyAlignment="1">
      <alignment horizontal="center"/>
    </xf>
    <xf numFmtId="0" fontId="42" fillId="2" borderId="16" xfId="0" applyFont="1" applyFill="1" applyBorder="1" applyAlignment="1">
      <alignment horizontal="center"/>
    </xf>
    <xf numFmtId="0" fontId="42" fillId="2" borderId="0" xfId="0" applyFont="1" applyFill="1" applyAlignment="1">
      <alignment horizontal="center"/>
    </xf>
    <xf numFmtId="0" fontId="77" fillId="3" borderId="0" xfId="0" applyFont="1" applyFill="1" applyAlignment="1">
      <alignment horizontal="center" vertical="center"/>
    </xf>
    <xf numFmtId="0" fontId="79" fillId="2" borderId="14" xfId="0" applyFont="1" applyFill="1" applyBorder="1" applyAlignment="1">
      <alignment horizontal="center"/>
    </xf>
    <xf numFmtId="0" fontId="79" fillId="2" borderId="15" xfId="0" applyFont="1" applyFill="1" applyBorder="1" applyAlignment="1">
      <alignment horizontal="center"/>
    </xf>
    <xf numFmtId="0" fontId="79" fillId="2" borderId="16" xfId="0" applyFont="1" applyFill="1" applyBorder="1" applyAlignment="1">
      <alignment horizontal="center"/>
    </xf>
    <xf numFmtId="0" fontId="65" fillId="2" borderId="3" xfId="1" applyFont="1" applyFill="1" applyBorder="1" applyAlignment="1">
      <alignment horizontal="left"/>
    </xf>
    <xf numFmtId="0" fontId="41" fillId="2" borderId="3" xfId="1" applyFont="1" applyFill="1" applyBorder="1" applyAlignment="1">
      <alignment horizontal="left"/>
    </xf>
    <xf numFmtId="0" fontId="72" fillId="2" borderId="3" xfId="1" applyFont="1" applyFill="1" applyBorder="1" applyAlignment="1">
      <alignment horizontal="left"/>
    </xf>
    <xf numFmtId="0" fontId="41" fillId="2" borderId="3" xfId="0" applyFont="1" applyFill="1" applyBorder="1" applyAlignment="1">
      <alignment horizontal="center" vertical="center"/>
    </xf>
    <xf numFmtId="0" fontId="41" fillId="0" borderId="3" xfId="0" applyFont="1" applyBorder="1" applyAlignment="1">
      <alignment horizontal="center" vertical="center"/>
    </xf>
    <xf numFmtId="0" fontId="42" fillId="2" borderId="4" xfId="0" applyFont="1" applyFill="1" applyBorder="1" applyAlignment="1">
      <alignment horizontal="center" vertical="center"/>
    </xf>
    <xf numFmtId="0" fontId="42" fillId="2" borderId="5" xfId="0" applyFont="1" applyFill="1" applyBorder="1" applyAlignment="1">
      <alignment horizontal="center" vertical="center"/>
    </xf>
    <xf numFmtId="0" fontId="42" fillId="2" borderId="6" xfId="0" applyFont="1" applyFill="1" applyBorder="1" applyAlignment="1">
      <alignment horizontal="center" vertical="center"/>
    </xf>
    <xf numFmtId="0" fontId="41" fillId="3" borderId="0" xfId="0" applyFont="1" applyFill="1" applyAlignment="1">
      <alignment horizontal="center" vertical="center"/>
    </xf>
    <xf numFmtId="0" fontId="74" fillId="4" borderId="0" xfId="0" applyFont="1" applyFill="1" applyAlignment="1">
      <alignment horizontal="center" vertical="center"/>
    </xf>
    <xf numFmtId="0" fontId="41" fillId="2" borderId="4" xfId="0" applyFont="1" applyFill="1" applyBorder="1" applyAlignment="1">
      <alignment horizontal="center" vertical="center"/>
    </xf>
    <xf numFmtId="0" fontId="41" fillId="2" borderId="5" xfId="0" applyFont="1" applyFill="1" applyBorder="1" applyAlignment="1">
      <alignment horizontal="center" vertical="center"/>
    </xf>
    <xf numFmtId="0" fontId="41" fillId="2" borderId="6" xfId="0" applyFont="1" applyFill="1" applyBorder="1" applyAlignment="1">
      <alignment horizontal="center" vertical="center"/>
    </xf>
    <xf numFmtId="0" fontId="65" fillId="0" borderId="3" xfId="0" applyFont="1" applyBorder="1" applyAlignment="1">
      <alignment horizontal="center" vertical="center"/>
    </xf>
    <xf numFmtId="0" fontId="42" fillId="2" borderId="4" xfId="0" applyFont="1" applyFill="1" applyBorder="1" applyAlignment="1">
      <alignment horizontal="center"/>
    </xf>
    <xf numFmtId="0" fontId="42" fillId="2" borderId="5" xfId="0" applyFont="1" applyFill="1" applyBorder="1" applyAlignment="1">
      <alignment horizontal="center"/>
    </xf>
    <xf numFmtId="0" fontId="42" fillId="2" borderId="6" xfId="0" applyFont="1" applyFill="1" applyBorder="1" applyAlignment="1">
      <alignment horizontal="center"/>
    </xf>
    <xf numFmtId="0" fontId="41" fillId="2" borderId="4" xfId="0" applyFont="1" applyFill="1" applyBorder="1" applyAlignment="1">
      <alignment horizontal="center" vertical="center" wrapText="1"/>
    </xf>
    <xf numFmtId="0" fontId="41" fillId="2" borderId="5" xfId="0" applyFont="1" applyFill="1" applyBorder="1" applyAlignment="1">
      <alignment horizontal="center" vertical="center" wrapText="1"/>
    </xf>
    <xf numFmtId="0" fontId="41" fillId="2" borderId="6" xfId="0" applyFont="1" applyFill="1" applyBorder="1" applyAlignment="1">
      <alignment horizontal="center" vertical="center" wrapText="1"/>
    </xf>
    <xf numFmtId="0" fontId="78" fillId="5" borderId="0" xfId="0" applyFont="1" applyFill="1" applyAlignment="1">
      <alignment horizontal="center" vertical="center"/>
    </xf>
    <xf numFmtId="2" fontId="24" fillId="3" borderId="0" xfId="0" applyNumberFormat="1" applyFont="1" applyFill="1" applyAlignment="1">
      <alignment horizontal="center" vertical="center"/>
    </xf>
    <xf numFmtId="2" fontId="4" fillId="2" borderId="14" xfId="0" applyNumberFormat="1" applyFont="1" applyFill="1" applyBorder="1" applyAlignment="1">
      <alignment horizontal="center"/>
    </xf>
    <xf numFmtId="2" fontId="4" fillId="2" borderId="15" xfId="0" applyNumberFormat="1" applyFont="1" applyFill="1" applyBorder="1" applyAlignment="1">
      <alignment horizontal="center"/>
    </xf>
    <xf numFmtId="2" fontId="4" fillId="2" borderId="16" xfId="0" applyNumberFormat="1" applyFont="1" applyFill="1" applyBorder="1" applyAlignment="1">
      <alignment horizontal="center"/>
    </xf>
    <xf numFmtId="2" fontId="20" fillId="5" borderId="0" xfId="0" applyNumberFormat="1" applyFont="1" applyFill="1" applyAlignment="1">
      <alignment horizontal="center" vertical="center"/>
    </xf>
    <xf numFmtId="2" fontId="37" fillId="2" borderId="14" xfId="0" applyNumberFormat="1" applyFont="1" applyFill="1" applyBorder="1" applyAlignment="1">
      <alignment horizontal="center"/>
    </xf>
    <xf numFmtId="2" fontId="37" fillId="2" borderId="15" xfId="0" applyNumberFormat="1" applyFont="1" applyFill="1" applyBorder="1" applyAlignment="1">
      <alignment horizontal="center"/>
    </xf>
    <xf numFmtId="2" fontId="37" fillId="2" borderId="16" xfId="0" applyNumberFormat="1" applyFont="1" applyFill="1" applyBorder="1" applyAlignment="1">
      <alignment horizontal="center"/>
    </xf>
    <xf numFmtId="2" fontId="0" fillId="2" borderId="7" xfId="0" applyNumberFormat="1" applyFill="1" applyBorder="1" applyAlignment="1">
      <alignment horizontal="center" vertical="center"/>
    </xf>
    <xf numFmtId="2" fontId="0" fillId="2" borderId="2" xfId="0" applyNumberFormat="1" applyFill="1" applyBorder="1" applyAlignment="1">
      <alignment horizontal="center" vertical="center"/>
    </xf>
    <xf numFmtId="2" fontId="2" fillId="0" borderId="3" xfId="0" applyNumberFormat="1" applyFon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2" fontId="9" fillId="2" borderId="4" xfId="0" applyNumberFormat="1" applyFont="1" applyFill="1" applyBorder="1" applyAlignment="1">
      <alignment horizontal="center" vertical="center"/>
    </xf>
    <xf numFmtId="2" fontId="9" fillId="2" borderId="5" xfId="0" applyNumberFormat="1" applyFont="1" applyFill="1" applyBorder="1" applyAlignment="1">
      <alignment horizontal="center" vertical="center"/>
    </xf>
    <xf numFmtId="2" fontId="9" fillId="2" borderId="6" xfId="0" applyNumberFormat="1" applyFont="1" applyFill="1" applyBorder="1" applyAlignment="1">
      <alignment horizontal="center" vertical="center"/>
    </xf>
    <xf numFmtId="2" fontId="0" fillId="2" borderId="4" xfId="0" applyNumberFormat="1" applyFill="1" applyBorder="1" applyAlignment="1">
      <alignment horizontal="center" vertical="center" wrapText="1"/>
    </xf>
    <xf numFmtId="2" fontId="0" fillId="2" borderId="5" xfId="0" applyNumberFormat="1" applyFill="1" applyBorder="1" applyAlignment="1">
      <alignment horizontal="center" vertical="center" wrapText="1"/>
    </xf>
    <xf numFmtId="2" fontId="0" fillId="2" borderId="6" xfId="0" applyNumberFormat="1" applyFill="1" applyBorder="1" applyAlignment="1">
      <alignment horizontal="center" vertical="center" wrapText="1"/>
    </xf>
    <xf numFmtId="2" fontId="9" fillId="2" borderId="4" xfId="0" applyNumberFormat="1" applyFont="1" applyFill="1" applyBorder="1" applyAlignment="1">
      <alignment horizontal="center"/>
    </xf>
    <xf numFmtId="2" fontId="9" fillId="2" borderId="5" xfId="0" applyNumberFormat="1" applyFont="1" applyFill="1" applyBorder="1" applyAlignment="1">
      <alignment horizontal="center"/>
    </xf>
    <xf numFmtId="2" fontId="9" fillId="2" borderId="6" xfId="0" applyNumberFormat="1" applyFont="1" applyFill="1" applyBorder="1" applyAlignment="1">
      <alignment horizontal="center"/>
    </xf>
    <xf numFmtId="2" fontId="29" fillId="4" borderId="0" xfId="0" applyNumberFormat="1" applyFont="1" applyFill="1" applyAlignment="1">
      <alignment horizontal="center" vertical="center"/>
    </xf>
    <xf numFmtId="2" fontId="2" fillId="2" borderId="4" xfId="0" applyNumberFormat="1" applyFont="1" applyFill="1" applyBorder="1" applyAlignment="1">
      <alignment horizontal="center" vertical="center"/>
    </xf>
    <xf numFmtId="2" fontId="2" fillId="2" borderId="5" xfId="0" applyNumberFormat="1" applyFont="1" applyFill="1" applyBorder="1" applyAlignment="1">
      <alignment horizontal="center" vertical="center"/>
    </xf>
    <xf numFmtId="2" fontId="2" fillId="2" borderId="6" xfId="0" applyNumberFormat="1" applyFont="1" applyFill="1" applyBorder="1" applyAlignment="1">
      <alignment horizontal="center" vertical="center"/>
    </xf>
    <xf numFmtId="2" fontId="28" fillId="0" borderId="3" xfId="0" applyNumberFormat="1" applyFont="1" applyBorder="1" applyAlignment="1">
      <alignment horizontal="center" vertical="center"/>
    </xf>
    <xf numFmtId="2" fontId="10" fillId="2" borderId="3" xfId="1" applyNumberFormat="1" applyFont="1" applyFill="1" applyBorder="1" applyAlignment="1">
      <alignment horizontal="left"/>
    </xf>
    <xf numFmtId="2" fontId="13" fillId="2" borderId="3" xfId="1" applyNumberFormat="1" applyFont="1" applyFill="1" applyBorder="1" applyAlignment="1">
      <alignment horizontal="left"/>
    </xf>
    <xf numFmtId="2" fontId="12" fillId="2" borderId="3" xfId="1" applyNumberFormat="1" applyFont="1" applyFill="1" applyBorder="1" applyAlignment="1">
      <alignment horizontal="left"/>
    </xf>
    <xf numFmtId="2" fontId="11" fillId="2" borderId="3" xfId="1" applyNumberFormat="1" applyFont="1" applyFill="1" applyBorder="1" applyAlignment="1">
      <alignment horizontal="left"/>
    </xf>
    <xf numFmtId="2" fontId="4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center"/>
    </xf>
    <xf numFmtId="173" fontId="41" fillId="0" borderId="3" xfId="0" applyNumberFormat="1" applyFont="1" applyBorder="1" applyAlignment="1">
      <alignment horizontal="center"/>
    </xf>
    <xf numFmtId="173" fontId="41" fillId="0" borderId="4" xfId="0" applyNumberFormat="1" applyFont="1" applyBorder="1" applyAlignment="1">
      <alignment horizontal="center"/>
    </xf>
    <xf numFmtId="173" fontId="41" fillId="0" borderId="5" xfId="0" applyNumberFormat="1" applyFont="1" applyBorder="1" applyAlignment="1">
      <alignment horizontal="center"/>
    </xf>
    <xf numFmtId="173" fontId="41" fillId="0" borderId="6" xfId="0" applyNumberFormat="1" applyFont="1" applyBorder="1" applyAlignment="1">
      <alignment horizontal="center"/>
    </xf>
    <xf numFmtId="173" fontId="41" fillId="0" borderId="7" xfId="0" applyNumberFormat="1" applyFont="1" applyBorder="1" applyAlignment="1">
      <alignment horizontal="center" vertical="center"/>
    </xf>
    <xf numFmtId="173" fontId="41" fillId="0" borderId="2" xfId="0" applyNumberFormat="1" applyFont="1" applyBorder="1" applyAlignment="1">
      <alignment horizontal="center" vertical="center"/>
    </xf>
    <xf numFmtId="173" fontId="41" fillId="0" borderId="4" xfId="0" applyNumberFormat="1" applyFont="1" applyBorder="1" applyAlignment="1">
      <alignment horizontal="center" vertical="center" wrapText="1"/>
    </xf>
    <xf numFmtId="173" fontId="41" fillId="0" borderId="5" xfId="0" applyNumberFormat="1" applyFont="1" applyBorder="1" applyAlignment="1">
      <alignment horizontal="center" vertical="center" wrapText="1"/>
    </xf>
    <xf numFmtId="173" fontId="41" fillId="0" borderId="6" xfId="0" applyNumberFormat="1" applyFont="1" applyBorder="1" applyAlignment="1">
      <alignment horizontal="center" vertical="center" wrapText="1"/>
    </xf>
    <xf numFmtId="173" fontId="41" fillId="0" borderId="4" xfId="0" applyNumberFormat="1" applyFont="1" applyBorder="1" applyAlignment="1">
      <alignment horizontal="center" vertical="center"/>
    </xf>
    <xf numFmtId="173" fontId="41" fillId="0" borderId="5" xfId="0" applyNumberFormat="1" applyFont="1" applyBorder="1" applyAlignment="1">
      <alignment horizontal="center" vertical="center"/>
    </xf>
    <xf numFmtId="173" fontId="41" fillId="0" borderId="6" xfId="0" applyNumberFormat="1" applyFont="1" applyBorder="1" applyAlignment="1">
      <alignment horizontal="center" vertical="center"/>
    </xf>
    <xf numFmtId="173" fontId="41" fillId="10" borderId="32" xfId="0" applyNumberFormat="1" applyFont="1" applyFill="1" applyBorder="1" applyAlignment="1">
      <alignment horizontal="center" vertical="center"/>
    </xf>
    <xf numFmtId="173" fontId="41" fillId="10" borderId="48" xfId="0" applyNumberFormat="1" applyFont="1" applyFill="1" applyBorder="1" applyAlignment="1">
      <alignment horizontal="center" vertical="center"/>
    </xf>
    <xf numFmtId="173" fontId="41" fillId="10" borderId="49" xfId="0" applyNumberFormat="1" applyFont="1" applyFill="1" applyBorder="1" applyAlignment="1">
      <alignment horizontal="center" vertical="center"/>
    </xf>
    <xf numFmtId="173" fontId="50" fillId="10" borderId="25" xfId="1" applyNumberFormat="1" applyFont="1" applyFill="1" applyBorder="1" applyAlignment="1">
      <alignment horizontal="center" vertical="center" wrapText="1"/>
    </xf>
    <xf numFmtId="173" fontId="50" fillId="10" borderId="3" xfId="1" applyNumberFormat="1" applyFont="1" applyFill="1" applyBorder="1" applyAlignment="1">
      <alignment horizontal="center" vertical="center" wrapText="1"/>
    </xf>
    <xf numFmtId="173" fontId="41" fillId="10" borderId="25" xfId="1" applyNumberFormat="1" applyFont="1" applyFill="1" applyBorder="1" applyAlignment="1">
      <alignment horizontal="center"/>
    </xf>
    <xf numFmtId="173" fontId="41" fillId="10" borderId="26" xfId="1" applyNumberFormat="1" applyFont="1" applyFill="1" applyBorder="1" applyAlignment="1">
      <alignment horizontal="center"/>
    </xf>
    <xf numFmtId="173" fontId="41" fillId="10" borderId="3" xfId="1" applyNumberFormat="1" applyFont="1" applyFill="1" applyBorder="1" applyAlignment="1">
      <alignment horizontal="center" vertical="center"/>
    </xf>
    <xf numFmtId="173" fontId="41" fillId="10" borderId="7" xfId="1" applyNumberFormat="1" applyFont="1" applyFill="1" applyBorder="1" applyAlignment="1">
      <alignment horizontal="center" vertical="center"/>
    </xf>
    <xf numFmtId="173" fontId="41" fillId="10" borderId="2" xfId="1" applyNumberFormat="1" applyFont="1" applyFill="1" applyBorder="1" applyAlignment="1">
      <alignment horizontal="center" vertical="center"/>
    </xf>
    <xf numFmtId="173" fontId="41" fillId="10" borderId="50" xfId="1" applyNumberFormat="1" applyFont="1" applyFill="1" applyBorder="1" applyAlignment="1">
      <alignment horizontal="center" vertical="center"/>
    </xf>
    <xf numFmtId="173" fontId="41" fillId="10" borderId="45" xfId="1" applyNumberFormat="1" applyFont="1" applyFill="1" applyBorder="1" applyAlignment="1">
      <alignment horizontal="center" vertical="center"/>
    </xf>
    <xf numFmtId="166" fontId="41" fillId="10" borderId="32" xfId="0" applyNumberFormat="1" applyFont="1" applyFill="1" applyBorder="1" applyAlignment="1">
      <alignment horizontal="center" vertical="center"/>
    </xf>
    <xf numFmtId="166" fontId="41" fillId="10" borderId="48" xfId="0" applyNumberFormat="1" applyFont="1" applyFill="1" applyBorder="1" applyAlignment="1">
      <alignment horizontal="center" vertical="center"/>
    </xf>
    <xf numFmtId="166" fontId="41" fillId="10" borderId="49" xfId="0" applyNumberFormat="1" applyFont="1" applyFill="1" applyBorder="1" applyAlignment="1">
      <alignment horizontal="center" vertical="center"/>
    </xf>
    <xf numFmtId="166" fontId="41" fillId="0" borderId="4" xfId="0" applyNumberFormat="1" applyFont="1" applyBorder="1" applyAlignment="1">
      <alignment horizontal="center" vertical="center" wrapText="1"/>
    </xf>
    <xf numFmtId="166" fontId="41" fillId="0" borderId="5" xfId="0" applyNumberFormat="1" applyFont="1" applyBorder="1" applyAlignment="1">
      <alignment horizontal="center" vertical="center" wrapText="1"/>
    </xf>
    <xf numFmtId="166" fontId="41" fillId="0" borderId="6" xfId="0" applyNumberFormat="1" applyFont="1" applyBorder="1" applyAlignment="1">
      <alignment horizontal="center" vertical="center" wrapText="1"/>
    </xf>
    <xf numFmtId="166" fontId="41" fillId="0" borderId="3" xfId="0" applyNumberFormat="1" applyFont="1" applyBorder="1" applyAlignment="1">
      <alignment horizontal="center"/>
    </xf>
    <xf numFmtId="166" fontId="41" fillId="0" borderId="4" xfId="0" applyNumberFormat="1" applyFont="1" applyBorder="1" applyAlignment="1">
      <alignment horizontal="center"/>
    </xf>
    <xf numFmtId="166" fontId="41" fillId="0" borderId="5" xfId="0" applyNumberFormat="1" applyFont="1" applyBorder="1" applyAlignment="1">
      <alignment horizontal="center"/>
    </xf>
    <xf numFmtId="166" fontId="41" fillId="0" borderId="6" xfId="0" applyNumberFormat="1" applyFont="1" applyBorder="1" applyAlignment="1">
      <alignment horizontal="center"/>
    </xf>
    <xf numFmtId="166" fontId="41" fillId="0" borderId="7" xfId="0" applyNumberFormat="1" applyFont="1" applyBorder="1" applyAlignment="1">
      <alignment horizontal="center" vertical="center"/>
    </xf>
    <xf numFmtId="166" fontId="41" fillId="0" borderId="2" xfId="0" applyNumberFormat="1" applyFont="1" applyBorder="1" applyAlignment="1">
      <alignment horizontal="center" vertical="center"/>
    </xf>
    <xf numFmtId="166" fontId="41" fillId="10" borderId="51" xfId="0" applyNumberFormat="1" applyFont="1" applyFill="1" applyBorder="1" applyAlignment="1">
      <alignment horizontal="center" vertical="center"/>
    </xf>
    <xf numFmtId="166" fontId="50" fillId="10" borderId="25" xfId="1" applyNumberFormat="1" applyFont="1" applyFill="1" applyBorder="1" applyAlignment="1">
      <alignment horizontal="center" vertical="center" wrapText="1"/>
    </xf>
    <xf numFmtId="166" fontId="50" fillId="10" borderId="3" xfId="1" applyNumberFormat="1" applyFont="1" applyFill="1" applyBorder="1" applyAlignment="1">
      <alignment horizontal="center" vertical="center" wrapText="1"/>
    </xf>
    <xf numFmtId="166" fontId="41" fillId="10" borderId="25" xfId="1" applyNumberFormat="1" applyFont="1" applyFill="1" applyBorder="1" applyAlignment="1">
      <alignment horizontal="center"/>
    </xf>
    <xf numFmtId="166" fontId="41" fillId="10" borderId="26" xfId="1" applyNumberFormat="1" applyFont="1" applyFill="1" applyBorder="1" applyAlignment="1">
      <alignment horizontal="center"/>
    </xf>
    <xf numFmtId="166" fontId="41" fillId="10" borderId="3" xfId="1" applyNumberFormat="1" applyFont="1" applyFill="1" applyBorder="1" applyAlignment="1">
      <alignment horizontal="center" vertical="center"/>
    </xf>
    <xf numFmtId="166" fontId="41" fillId="10" borderId="7" xfId="1" applyNumberFormat="1" applyFont="1" applyFill="1" applyBorder="1" applyAlignment="1">
      <alignment horizontal="center" vertical="center"/>
    </xf>
    <xf numFmtId="166" fontId="41" fillId="10" borderId="2" xfId="1" applyNumberFormat="1" applyFont="1" applyFill="1" applyBorder="1" applyAlignment="1">
      <alignment horizontal="center" vertical="center"/>
    </xf>
    <xf numFmtId="166" fontId="41" fillId="10" borderId="50" xfId="1" applyNumberFormat="1" applyFont="1" applyFill="1" applyBorder="1" applyAlignment="1">
      <alignment horizontal="center" vertical="center"/>
    </xf>
    <xf numFmtId="166" fontId="41" fillId="10" borderId="45" xfId="1" applyNumberFormat="1" applyFont="1" applyFill="1" applyBorder="1" applyAlignment="1">
      <alignment horizontal="center" vertical="center"/>
    </xf>
    <xf numFmtId="166" fontId="41" fillId="0" borderId="4" xfId="0" applyNumberFormat="1" applyFont="1" applyBorder="1" applyAlignment="1">
      <alignment horizontal="center" vertical="center"/>
    </xf>
    <xf numFmtId="166" fontId="41" fillId="0" borderId="5" xfId="0" applyNumberFormat="1" applyFont="1" applyBorder="1" applyAlignment="1">
      <alignment horizontal="center" vertical="center"/>
    </xf>
    <xf numFmtId="166" fontId="41" fillId="0" borderId="6" xfId="0" applyNumberFormat="1" applyFont="1" applyBorder="1" applyAlignment="1">
      <alignment horizontal="center" vertical="center"/>
    </xf>
    <xf numFmtId="164" fontId="78" fillId="6" borderId="3" xfId="0" applyNumberFormat="1" applyFont="1" applyFill="1" applyBorder="1" applyAlignment="1" applyProtection="1">
      <alignment horizontal="center" vertical="center"/>
      <protection locked="0"/>
    </xf>
    <xf numFmtId="164" fontId="27" fillId="2" borderId="3" xfId="0" applyNumberFormat="1" applyFont="1" applyFill="1" applyBorder="1" applyAlignment="1">
      <alignment horizontal="center"/>
    </xf>
  </cellXfs>
  <cellStyles count="9">
    <cellStyle name="Normal" xfId="0" builtinId="0"/>
    <cellStyle name="Normal 2" xfId="1" xr:uid="{00000000-0005-0000-0000-000001000000}"/>
    <cellStyle name="Normal 2 2" xfId="4" xr:uid="{00000000-0005-0000-0000-000002000000}"/>
    <cellStyle name="Normal 2 3" xfId="5" xr:uid="{00000000-0005-0000-0000-000003000000}"/>
    <cellStyle name="Normal 3" xfId="3" xr:uid="{00000000-0005-0000-0000-000004000000}"/>
    <cellStyle name="Normal 3 2" xfId="7" xr:uid="{5AB9C7D8-26FB-493F-98CD-13054794DF12}"/>
    <cellStyle name="Normal 4" xfId="6" xr:uid="{00000000-0005-0000-0000-000005000000}"/>
    <cellStyle name="Normal 5 2 2" xfId="8" xr:uid="{D942324A-A297-47E7-BBC7-3D6A3AC57355}"/>
    <cellStyle name="Normal_Daftar kelistrikan (ecg)" xfId="2" xr:uid="{00000000-0005-0000-0000-000006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</xdr:colOff>
      <xdr:row>84</xdr:row>
      <xdr:rowOff>0</xdr:rowOff>
    </xdr:from>
    <xdr:to>
      <xdr:col>12</xdr:col>
      <xdr:colOff>0</xdr:colOff>
      <xdr:row>84</xdr:row>
      <xdr:rowOff>0</xdr:rowOff>
    </xdr:to>
    <xdr:pic>
      <xdr:nvPicPr>
        <xdr:cNvPr id="3082" name="Picture 10">
          <a:extLst>
            <a:ext uri="{FF2B5EF4-FFF2-40B4-BE49-F238E27FC236}">
              <a16:creationId xmlns:a16="http://schemas.microsoft.com/office/drawing/2014/main" id="{00000000-0008-0000-0500-00000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48875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9525</xdr:colOff>
      <xdr:row>84</xdr:row>
      <xdr:rowOff>0</xdr:rowOff>
    </xdr:from>
    <xdr:to>
      <xdr:col>12</xdr:col>
      <xdr:colOff>0</xdr:colOff>
      <xdr:row>84</xdr:row>
      <xdr:rowOff>0</xdr:rowOff>
    </xdr:to>
    <xdr:pic>
      <xdr:nvPicPr>
        <xdr:cNvPr id="3083" name="Picture 11">
          <a:extLst>
            <a:ext uri="{FF2B5EF4-FFF2-40B4-BE49-F238E27FC236}">
              <a16:creationId xmlns:a16="http://schemas.microsoft.com/office/drawing/2014/main" id="{00000000-0008-0000-0500-00000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48875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9525</xdr:colOff>
      <xdr:row>84</xdr:row>
      <xdr:rowOff>0</xdr:rowOff>
    </xdr:from>
    <xdr:to>
      <xdr:col>12</xdr:col>
      <xdr:colOff>0</xdr:colOff>
      <xdr:row>84</xdr:row>
      <xdr:rowOff>0</xdr:rowOff>
    </xdr:to>
    <xdr:pic>
      <xdr:nvPicPr>
        <xdr:cNvPr id="3084" name="Picture 12">
          <a:extLst>
            <a:ext uri="{FF2B5EF4-FFF2-40B4-BE49-F238E27FC236}">
              <a16:creationId xmlns:a16="http://schemas.microsoft.com/office/drawing/2014/main" id="{00000000-0008-0000-0500-00000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48875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9525</xdr:colOff>
      <xdr:row>84</xdr:row>
      <xdr:rowOff>0</xdr:rowOff>
    </xdr:from>
    <xdr:to>
      <xdr:col>12</xdr:col>
      <xdr:colOff>0</xdr:colOff>
      <xdr:row>84</xdr:row>
      <xdr:rowOff>0</xdr:rowOff>
    </xdr:to>
    <xdr:pic>
      <xdr:nvPicPr>
        <xdr:cNvPr id="3085" name="Picture 13">
          <a:extLst>
            <a:ext uri="{FF2B5EF4-FFF2-40B4-BE49-F238E27FC236}">
              <a16:creationId xmlns:a16="http://schemas.microsoft.com/office/drawing/2014/main" id="{00000000-0008-0000-0500-00000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48875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9525</xdr:colOff>
      <xdr:row>84</xdr:row>
      <xdr:rowOff>0</xdr:rowOff>
    </xdr:from>
    <xdr:to>
      <xdr:col>12</xdr:col>
      <xdr:colOff>0</xdr:colOff>
      <xdr:row>84</xdr:row>
      <xdr:rowOff>0</xdr:rowOff>
    </xdr:to>
    <xdr:pic>
      <xdr:nvPicPr>
        <xdr:cNvPr id="3086" name="Picture 14">
          <a:extLst>
            <a:ext uri="{FF2B5EF4-FFF2-40B4-BE49-F238E27FC236}">
              <a16:creationId xmlns:a16="http://schemas.microsoft.com/office/drawing/2014/main" id="{00000000-0008-0000-0500-00000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48875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9525</xdr:colOff>
      <xdr:row>84</xdr:row>
      <xdr:rowOff>0</xdr:rowOff>
    </xdr:from>
    <xdr:to>
      <xdr:col>12</xdr:col>
      <xdr:colOff>0</xdr:colOff>
      <xdr:row>84</xdr:row>
      <xdr:rowOff>0</xdr:rowOff>
    </xdr:to>
    <xdr:pic>
      <xdr:nvPicPr>
        <xdr:cNvPr id="3087" name="Picture 15">
          <a:extLst>
            <a:ext uri="{FF2B5EF4-FFF2-40B4-BE49-F238E27FC236}">
              <a16:creationId xmlns:a16="http://schemas.microsoft.com/office/drawing/2014/main" id="{00000000-0008-0000-0500-00000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48875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9525</xdr:colOff>
      <xdr:row>84</xdr:row>
      <xdr:rowOff>0</xdr:rowOff>
    </xdr:from>
    <xdr:to>
      <xdr:col>12</xdr:col>
      <xdr:colOff>0</xdr:colOff>
      <xdr:row>84</xdr:row>
      <xdr:rowOff>0</xdr:rowOff>
    </xdr:to>
    <xdr:pic>
      <xdr:nvPicPr>
        <xdr:cNvPr id="3088" name="Picture 16">
          <a:extLst>
            <a:ext uri="{FF2B5EF4-FFF2-40B4-BE49-F238E27FC236}">
              <a16:creationId xmlns:a16="http://schemas.microsoft.com/office/drawing/2014/main" id="{00000000-0008-0000-0500-00001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48875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9525</xdr:colOff>
      <xdr:row>84</xdr:row>
      <xdr:rowOff>0</xdr:rowOff>
    </xdr:from>
    <xdr:to>
      <xdr:col>12</xdr:col>
      <xdr:colOff>0</xdr:colOff>
      <xdr:row>84</xdr:row>
      <xdr:rowOff>0</xdr:rowOff>
    </xdr:to>
    <xdr:pic>
      <xdr:nvPicPr>
        <xdr:cNvPr id="3089" name="Picture 17">
          <a:extLst>
            <a:ext uri="{FF2B5EF4-FFF2-40B4-BE49-F238E27FC236}">
              <a16:creationId xmlns:a16="http://schemas.microsoft.com/office/drawing/2014/main" id="{00000000-0008-0000-0500-00001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48875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9525</xdr:colOff>
      <xdr:row>84</xdr:row>
      <xdr:rowOff>0</xdr:rowOff>
    </xdr:from>
    <xdr:to>
      <xdr:col>12</xdr:col>
      <xdr:colOff>0</xdr:colOff>
      <xdr:row>84</xdr:row>
      <xdr:rowOff>0</xdr:rowOff>
    </xdr:to>
    <xdr:pic>
      <xdr:nvPicPr>
        <xdr:cNvPr id="3090" name="Picture 18">
          <a:extLst>
            <a:ext uri="{FF2B5EF4-FFF2-40B4-BE49-F238E27FC236}">
              <a16:creationId xmlns:a16="http://schemas.microsoft.com/office/drawing/2014/main" id="{00000000-0008-0000-0500-00001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48875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6350</xdr:colOff>
          <xdr:row>28</xdr:row>
          <xdr:rowOff>0</xdr:rowOff>
        </xdr:from>
        <xdr:to>
          <xdr:col>12</xdr:col>
          <xdr:colOff>412750</xdr:colOff>
          <xdr:row>28</xdr:row>
          <xdr:rowOff>0</xdr:rowOff>
        </xdr:to>
        <xdr:sp macro="" textlink="">
          <xdr:nvSpPr>
            <xdr:cNvPr id="2" name="Object -1022" hidden="1">
              <a:extLst>
                <a:ext uri="{63B3BB69-23CF-44E3-9099-C40C66FF867C}">
                  <a14:compatExt spid="_x0000_s2"/>
                </a:ext>
                <a:ext uri="{FF2B5EF4-FFF2-40B4-BE49-F238E27FC236}">
                  <a16:creationId xmlns:a16="http://schemas.microsoft.com/office/drawing/2014/main" id="{40858A0C-0EAD-8173-3C7C-BFF84F22022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6350</xdr:colOff>
          <xdr:row>28</xdr:row>
          <xdr:rowOff>0</xdr:rowOff>
        </xdr:from>
        <xdr:to>
          <xdr:col>12</xdr:col>
          <xdr:colOff>412750</xdr:colOff>
          <xdr:row>28</xdr:row>
          <xdr:rowOff>0</xdr:rowOff>
        </xdr:to>
        <xdr:sp macro="" textlink="">
          <xdr:nvSpPr>
            <xdr:cNvPr id="3" name="Object -1021" hidden="1">
              <a:extLst>
                <a:ext uri="{63B3BB69-23CF-44E3-9099-C40C66FF867C}">
                  <a14:compatExt spid="_x0000_s3"/>
                </a:ext>
                <a:ext uri="{FF2B5EF4-FFF2-40B4-BE49-F238E27FC236}">
                  <a16:creationId xmlns:a16="http://schemas.microsoft.com/office/drawing/2014/main" id="{14CE9691-772C-DB36-7643-CC198CC6394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6350</xdr:colOff>
          <xdr:row>28</xdr:row>
          <xdr:rowOff>0</xdr:rowOff>
        </xdr:from>
        <xdr:to>
          <xdr:col>12</xdr:col>
          <xdr:colOff>412750</xdr:colOff>
          <xdr:row>28</xdr:row>
          <xdr:rowOff>0</xdr:rowOff>
        </xdr:to>
        <xdr:sp macro="" textlink="">
          <xdr:nvSpPr>
            <xdr:cNvPr id="4" name="Object -1020" hidden="1">
              <a:extLst>
                <a:ext uri="{63B3BB69-23CF-44E3-9099-C40C66FF867C}">
                  <a14:compatExt spid="_x0000_s4"/>
                </a:ext>
                <a:ext uri="{FF2B5EF4-FFF2-40B4-BE49-F238E27FC236}">
                  <a16:creationId xmlns:a16="http://schemas.microsoft.com/office/drawing/2014/main" id="{F9CAC7D4-58AB-0545-09BF-1175AA61CC0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6350</xdr:colOff>
          <xdr:row>28</xdr:row>
          <xdr:rowOff>0</xdr:rowOff>
        </xdr:from>
        <xdr:to>
          <xdr:col>12</xdr:col>
          <xdr:colOff>412750</xdr:colOff>
          <xdr:row>28</xdr:row>
          <xdr:rowOff>0</xdr:rowOff>
        </xdr:to>
        <xdr:sp macro="" textlink="">
          <xdr:nvSpPr>
            <xdr:cNvPr id="5" name="Object -1019" hidden="1">
              <a:extLst>
                <a:ext uri="{63B3BB69-23CF-44E3-9099-C40C66FF867C}">
                  <a14:compatExt spid="_x0000_s5"/>
                </a:ext>
                <a:ext uri="{FF2B5EF4-FFF2-40B4-BE49-F238E27FC236}">
                  <a16:creationId xmlns:a16="http://schemas.microsoft.com/office/drawing/2014/main" id="{CE64DEC9-6368-6813-B135-8ECEB38AFC5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6350</xdr:colOff>
          <xdr:row>28</xdr:row>
          <xdr:rowOff>0</xdr:rowOff>
        </xdr:from>
        <xdr:to>
          <xdr:col>12</xdr:col>
          <xdr:colOff>412750</xdr:colOff>
          <xdr:row>28</xdr:row>
          <xdr:rowOff>0</xdr:rowOff>
        </xdr:to>
        <xdr:sp macro="" textlink="">
          <xdr:nvSpPr>
            <xdr:cNvPr id="6" name="Object -1018" hidden="1">
              <a:extLst>
                <a:ext uri="{63B3BB69-23CF-44E3-9099-C40C66FF867C}">
                  <a14:compatExt spid="_x0000_s6"/>
                </a:ext>
                <a:ext uri="{FF2B5EF4-FFF2-40B4-BE49-F238E27FC236}">
                  <a16:creationId xmlns:a16="http://schemas.microsoft.com/office/drawing/2014/main" id="{BBE48F16-9F01-61E8-46EF-440423510DE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6350</xdr:colOff>
          <xdr:row>28</xdr:row>
          <xdr:rowOff>0</xdr:rowOff>
        </xdr:from>
        <xdr:to>
          <xdr:col>12</xdr:col>
          <xdr:colOff>412750</xdr:colOff>
          <xdr:row>28</xdr:row>
          <xdr:rowOff>0</xdr:rowOff>
        </xdr:to>
        <xdr:sp macro="" textlink="">
          <xdr:nvSpPr>
            <xdr:cNvPr id="7" name="Object -1017" hidden="1">
              <a:extLst>
                <a:ext uri="{63B3BB69-23CF-44E3-9099-C40C66FF867C}">
                  <a14:compatExt spid="_x0000_s7"/>
                </a:ext>
                <a:ext uri="{FF2B5EF4-FFF2-40B4-BE49-F238E27FC236}">
                  <a16:creationId xmlns:a16="http://schemas.microsoft.com/office/drawing/2014/main" id="{6115E347-8B5B-7780-B283-CEBF6E5BB7B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6350</xdr:colOff>
          <xdr:row>28</xdr:row>
          <xdr:rowOff>0</xdr:rowOff>
        </xdr:from>
        <xdr:to>
          <xdr:col>12</xdr:col>
          <xdr:colOff>412750</xdr:colOff>
          <xdr:row>28</xdr:row>
          <xdr:rowOff>0</xdr:rowOff>
        </xdr:to>
        <xdr:sp macro="" textlink="">
          <xdr:nvSpPr>
            <xdr:cNvPr id="8" name="Object -1016" hidden="1">
              <a:extLst>
                <a:ext uri="{63B3BB69-23CF-44E3-9099-C40C66FF867C}">
                  <a14:compatExt spid="_x0000_s8"/>
                </a:ext>
                <a:ext uri="{FF2B5EF4-FFF2-40B4-BE49-F238E27FC236}">
                  <a16:creationId xmlns:a16="http://schemas.microsoft.com/office/drawing/2014/main" id="{B9B042BF-6371-4E95-32C9-D6F2E1EDD55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6350</xdr:colOff>
          <xdr:row>84</xdr:row>
          <xdr:rowOff>0</xdr:rowOff>
        </xdr:from>
        <xdr:to>
          <xdr:col>11</xdr:col>
          <xdr:colOff>0</xdr:colOff>
          <xdr:row>84</xdr:row>
          <xdr:rowOff>0</xdr:rowOff>
        </xdr:to>
        <xdr:sp macro="" textlink="">
          <xdr:nvSpPr>
            <xdr:cNvPr id="11" name="Object -1013" hidden="1">
              <a:extLst>
                <a:ext uri="{63B3BB69-23CF-44E3-9099-C40C66FF867C}">
                  <a14:compatExt spid="_x0000_s11"/>
                </a:ext>
                <a:ext uri="{FF2B5EF4-FFF2-40B4-BE49-F238E27FC236}">
                  <a16:creationId xmlns:a16="http://schemas.microsoft.com/office/drawing/2014/main" id="{BBD5EBEA-1F10-F641-AF6D-AB73D66520C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6350</xdr:colOff>
          <xdr:row>84</xdr:row>
          <xdr:rowOff>0</xdr:rowOff>
        </xdr:from>
        <xdr:to>
          <xdr:col>11</xdr:col>
          <xdr:colOff>0</xdr:colOff>
          <xdr:row>84</xdr:row>
          <xdr:rowOff>0</xdr:rowOff>
        </xdr:to>
        <xdr:sp macro="" textlink="">
          <xdr:nvSpPr>
            <xdr:cNvPr id="12" name="Object -1012" hidden="1">
              <a:extLst>
                <a:ext uri="{63B3BB69-23CF-44E3-9099-C40C66FF867C}">
                  <a14:compatExt spid="_x0000_s12"/>
                </a:ext>
                <a:ext uri="{FF2B5EF4-FFF2-40B4-BE49-F238E27FC236}">
                  <a16:creationId xmlns:a16="http://schemas.microsoft.com/office/drawing/2014/main" id="{5CDAEDF8-523D-8427-8441-07D802242C7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6350</xdr:colOff>
          <xdr:row>84</xdr:row>
          <xdr:rowOff>0</xdr:rowOff>
        </xdr:from>
        <xdr:to>
          <xdr:col>11</xdr:col>
          <xdr:colOff>0</xdr:colOff>
          <xdr:row>84</xdr:row>
          <xdr:rowOff>0</xdr:rowOff>
        </xdr:to>
        <xdr:sp macro="" textlink="">
          <xdr:nvSpPr>
            <xdr:cNvPr id="13" name="Object -1011" hidden="1">
              <a:extLst>
                <a:ext uri="{63B3BB69-23CF-44E3-9099-C40C66FF867C}">
                  <a14:compatExt spid="_x0000_s13"/>
                </a:ext>
                <a:ext uri="{FF2B5EF4-FFF2-40B4-BE49-F238E27FC236}">
                  <a16:creationId xmlns:a16="http://schemas.microsoft.com/office/drawing/2014/main" id="{734485F1-D6FB-4563-6847-D4899C8F1A5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6350</xdr:colOff>
          <xdr:row>84</xdr:row>
          <xdr:rowOff>0</xdr:rowOff>
        </xdr:from>
        <xdr:to>
          <xdr:col>11</xdr:col>
          <xdr:colOff>0</xdr:colOff>
          <xdr:row>84</xdr:row>
          <xdr:rowOff>0</xdr:rowOff>
        </xdr:to>
        <xdr:sp macro="" textlink="">
          <xdr:nvSpPr>
            <xdr:cNvPr id="14" name="Object -1010" hidden="1">
              <a:extLst>
                <a:ext uri="{63B3BB69-23CF-44E3-9099-C40C66FF867C}">
                  <a14:compatExt spid="_x0000_s14"/>
                </a:ext>
                <a:ext uri="{FF2B5EF4-FFF2-40B4-BE49-F238E27FC236}">
                  <a16:creationId xmlns:a16="http://schemas.microsoft.com/office/drawing/2014/main" id="{35088EF1-4265-EE8C-A4F2-6B2284F9126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6350</xdr:colOff>
          <xdr:row>84</xdr:row>
          <xdr:rowOff>0</xdr:rowOff>
        </xdr:from>
        <xdr:to>
          <xdr:col>11</xdr:col>
          <xdr:colOff>0</xdr:colOff>
          <xdr:row>84</xdr:row>
          <xdr:rowOff>0</xdr:rowOff>
        </xdr:to>
        <xdr:sp macro="" textlink="">
          <xdr:nvSpPr>
            <xdr:cNvPr id="15" name="Object -1009" hidden="1">
              <a:extLst>
                <a:ext uri="{63B3BB69-23CF-44E3-9099-C40C66FF867C}">
                  <a14:compatExt spid="_x0000_s15"/>
                </a:ext>
                <a:ext uri="{FF2B5EF4-FFF2-40B4-BE49-F238E27FC236}">
                  <a16:creationId xmlns:a16="http://schemas.microsoft.com/office/drawing/2014/main" id="{87F8FD38-3BDB-3491-7EFB-9ECF6ED56C2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6350</xdr:colOff>
          <xdr:row>84</xdr:row>
          <xdr:rowOff>0</xdr:rowOff>
        </xdr:from>
        <xdr:to>
          <xdr:col>11</xdr:col>
          <xdr:colOff>0</xdr:colOff>
          <xdr:row>84</xdr:row>
          <xdr:rowOff>0</xdr:rowOff>
        </xdr:to>
        <xdr:sp macro="" textlink="">
          <xdr:nvSpPr>
            <xdr:cNvPr id="16" name="Object -1008" hidden="1">
              <a:extLst>
                <a:ext uri="{63B3BB69-23CF-44E3-9099-C40C66FF867C}">
                  <a14:compatExt spid="_x0000_s16"/>
                </a:ext>
                <a:ext uri="{FF2B5EF4-FFF2-40B4-BE49-F238E27FC236}">
                  <a16:creationId xmlns:a16="http://schemas.microsoft.com/office/drawing/2014/main" id="{4818253E-DDA3-5797-0956-497E4A09420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6350</xdr:colOff>
          <xdr:row>84</xdr:row>
          <xdr:rowOff>0</xdr:rowOff>
        </xdr:from>
        <xdr:to>
          <xdr:col>11</xdr:col>
          <xdr:colOff>0</xdr:colOff>
          <xdr:row>84</xdr:row>
          <xdr:rowOff>0</xdr:rowOff>
        </xdr:to>
        <xdr:sp macro="" textlink="">
          <xdr:nvSpPr>
            <xdr:cNvPr id="17" name="Object -1007" hidden="1">
              <a:extLst>
                <a:ext uri="{63B3BB69-23CF-44E3-9099-C40C66FF867C}">
                  <a14:compatExt spid="_x0000_s17"/>
                </a:ext>
                <a:ext uri="{FF2B5EF4-FFF2-40B4-BE49-F238E27FC236}">
                  <a16:creationId xmlns:a16="http://schemas.microsoft.com/office/drawing/2014/main" id="{B5F55D39-E09C-5556-8CC2-93931A93718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6350</xdr:colOff>
          <xdr:row>84</xdr:row>
          <xdr:rowOff>0</xdr:rowOff>
        </xdr:from>
        <xdr:to>
          <xdr:col>11</xdr:col>
          <xdr:colOff>0</xdr:colOff>
          <xdr:row>84</xdr:row>
          <xdr:rowOff>0</xdr:rowOff>
        </xdr:to>
        <xdr:sp macro="" textlink="">
          <xdr:nvSpPr>
            <xdr:cNvPr id="18" name="Object -1006" hidden="1">
              <a:extLst>
                <a:ext uri="{63B3BB69-23CF-44E3-9099-C40C66FF867C}">
                  <a14:compatExt spid="_x0000_s18"/>
                </a:ext>
                <a:ext uri="{FF2B5EF4-FFF2-40B4-BE49-F238E27FC236}">
                  <a16:creationId xmlns:a16="http://schemas.microsoft.com/office/drawing/2014/main" id="{7D871CB0-8AA3-9AC1-58D9-C1B73D18B86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6350</xdr:colOff>
          <xdr:row>84</xdr:row>
          <xdr:rowOff>0</xdr:rowOff>
        </xdr:from>
        <xdr:to>
          <xdr:col>11</xdr:col>
          <xdr:colOff>0</xdr:colOff>
          <xdr:row>84</xdr:row>
          <xdr:rowOff>0</xdr:rowOff>
        </xdr:to>
        <xdr:sp macro="" textlink="">
          <xdr:nvSpPr>
            <xdr:cNvPr id="19" name="Object -1005" hidden="1">
              <a:extLst>
                <a:ext uri="{63B3BB69-23CF-44E3-9099-C40C66FF867C}">
                  <a14:compatExt spid="_x0000_s19"/>
                </a:ext>
                <a:ext uri="{FF2B5EF4-FFF2-40B4-BE49-F238E27FC236}">
                  <a16:creationId xmlns:a16="http://schemas.microsoft.com/office/drawing/2014/main" id="{2753BE32-7249-3337-AE54-C26CF39DA2C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9" name="Picture 16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10" name="Picture 15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20" name="Picture 14">
          <a:extLst>
            <a:ext uri="{FF2B5EF4-FFF2-40B4-BE49-F238E27FC236}">
              <a16:creationId xmlns:a16="http://schemas.microsoft.com/office/drawing/2014/main" id="{00000000-0008-0000-05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21" name="Picture 13">
          <a:extLst>
            <a:ext uri="{FF2B5EF4-FFF2-40B4-BE49-F238E27FC236}">
              <a16:creationId xmlns:a16="http://schemas.microsoft.com/office/drawing/2014/main" id="{00000000-0008-0000-05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22" name="Picture 12">
          <a:extLst>
            <a:ext uri="{FF2B5EF4-FFF2-40B4-BE49-F238E27FC236}">
              <a16:creationId xmlns:a16="http://schemas.microsoft.com/office/drawing/2014/main" id="{00000000-0008-0000-05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23" name="Picture 11">
          <a:extLst>
            <a:ext uri="{FF2B5EF4-FFF2-40B4-BE49-F238E27FC236}">
              <a16:creationId xmlns:a16="http://schemas.microsoft.com/office/drawing/2014/main" id="{00000000-0008-0000-05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24" name="Picture 10">
          <a:extLst>
            <a:ext uri="{FF2B5EF4-FFF2-40B4-BE49-F238E27FC236}">
              <a16:creationId xmlns:a16="http://schemas.microsoft.com/office/drawing/2014/main" id="{00000000-0008-0000-05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9525</xdr:colOff>
      <xdr:row>84</xdr:row>
      <xdr:rowOff>0</xdr:rowOff>
    </xdr:from>
    <xdr:to>
      <xdr:col>12</xdr:col>
      <xdr:colOff>0</xdr:colOff>
      <xdr:row>84</xdr:row>
      <xdr:rowOff>0</xdr:rowOff>
    </xdr:to>
    <xdr:pic>
      <xdr:nvPicPr>
        <xdr:cNvPr id="3081" name="Picture 9">
          <a:extLst>
            <a:ext uri="{FF2B5EF4-FFF2-40B4-BE49-F238E27FC236}">
              <a16:creationId xmlns:a16="http://schemas.microsoft.com/office/drawing/2014/main" id="{00000000-0008-0000-0500-00000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4706600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9525</xdr:colOff>
      <xdr:row>84</xdr:row>
      <xdr:rowOff>0</xdr:rowOff>
    </xdr:from>
    <xdr:to>
      <xdr:col>12</xdr:col>
      <xdr:colOff>0</xdr:colOff>
      <xdr:row>84</xdr:row>
      <xdr:rowOff>0</xdr:rowOff>
    </xdr:to>
    <xdr:pic>
      <xdr:nvPicPr>
        <xdr:cNvPr id="3080" name="Picture 8">
          <a:extLst>
            <a:ext uri="{FF2B5EF4-FFF2-40B4-BE49-F238E27FC236}">
              <a16:creationId xmlns:a16="http://schemas.microsoft.com/office/drawing/2014/main" id="{00000000-0008-0000-0500-00000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4706600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9525</xdr:colOff>
      <xdr:row>84</xdr:row>
      <xdr:rowOff>0</xdr:rowOff>
    </xdr:from>
    <xdr:to>
      <xdr:col>12</xdr:col>
      <xdr:colOff>0</xdr:colOff>
      <xdr:row>84</xdr:row>
      <xdr:rowOff>0</xdr:rowOff>
    </xdr:to>
    <xdr:pic>
      <xdr:nvPicPr>
        <xdr:cNvPr id="3079" name="Picture 7">
          <a:extLst>
            <a:ext uri="{FF2B5EF4-FFF2-40B4-BE49-F238E27FC236}">
              <a16:creationId xmlns:a16="http://schemas.microsoft.com/office/drawing/2014/main" id="{00000000-0008-0000-0500-00000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4706600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9525</xdr:colOff>
      <xdr:row>84</xdr:row>
      <xdr:rowOff>0</xdr:rowOff>
    </xdr:from>
    <xdr:to>
      <xdr:col>12</xdr:col>
      <xdr:colOff>0</xdr:colOff>
      <xdr:row>84</xdr:row>
      <xdr:rowOff>0</xdr:rowOff>
    </xdr:to>
    <xdr:pic>
      <xdr:nvPicPr>
        <xdr:cNvPr id="3078" name="Picture 6">
          <a:extLst>
            <a:ext uri="{FF2B5EF4-FFF2-40B4-BE49-F238E27FC236}">
              <a16:creationId xmlns:a16="http://schemas.microsoft.com/office/drawing/2014/main" id="{00000000-0008-0000-0500-00000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4706600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9525</xdr:colOff>
      <xdr:row>84</xdr:row>
      <xdr:rowOff>0</xdr:rowOff>
    </xdr:from>
    <xdr:to>
      <xdr:col>12</xdr:col>
      <xdr:colOff>0</xdr:colOff>
      <xdr:row>84</xdr:row>
      <xdr:rowOff>0</xdr:rowOff>
    </xdr:to>
    <xdr:pic>
      <xdr:nvPicPr>
        <xdr:cNvPr id="3077" name="Picture 5">
          <a:extLst>
            <a:ext uri="{FF2B5EF4-FFF2-40B4-BE49-F238E27FC236}">
              <a16:creationId xmlns:a16="http://schemas.microsoft.com/office/drawing/2014/main" id="{00000000-0008-0000-0500-00000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4706600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9525</xdr:colOff>
      <xdr:row>84</xdr:row>
      <xdr:rowOff>0</xdr:rowOff>
    </xdr:from>
    <xdr:to>
      <xdr:col>12</xdr:col>
      <xdr:colOff>0</xdr:colOff>
      <xdr:row>84</xdr:row>
      <xdr:rowOff>0</xdr:rowOff>
    </xdr:to>
    <xdr:pic>
      <xdr:nvPicPr>
        <xdr:cNvPr id="3076" name="Picture 4">
          <a:extLst>
            <a:ext uri="{FF2B5EF4-FFF2-40B4-BE49-F238E27FC236}">
              <a16:creationId xmlns:a16="http://schemas.microsoft.com/office/drawing/2014/main" id="{00000000-0008-0000-0500-00000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4706600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9525</xdr:colOff>
      <xdr:row>84</xdr:row>
      <xdr:rowOff>0</xdr:rowOff>
    </xdr:from>
    <xdr:to>
      <xdr:col>12</xdr:col>
      <xdr:colOff>0</xdr:colOff>
      <xdr:row>84</xdr:row>
      <xdr:rowOff>0</xdr:rowOff>
    </xdr:to>
    <xdr:pic>
      <xdr:nvPicPr>
        <xdr:cNvPr id="3075" name="Picture 3">
          <a:extLst>
            <a:ext uri="{FF2B5EF4-FFF2-40B4-BE49-F238E27FC236}">
              <a16:creationId xmlns:a16="http://schemas.microsoft.com/office/drawing/2014/main" id="{00000000-0008-0000-0500-00000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4706600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9525</xdr:colOff>
      <xdr:row>84</xdr:row>
      <xdr:rowOff>0</xdr:rowOff>
    </xdr:from>
    <xdr:to>
      <xdr:col>12</xdr:col>
      <xdr:colOff>0</xdr:colOff>
      <xdr:row>84</xdr:row>
      <xdr:rowOff>0</xdr:rowOff>
    </xdr:to>
    <xdr:pic>
      <xdr:nvPicPr>
        <xdr:cNvPr id="3074" name="Picture 2">
          <a:extLst>
            <a:ext uri="{FF2B5EF4-FFF2-40B4-BE49-F238E27FC236}">
              <a16:creationId xmlns:a16="http://schemas.microsoft.com/office/drawing/2014/main" id="{00000000-0008-0000-0500-00000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4706600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9525</xdr:colOff>
      <xdr:row>84</xdr:row>
      <xdr:rowOff>0</xdr:rowOff>
    </xdr:from>
    <xdr:to>
      <xdr:col>12</xdr:col>
      <xdr:colOff>0</xdr:colOff>
      <xdr:row>84</xdr:row>
      <xdr:rowOff>0</xdr:rowOff>
    </xdr:to>
    <xdr:pic>
      <xdr:nvPicPr>
        <xdr:cNvPr id="3073" name="Picture 1">
          <a:extLst>
            <a:ext uri="{FF2B5EF4-FFF2-40B4-BE49-F238E27FC236}">
              <a16:creationId xmlns:a16="http://schemas.microsoft.com/office/drawing/2014/main" id="{00000000-0008-0000-0500-00000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4706600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25" name="Object -1022" hidden="1">
          <a:extLst>
            <a:ext uri="{FF2B5EF4-FFF2-40B4-BE49-F238E27FC236}">
              <a16:creationId xmlns:a16="http://schemas.microsoft.com/office/drawing/2014/main" id="{00000000-0008-0000-05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26" name="Object -1021" hidden="1">
          <a:extLst>
            <a:ext uri="{FF2B5EF4-FFF2-40B4-BE49-F238E27FC236}">
              <a16:creationId xmlns:a16="http://schemas.microsoft.com/office/drawing/2014/main" id="{00000000-0008-0000-05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27" name="Object -1020" hidden="1">
          <a:extLst>
            <a:ext uri="{FF2B5EF4-FFF2-40B4-BE49-F238E27FC236}">
              <a16:creationId xmlns:a16="http://schemas.microsoft.com/office/drawing/2014/main" id="{00000000-0008-0000-05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28" name="Object -1019" hidden="1">
          <a:extLst>
            <a:ext uri="{FF2B5EF4-FFF2-40B4-BE49-F238E27FC236}">
              <a16:creationId xmlns:a16="http://schemas.microsoft.com/office/drawing/2014/main" id="{00000000-0008-0000-05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29" name="Object -1018" hidden="1">
          <a:extLst>
            <a:ext uri="{FF2B5EF4-FFF2-40B4-BE49-F238E27FC236}">
              <a16:creationId xmlns:a16="http://schemas.microsoft.com/office/drawing/2014/main" id="{00000000-0008-0000-05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0" name="Object -1017" hidden="1">
          <a:extLst>
            <a:ext uri="{FF2B5EF4-FFF2-40B4-BE49-F238E27FC236}">
              <a16:creationId xmlns:a16="http://schemas.microsoft.com/office/drawing/2014/main" id="{00000000-0008-0000-05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1" name="Object -1016" hidden="1">
          <a:extLst>
            <a:ext uri="{FF2B5EF4-FFF2-40B4-BE49-F238E27FC236}">
              <a16:creationId xmlns:a16="http://schemas.microsoft.com/office/drawing/2014/main" id="{00000000-0008-0000-05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9525</xdr:colOff>
      <xdr:row>84</xdr:row>
      <xdr:rowOff>0</xdr:rowOff>
    </xdr:from>
    <xdr:to>
      <xdr:col>12</xdr:col>
      <xdr:colOff>0</xdr:colOff>
      <xdr:row>84</xdr:row>
      <xdr:rowOff>0</xdr:rowOff>
    </xdr:to>
    <xdr:pic>
      <xdr:nvPicPr>
        <xdr:cNvPr id="3072" name="Object -1013" hidden="1">
          <a:extLst>
            <a:ext uri="{FF2B5EF4-FFF2-40B4-BE49-F238E27FC236}">
              <a16:creationId xmlns:a16="http://schemas.microsoft.com/office/drawing/2014/main" id="{00000000-0008-0000-0500-00000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486852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9525</xdr:colOff>
      <xdr:row>84</xdr:row>
      <xdr:rowOff>0</xdr:rowOff>
    </xdr:from>
    <xdr:to>
      <xdr:col>12</xdr:col>
      <xdr:colOff>0</xdr:colOff>
      <xdr:row>84</xdr:row>
      <xdr:rowOff>0</xdr:rowOff>
    </xdr:to>
    <xdr:pic>
      <xdr:nvPicPr>
        <xdr:cNvPr id="3091" name="Object -1012" hidden="1">
          <a:extLst>
            <a:ext uri="{FF2B5EF4-FFF2-40B4-BE49-F238E27FC236}">
              <a16:creationId xmlns:a16="http://schemas.microsoft.com/office/drawing/2014/main" id="{00000000-0008-0000-0500-00001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486852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9525</xdr:colOff>
      <xdr:row>84</xdr:row>
      <xdr:rowOff>0</xdr:rowOff>
    </xdr:from>
    <xdr:to>
      <xdr:col>12</xdr:col>
      <xdr:colOff>0</xdr:colOff>
      <xdr:row>84</xdr:row>
      <xdr:rowOff>0</xdr:rowOff>
    </xdr:to>
    <xdr:pic>
      <xdr:nvPicPr>
        <xdr:cNvPr id="3092" name="Object -1011" hidden="1">
          <a:extLst>
            <a:ext uri="{FF2B5EF4-FFF2-40B4-BE49-F238E27FC236}">
              <a16:creationId xmlns:a16="http://schemas.microsoft.com/office/drawing/2014/main" id="{00000000-0008-0000-0500-00001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486852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9525</xdr:colOff>
      <xdr:row>84</xdr:row>
      <xdr:rowOff>0</xdr:rowOff>
    </xdr:from>
    <xdr:to>
      <xdr:col>12</xdr:col>
      <xdr:colOff>0</xdr:colOff>
      <xdr:row>84</xdr:row>
      <xdr:rowOff>0</xdr:rowOff>
    </xdr:to>
    <xdr:pic>
      <xdr:nvPicPr>
        <xdr:cNvPr id="3093" name="Object -1010" hidden="1">
          <a:extLst>
            <a:ext uri="{FF2B5EF4-FFF2-40B4-BE49-F238E27FC236}">
              <a16:creationId xmlns:a16="http://schemas.microsoft.com/office/drawing/2014/main" id="{00000000-0008-0000-0500-00001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486852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9525</xdr:colOff>
      <xdr:row>84</xdr:row>
      <xdr:rowOff>0</xdr:rowOff>
    </xdr:from>
    <xdr:to>
      <xdr:col>12</xdr:col>
      <xdr:colOff>0</xdr:colOff>
      <xdr:row>84</xdr:row>
      <xdr:rowOff>0</xdr:rowOff>
    </xdr:to>
    <xdr:pic>
      <xdr:nvPicPr>
        <xdr:cNvPr id="3094" name="Object -1009" hidden="1">
          <a:extLst>
            <a:ext uri="{FF2B5EF4-FFF2-40B4-BE49-F238E27FC236}">
              <a16:creationId xmlns:a16="http://schemas.microsoft.com/office/drawing/2014/main" id="{00000000-0008-0000-0500-00001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486852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9525</xdr:colOff>
      <xdr:row>84</xdr:row>
      <xdr:rowOff>0</xdr:rowOff>
    </xdr:from>
    <xdr:to>
      <xdr:col>12</xdr:col>
      <xdr:colOff>0</xdr:colOff>
      <xdr:row>84</xdr:row>
      <xdr:rowOff>0</xdr:rowOff>
    </xdr:to>
    <xdr:pic>
      <xdr:nvPicPr>
        <xdr:cNvPr id="3095" name="Object -1008" hidden="1">
          <a:extLst>
            <a:ext uri="{FF2B5EF4-FFF2-40B4-BE49-F238E27FC236}">
              <a16:creationId xmlns:a16="http://schemas.microsoft.com/office/drawing/2014/main" id="{00000000-0008-0000-0500-00001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486852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9525</xdr:colOff>
      <xdr:row>84</xdr:row>
      <xdr:rowOff>0</xdr:rowOff>
    </xdr:from>
    <xdr:to>
      <xdr:col>12</xdr:col>
      <xdr:colOff>0</xdr:colOff>
      <xdr:row>84</xdr:row>
      <xdr:rowOff>0</xdr:rowOff>
    </xdr:to>
    <xdr:pic>
      <xdr:nvPicPr>
        <xdr:cNvPr id="3096" name="Object -1007" hidden="1">
          <a:extLst>
            <a:ext uri="{FF2B5EF4-FFF2-40B4-BE49-F238E27FC236}">
              <a16:creationId xmlns:a16="http://schemas.microsoft.com/office/drawing/2014/main" id="{00000000-0008-0000-0500-00001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486852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9525</xdr:colOff>
      <xdr:row>84</xdr:row>
      <xdr:rowOff>0</xdr:rowOff>
    </xdr:from>
    <xdr:to>
      <xdr:col>12</xdr:col>
      <xdr:colOff>0</xdr:colOff>
      <xdr:row>84</xdr:row>
      <xdr:rowOff>0</xdr:rowOff>
    </xdr:to>
    <xdr:pic>
      <xdr:nvPicPr>
        <xdr:cNvPr id="3097" name="Object -1006" hidden="1">
          <a:extLst>
            <a:ext uri="{FF2B5EF4-FFF2-40B4-BE49-F238E27FC236}">
              <a16:creationId xmlns:a16="http://schemas.microsoft.com/office/drawing/2014/main" id="{00000000-0008-0000-0500-00001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486852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9525</xdr:colOff>
      <xdr:row>84</xdr:row>
      <xdr:rowOff>0</xdr:rowOff>
    </xdr:from>
    <xdr:to>
      <xdr:col>12</xdr:col>
      <xdr:colOff>0</xdr:colOff>
      <xdr:row>84</xdr:row>
      <xdr:rowOff>0</xdr:rowOff>
    </xdr:to>
    <xdr:pic>
      <xdr:nvPicPr>
        <xdr:cNvPr id="3098" name="Object -1005" hidden="1">
          <a:extLst>
            <a:ext uri="{FF2B5EF4-FFF2-40B4-BE49-F238E27FC236}">
              <a16:creationId xmlns:a16="http://schemas.microsoft.com/office/drawing/2014/main" id="{00000000-0008-0000-0500-00001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486852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099" name="Object -1022" hidden="1">
          <a:extLst>
            <a:ext uri="{FF2B5EF4-FFF2-40B4-BE49-F238E27FC236}">
              <a16:creationId xmlns:a16="http://schemas.microsoft.com/office/drawing/2014/main" id="{00000000-0008-0000-0500-00001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100" name="Object -1021" hidden="1">
          <a:extLst>
            <a:ext uri="{FF2B5EF4-FFF2-40B4-BE49-F238E27FC236}">
              <a16:creationId xmlns:a16="http://schemas.microsoft.com/office/drawing/2014/main" id="{00000000-0008-0000-0500-00001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101" name="Object -1020" hidden="1">
          <a:extLst>
            <a:ext uri="{FF2B5EF4-FFF2-40B4-BE49-F238E27FC236}">
              <a16:creationId xmlns:a16="http://schemas.microsoft.com/office/drawing/2014/main" id="{00000000-0008-0000-0500-00001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102" name="Object -1019" hidden="1">
          <a:extLst>
            <a:ext uri="{FF2B5EF4-FFF2-40B4-BE49-F238E27FC236}">
              <a16:creationId xmlns:a16="http://schemas.microsoft.com/office/drawing/2014/main" id="{00000000-0008-0000-0500-00001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103" name="Object -1018" hidden="1">
          <a:extLst>
            <a:ext uri="{FF2B5EF4-FFF2-40B4-BE49-F238E27FC236}">
              <a16:creationId xmlns:a16="http://schemas.microsoft.com/office/drawing/2014/main" id="{00000000-0008-0000-0500-00001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104" name="Object -1017" hidden="1">
          <a:extLst>
            <a:ext uri="{FF2B5EF4-FFF2-40B4-BE49-F238E27FC236}">
              <a16:creationId xmlns:a16="http://schemas.microsoft.com/office/drawing/2014/main" id="{00000000-0008-0000-0500-00002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105" name="Object -1016" hidden="1">
          <a:extLst>
            <a:ext uri="{FF2B5EF4-FFF2-40B4-BE49-F238E27FC236}">
              <a16:creationId xmlns:a16="http://schemas.microsoft.com/office/drawing/2014/main" id="{00000000-0008-0000-0500-00002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9525</xdr:colOff>
      <xdr:row>84</xdr:row>
      <xdr:rowOff>0</xdr:rowOff>
    </xdr:from>
    <xdr:to>
      <xdr:col>12</xdr:col>
      <xdr:colOff>0</xdr:colOff>
      <xdr:row>84</xdr:row>
      <xdr:rowOff>0</xdr:rowOff>
    </xdr:to>
    <xdr:pic>
      <xdr:nvPicPr>
        <xdr:cNvPr id="3106" name="Object -1013" hidden="1">
          <a:extLst>
            <a:ext uri="{FF2B5EF4-FFF2-40B4-BE49-F238E27FC236}">
              <a16:creationId xmlns:a16="http://schemas.microsoft.com/office/drawing/2014/main" id="{00000000-0008-0000-0500-00002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7638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9525</xdr:colOff>
      <xdr:row>84</xdr:row>
      <xdr:rowOff>0</xdr:rowOff>
    </xdr:from>
    <xdr:to>
      <xdr:col>12</xdr:col>
      <xdr:colOff>0</xdr:colOff>
      <xdr:row>84</xdr:row>
      <xdr:rowOff>0</xdr:rowOff>
    </xdr:to>
    <xdr:pic>
      <xdr:nvPicPr>
        <xdr:cNvPr id="3107" name="Object -1012" hidden="1">
          <a:extLst>
            <a:ext uri="{FF2B5EF4-FFF2-40B4-BE49-F238E27FC236}">
              <a16:creationId xmlns:a16="http://schemas.microsoft.com/office/drawing/2014/main" id="{00000000-0008-0000-0500-00002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7638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9525</xdr:colOff>
      <xdr:row>84</xdr:row>
      <xdr:rowOff>0</xdr:rowOff>
    </xdr:from>
    <xdr:to>
      <xdr:col>12</xdr:col>
      <xdr:colOff>0</xdr:colOff>
      <xdr:row>84</xdr:row>
      <xdr:rowOff>0</xdr:rowOff>
    </xdr:to>
    <xdr:pic>
      <xdr:nvPicPr>
        <xdr:cNvPr id="3108" name="Object -1011" hidden="1">
          <a:extLst>
            <a:ext uri="{FF2B5EF4-FFF2-40B4-BE49-F238E27FC236}">
              <a16:creationId xmlns:a16="http://schemas.microsoft.com/office/drawing/2014/main" id="{00000000-0008-0000-0500-00002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7638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9525</xdr:colOff>
      <xdr:row>84</xdr:row>
      <xdr:rowOff>0</xdr:rowOff>
    </xdr:from>
    <xdr:to>
      <xdr:col>12</xdr:col>
      <xdr:colOff>0</xdr:colOff>
      <xdr:row>84</xdr:row>
      <xdr:rowOff>0</xdr:rowOff>
    </xdr:to>
    <xdr:pic>
      <xdr:nvPicPr>
        <xdr:cNvPr id="3109" name="Object -1010" hidden="1">
          <a:extLst>
            <a:ext uri="{FF2B5EF4-FFF2-40B4-BE49-F238E27FC236}">
              <a16:creationId xmlns:a16="http://schemas.microsoft.com/office/drawing/2014/main" id="{00000000-0008-0000-0500-00002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7638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9525</xdr:colOff>
      <xdr:row>84</xdr:row>
      <xdr:rowOff>0</xdr:rowOff>
    </xdr:from>
    <xdr:to>
      <xdr:col>12</xdr:col>
      <xdr:colOff>0</xdr:colOff>
      <xdr:row>84</xdr:row>
      <xdr:rowOff>0</xdr:rowOff>
    </xdr:to>
    <xdr:pic>
      <xdr:nvPicPr>
        <xdr:cNvPr id="3110" name="Object -1009" hidden="1">
          <a:extLst>
            <a:ext uri="{FF2B5EF4-FFF2-40B4-BE49-F238E27FC236}">
              <a16:creationId xmlns:a16="http://schemas.microsoft.com/office/drawing/2014/main" id="{00000000-0008-0000-0500-00002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7638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9525</xdr:colOff>
      <xdr:row>84</xdr:row>
      <xdr:rowOff>0</xdr:rowOff>
    </xdr:from>
    <xdr:to>
      <xdr:col>12</xdr:col>
      <xdr:colOff>0</xdr:colOff>
      <xdr:row>84</xdr:row>
      <xdr:rowOff>0</xdr:rowOff>
    </xdr:to>
    <xdr:pic>
      <xdr:nvPicPr>
        <xdr:cNvPr id="3111" name="Object -1008" hidden="1">
          <a:extLst>
            <a:ext uri="{FF2B5EF4-FFF2-40B4-BE49-F238E27FC236}">
              <a16:creationId xmlns:a16="http://schemas.microsoft.com/office/drawing/2014/main" id="{00000000-0008-0000-0500-00002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7638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9525</xdr:colOff>
      <xdr:row>84</xdr:row>
      <xdr:rowOff>0</xdr:rowOff>
    </xdr:from>
    <xdr:to>
      <xdr:col>12</xdr:col>
      <xdr:colOff>0</xdr:colOff>
      <xdr:row>84</xdr:row>
      <xdr:rowOff>0</xdr:rowOff>
    </xdr:to>
    <xdr:pic>
      <xdr:nvPicPr>
        <xdr:cNvPr id="3112" name="Object -1007" hidden="1">
          <a:extLst>
            <a:ext uri="{FF2B5EF4-FFF2-40B4-BE49-F238E27FC236}">
              <a16:creationId xmlns:a16="http://schemas.microsoft.com/office/drawing/2014/main" id="{00000000-0008-0000-0500-00002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7638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9525</xdr:colOff>
      <xdr:row>84</xdr:row>
      <xdr:rowOff>0</xdr:rowOff>
    </xdr:from>
    <xdr:to>
      <xdr:col>12</xdr:col>
      <xdr:colOff>0</xdr:colOff>
      <xdr:row>84</xdr:row>
      <xdr:rowOff>0</xdr:rowOff>
    </xdr:to>
    <xdr:pic>
      <xdr:nvPicPr>
        <xdr:cNvPr id="3113" name="Object -1006" hidden="1">
          <a:extLst>
            <a:ext uri="{FF2B5EF4-FFF2-40B4-BE49-F238E27FC236}">
              <a16:creationId xmlns:a16="http://schemas.microsoft.com/office/drawing/2014/main" id="{00000000-0008-0000-0500-00002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7638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9525</xdr:colOff>
      <xdr:row>84</xdr:row>
      <xdr:rowOff>0</xdr:rowOff>
    </xdr:from>
    <xdr:to>
      <xdr:col>12</xdr:col>
      <xdr:colOff>0</xdr:colOff>
      <xdr:row>84</xdr:row>
      <xdr:rowOff>0</xdr:rowOff>
    </xdr:to>
    <xdr:pic>
      <xdr:nvPicPr>
        <xdr:cNvPr id="3114" name="Object -1005" hidden="1">
          <a:extLst>
            <a:ext uri="{FF2B5EF4-FFF2-40B4-BE49-F238E27FC236}">
              <a16:creationId xmlns:a16="http://schemas.microsoft.com/office/drawing/2014/main" id="{00000000-0008-0000-0500-00002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7638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115" name="Object -1022" hidden="1">
          <a:extLst>
            <a:ext uri="{FF2B5EF4-FFF2-40B4-BE49-F238E27FC236}">
              <a16:creationId xmlns:a16="http://schemas.microsoft.com/office/drawing/2014/main" id="{00000000-0008-0000-0500-00002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116" name="Object -1021" hidden="1">
          <a:extLst>
            <a:ext uri="{FF2B5EF4-FFF2-40B4-BE49-F238E27FC236}">
              <a16:creationId xmlns:a16="http://schemas.microsoft.com/office/drawing/2014/main" id="{00000000-0008-0000-0500-00002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117" name="Object -1020" hidden="1">
          <a:extLst>
            <a:ext uri="{FF2B5EF4-FFF2-40B4-BE49-F238E27FC236}">
              <a16:creationId xmlns:a16="http://schemas.microsoft.com/office/drawing/2014/main" id="{00000000-0008-0000-0500-00002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118" name="Object -1019" hidden="1">
          <a:extLst>
            <a:ext uri="{FF2B5EF4-FFF2-40B4-BE49-F238E27FC236}">
              <a16:creationId xmlns:a16="http://schemas.microsoft.com/office/drawing/2014/main" id="{00000000-0008-0000-0500-00002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119" name="Object -1018" hidden="1">
          <a:extLst>
            <a:ext uri="{FF2B5EF4-FFF2-40B4-BE49-F238E27FC236}">
              <a16:creationId xmlns:a16="http://schemas.microsoft.com/office/drawing/2014/main" id="{00000000-0008-0000-0500-00002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120" name="Object -1017" hidden="1">
          <a:extLst>
            <a:ext uri="{FF2B5EF4-FFF2-40B4-BE49-F238E27FC236}">
              <a16:creationId xmlns:a16="http://schemas.microsoft.com/office/drawing/2014/main" id="{00000000-0008-0000-0500-00003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121" name="Object -1016" hidden="1">
          <a:extLst>
            <a:ext uri="{FF2B5EF4-FFF2-40B4-BE49-F238E27FC236}">
              <a16:creationId xmlns:a16="http://schemas.microsoft.com/office/drawing/2014/main" id="{00000000-0008-0000-0500-00003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9525</xdr:colOff>
      <xdr:row>84</xdr:row>
      <xdr:rowOff>0</xdr:rowOff>
    </xdr:from>
    <xdr:to>
      <xdr:col>12</xdr:col>
      <xdr:colOff>0</xdr:colOff>
      <xdr:row>84</xdr:row>
      <xdr:rowOff>0</xdr:rowOff>
    </xdr:to>
    <xdr:pic>
      <xdr:nvPicPr>
        <xdr:cNvPr id="3122" name="Object -1013" hidden="1">
          <a:extLst>
            <a:ext uri="{FF2B5EF4-FFF2-40B4-BE49-F238E27FC236}">
              <a16:creationId xmlns:a16="http://schemas.microsoft.com/office/drawing/2014/main" id="{00000000-0008-0000-0500-00003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7638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9525</xdr:colOff>
      <xdr:row>84</xdr:row>
      <xdr:rowOff>0</xdr:rowOff>
    </xdr:from>
    <xdr:to>
      <xdr:col>12</xdr:col>
      <xdr:colOff>0</xdr:colOff>
      <xdr:row>84</xdr:row>
      <xdr:rowOff>0</xdr:rowOff>
    </xdr:to>
    <xdr:pic>
      <xdr:nvPicPr>
        <xdr:cNvPr id="3123" name="Object -1012" hidden="1">
          <a:extLst>
            <a:ext uri="{FF2B5EF4-FFF2-40B4-BE49-F238E27FC236}">
              <a16:creationId xmlns:a16="http://schemas.microsoft.com/office/drawing/2014/main" id="{00000000-0008-0000-0500-00003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7638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9525</xdr:colOff>
      <xdr:row>84</xdr:row>
      <xdr:rowOff>0</xdr:rowOff>
    </xdr:from>
    <xdr:to>
      <xdr:col>12</xdr:col>
      <xdr:colOff>0</xdr:colOff>
      <xdr:row>84</xdr:row>
      <xdr:rowOff>0</xdr:rowOff>
    </xdr:to>
    <xdr:pic>
      <xdr:nvPicPr>
        <xdr:cNvPr id="3124" name="Object -1011" hidden="1">
          <a:extLst>
            <a:ext uri="{FF2B5EF4-FFF2-40B4-BE49-F238E27FC236}">
              <a16:creationId xmlns:a16="http://schemas.microsoft.com/office/drawing/2014/main" id="{00000000-0008-0000-0500-00003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7638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9525</xdr:colOff>
      <xdr:row>84</xdr:row>
      <xdr:rowOff>0</xdr:rowOff>
    </xdr:from>
    <xdr:to>
      <xdr:col>12</xdr:col>
      <xdr:colOff>0</xdr:colOff>
      <xdr:row>84</xdr:row>
      <xdr:rowOff>0</xdr:rowOff>
    </xdr:to>
    <xdr:pic>
      <xdr:nvPicPr>
        <xdr:cNvPr id="3125" name="Object -1010" hidden="1">
          <a:extLst>
            <a:ext uri="{FF2B5EF4-FFF2-40B4-BE49-F238E27FC236}">
              <a16:creationId xmlns:a16="http://schemas.microsoft.com/office/drawing/2014/main" id="{00000000-0008-0000-0500-00003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7638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9525</xdr:colOff>
      <xdr:row>84</xdr:row>
      <xdr:rowOff>0</xdr:rowOff>
    </xdr:from>
    <xdr:to>
      <xdr:col>12</xdr:col>
      <xdr:colOff>0</xdr:colOff>
      <xdr:row>84</xdr:row>
      <xdr:rowOff>0</xdr:rowOff>
    </xdr:to>
    <xdr:pic>
      <xdr:nvPicPr>
        <xdr:cNvPr id="3126" name="Object -1009" hidden="1">
          <a:extLst>
            <a:ext uri="{FF2B5EF4-FFF2-40B4-BE49-F238E27FC236}">
              <a16:creationId xmlns:a16="http://schemas.microsoft.com/office/drawing/2014/main" id="{00000000-0008-0000-0500-00003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7638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9525</xdr:colOff>
      <xdr:row>84</xdr:row>
      <xdr:rowOff>0</xdr:rowOff>
    </xdr:from>
    <xdr:to>
      <xdr:col>12</xdr:col>
      <xdr:colOff>0</xdr:colOff>
      <xdr:row>84</xdr:row>
      <xdr:rowOff>0</xdr:rowOff>
    </xdr:to>
    <xdr:pic>
      <xdr:nvPicPr>
        <xdr:cNvPr id="3127" name="Object -1008" hidden="1">
          <a:extLst>
            <a:ext uri="{FF2B5EF4-FFF2-40B4-BE49-F238E27FC236}">
              <a16:creationId xmlns:a16="http://schemas.microsoft.com/office/drawing/2014/main" id="{00000000-0008-0000-0500-00003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7638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9525</xdr:colOff>
      <xdr:row>84</xdr:row>
      <xdr:rowOff>0</xdr:rowOff>
    </xdr:from>
    <xdr:to>
      <xdr:col>12</xdr:col>
      <xdr:colOff>0</xdr:colOff>
      <xdr:row>84</xdr:row>
      <xdr:rowOff>0</xdr:rowOff>
    </xdr:to>
    <xdr:pic>
      <xdr:nvPicPr>
        <xdr:cNvPr id="3128" name="Object -1007" hidden="1">
          <a:extLst>
            <a:ext uri="{FF2B5EF4-FFF2-40B4-BE49-F238E27FC236}">
              <a16:creationId xmlns:a16="http://schemas.microsoft.com/office/drawing/2014/main" id="{00000000-0008-0000-0500-00003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7638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9525</xdr:colOff>
      <xdr:row>84</xdr:row>
      <xdr:rowOff>0</xdr:rowOff>
    </xdr:from>
    <xdr:to>
      <xdr:col>12</xdr:col>
      <xdr:colOff>0</xdr:colOff>
      <xdr:row>84</xdr:row>
      <xdr:rowOff>0</xdr:rowOff>
    </xdr:to>
    <xdr:pic>
      <xdr:nvPicPr>
        <xdr:cNvPr id="3129" name="Object -1006" hidden="1">
          <a:extLst>
            <a:ext uri="{FF2B5EF4-FFF2-40B4-BE49-F238E27FC236}">
              <a16:creationId xmlns:a16="http://schemas.microsoft.com/office/drawing/2014/main" id="{00000000-0008-0000-0500-00003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7638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9525</xdr:colOff>
      <xdr:row>84</xdr:row>
      <xdr:rowOff>0</xdr:rowOff>
    </xdr:from>
    <xdr:to>
      <xdr:col>12</xdr:col>
      <xdr:colOff>0</xdr:colOff>
      <xdr:row>84</xdr:row>
      <xdr:rowOff>0</xdr:rowOff>
    </xdr:to>
    <xdr:pic>
      <xdr:nvPicPr>
        <xdr:cNvPr id="3130" name="Object -1005" hidden="1">
          <a:extLst>
            <a:ext uri="{FF2B5EF4-FFF2-40B4-BE49-F238E27FC236}">
              <a16:creationId xmlns:a16="http://schemas.microsoft.com/office/drawing/2014/main" id="{00000000-0008-0000-0500-00003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7638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131" name="Object -1022" hidden="1">
          <a:extLst>
            <a:ext uri="{FF2B5EF4-FFF2-40B4-BE49-F238E27FC236}">
              <a16:creationId xmlns:a16="http://schemas.microsoft.com/office/drawing/2014/main" id="{00000000-0008-0000-0500-00003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132" name="Object -1021" hidden="1">
          <a:extLst>
            <a:ext uri="{FF2B5EF4-FFF2-40B4-BE49-F238E27FC236}">
              <a16:creationId xmlns:a16="http://schemas.microsoft.com/office/drawing/2014/main" id="{00000000-0008-0000-0500-00003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133" name="Object -1020" hidden="1">
          <a:extLst>
            <a:ext uri="{FF2B5EF4-FFF2-40B4-BE49-F238E27FC236}">
              <a16:creationId xmlns:a16="http://schemas.microsoft.com/office/drawing/2014/main" id="{00000000-0008-0000-0500-00003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134" name="Object -1019" hidden="1">
          <a:extLst>
            <a:ext uri="{FF2B5EF4-FFF2-40B4-BE49-F238E27FC236}">
              <a16:creationId xmlns:a16="http://schemas.microsoft.com/office/drawing/2014/main" id="{00000000-0008-0000-0500-00003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135" name="Object -1018" hidden="1">
          <a:extLst>
            <a:ext uri="{FF2B5EF4-FFF2-40B4-BE49-F238E27FC236}">
              <a16:creationId xmlns:a16="http://schemas.microsoft.com/office/drawing/2014/main" id="{00000000-0008-0000-0500-00003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136" name="Object -1017" hidden="1">
          <a:extLst>
            <a:ext uri="{FF2B5EF4-FFF2-40B4-BE49-F238E27FC236}">
              <a16:creationId xmlns:a16="http://schemas.microsoft.com/office/drawing/2014/main" id="{00000000-0008-0000-0500-00004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137" name="Object -1016" hidden="1">
          <a:extLst>
            <a:ext uri="{FF2B5EF4-FFF2-40B4-BE49-F238E27FC236}">
              <a16:creationId xmlns:a16="http://schemas.microsoft.com/office/drawing/2014/main" id="{00000000-0008-0000-0500-00004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9525</xdr:colOff>
      <xdr:row>84</xdr:row>
      <xdr:rowOff>0</xdr:rowOff>
    </xdr:from>
    <xdr:to>
      <xdr:col>12</xdr:col>
      <xdr:colOff>0</xdr:colOff>
      <xdr:row>84</xdr:row>
      <xdr:rowOff>0</xdr:rowOff>
    </xdr:to>
    <xdr:pic>
      <xdr:nvPicPr>
        <xdr:cNvPr id="3138" name="Object -1013" hidden="1">
          <a:extLst>
            <a:ext uri="{FF2B5EF4-FFF2-40B4-BE49-F238E27FC236}">
              <a16:creationId xmlns:a16="http://schemas.microsoft.com/office/drawing/2014/main" id="{00000000-0008-0000-0500-00004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7638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9525</xdr:colOff>
      <xdr:row>84</xdr:row>
      <xdr:rowOff>0</xdr:rowOff>
    </xdr:from>
    <xdr:to>
      <xdr:col>12</xdr:col>
      <xdr:colOff>0</xdr:colOff>
      <xdr:row>84</xdr:row>
      <xdr:rowOff>0</xdr:rowOff>
    </xdr:to>
    <xdr:pic>
      <xdr:nvPicPr>
        <xdr:cNvPr id="3139" name="Object -1012" hidden="1">
          <a:extLst>
            <a:ext uri="{FF2B5EF4-FFF2-40B4-BE49-F238E27FC236}">
              <a16:creationId xmlns:a16="http://schemas.microsoft.com/office/drawing/2014/main" id="{00000000-0008-0000-0500-00004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7638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9525</xdr:colOff>
      <xdr:row>84</xdr:row>
      <xdr:rowOff>0</xdr:rowOff>
    </xdr:from>
    <xdr:to>
      <xdr:col>12</xdr:col>
      <xdr:colOff>0</xdr:colOff>
      <xdr:row>84</xdr:row>
      <xdr:rowOff>0</xdr:rowOff>
    </xdr:to>
    <xdr:pic>
      <xdr:nvPicPr>
        <xdr:cNvPr id="3140" name="Object -1011" hidden="1">
          <a:extLst>
            <a:ext uri="{FF2B5EF4-FFF2-40B4-BE49-F238E27FC236}">
              <a16:creationId xmlns:a16="http://schemas.microsoft.com/office/drawing/2014/main" id="{00000000-0008-0000-0500-00004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7638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9525</xdr:colOff>
      <xdr:row>84</xdr:row>
      <xdr:rowOff>0</xdr:rowOff>
    </xdr:from>
    <xdr:to>
      <xdr:col>12</xdr:col>
      <xdr:colOff>0</xdr:colOff>
      <xdr:row>84</xdr:row>
      <xdr:rowOff>0</xdr:rowOff>
    </xdr:to>
    <xdr:pic>
      <xdr:nvPicPr>
        <xdr:cNvPr id="3141" name="Object -1010" hidden="1">
          <a:extLst>
            <a:ext uri="{FF2B5EF4-FFF2-40B4-BE49-F238E27FC236}">
              <a16:creationId xmlns:a16="http://schemas.microsoft.com/office/drawing/2014/main" id="{00000000-0008-0000-0500-00004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7638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9525</xdr:colOff>
      <xdr:row>84</xdr:row>
      <xdr:rowOff>0</xdr:rowOff>
    </xdr:from>
    <xdr:to>
      <xdr:col>12</xdr:col>
      <xdr:colOff>0</xdr:colOff>
      <xdr:row>84</xdr:row>
      <xdr:rowOff>0</xdr:rowOff>
    </xdr:to>
    <xdr:pic>
      <xdr:nvPicPr>
        <xdr:cNvPr id="3142" name="Object -1009" hidden="1">
          <a:extLst>
            <a:ext uri="{FF2B5EF4-FFF2-40B4-BE49-F238E27FC236}">
              <a16:creationId xmlns:a16="http://schemas.microsoft.com/office/drawing/2014/main" id="{00000000-0008-0000-0500-00004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7638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9525</xdr:colOff>
      <xdr:row>84</xdr:row>
      <xdr:rowOff>0</xdr:rowOff>
    </xdr:from>
    <xdr:to>
      <xdr:col>12</xdr:col>
      <xdr:colOff>0</xdr:colOff>
      <xdr:row>84</xdr:row>
      <xdr:rowOff>0</xdr:rowOff>
    </xdr:to>
    <xdr:pic>
      <xdr:nvPicPr>
        <xdr:cNvPr id="3143" name="Object -1008" hidden="1">
          <a:extLst>
            <a:ext uri="{FF2B5EF4-FFF2-40B4-BE49-F238E27FC236}">
              <a16:creationId xmlns:a16="http://schemas.microsoft.com/office/drawing/2014/main" id="{00000000-0008-0000-0500-00004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7638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9525</xdr:colOff>
      <xdr:row>84</xdr:row>
      <xdr:rowOff>0</xdr:rowOff>
    </xdr:from>
    <xdr:to>
      <xdr:col>12</xdr:col>
      <xdr:colOff>0</xdr:colOff>
      <xdr:row>84</xdr:row>
      <xdr:rowOff>0</xdr:rowOff>
    </xdr:to>
    <xdr:pic>
      <xdr:nvPicPr>
        <xdr:cNvPr id="3144" name="Object -1007" hidden="1">
          <a:extLst>
            <a:ext uri="{FF2B5EF4-FFF2-40B4-BE49-F238E27FC236}">
              <a16:creationId xmlns:a16="http://schemas.microsoft.com/office/drawing/2014/main" id="{00000000-0008-0000-0500-00004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7638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9525</xdr:colOff>
      <xdr:row>84</xdr:row>
      <xdr:rowOff>0</xdr:rowOff>
    </xdr:from>
    <xdr:to>
      <xdr:col>12</xdr:col>
      <xdr:colOff>0</xdr:colOff>
      <xdr:row>84</xdr:row>
      <xdr:rowOff>0</xdr:rowOff>
    </xdr:to>
    <xdr:pic>
      <xdr:nvPicPr>
        <xdr:cNvPr id="3145" name="Object -1006" hidden="1">
          <a:extLst>
            <a:ext uri="{FF2B5EF4-FFF2-40B4-BE49-F238E27FC236}">
              <a16:creationId xmlns:a16="http://schemas.microsoft.com/office/drawing/2014/main" id="{00000000-0008-0000-0500-00004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7638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9525</xdr:colOff>
      <xdr:row>84</xdr:row>
      <xdr:rowOff>0</xdr:rowOff>
    </xdr:from>
    <xdr:to>
      <xdr:col>12</xdr:col>
      <xdr:colOff>0</xdr:colOff>
      <xdr:row>84</xdr:row>
      <xdr:rowOff>0</xdr:rowOff>
    </xdr:to>
    <xdr:pic>
      <xdr:nvPicPr>
        <xdr:cNvPr id="3146" name="Object -1005" hidden="1">
          <a:extLst>
            <a:ext uri="{FF2B5EF4-FFF2-40B4-BE49-F238E27FC236}">
              <a16:creationId xmlns:a16="http://schemas.microsoft.com/office/drawing/2014/main" id="{00000000-0008-0000-0500-00004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7638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147" name="Object -1022" hidden="1">
          <a:extLst>
            <a:ext uri="{FF2B5EF4-FFF2-40B4-BE49-F238E27FC236}">
              <a16:creationId xmlns:a16="http://schemas.microsoft.com/office/drawing/2014/main" id="{00000000-0008-0000-0500-00004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148" name="Object -1021" hidden="1">
          <a:extLst>
            <a:ext uri="{FF2B5EF4-FFF2-40B4-BE49-F238E27FC236}">
              <a16:creationId xmlns:a16="http://schemas.microsoft.com/office/drawing/2014/main" id="{00000000-0008-0000-0500-00004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149" name="Object -1020" hidden="1">
          <a:extLst>
            <a:ext uri="{FF2B5EF4-FFF2-40B4-BE49-F238E27FC236}">
              <a16:creationId xmlns:a16="http://schemas.microsoft.com/office/drawing/2014/main" id="{00000000-0008-0000-0500-00004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150" name="Object -1019" hidden="1">
          <a:extLst>
            <a:ext uri="{FF2B5EF4-FFF2-40B4-BE49-F238E27FC236}">
              <a16:creationId xmlns:a16="http://schemas.microsoft.com/office/drawing/2014/main" id="{00000000-0008-0000-0500-00004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151" name="Object -1018" hidden="1">
          <a:extLst>
            <a:ext uri="{FF2B5EF4-FFF2-40B4-BE49-F238E27FC236}">
              <a16:creationId xmlns:a16="http://schemas.microsoft.com/office/drawing/2014/main" id="{00000000-0008-0000-0500-00004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152" name="Object -1017" hidden="1">
          <a:extLst>
            <a:ext uri="{FF2B5EF4-FFF2-40B4-BE49-F238E27FC236}">
              <a16:creationId xmlns:a16="http://schemas.microsoft.com/office/drawing/2014/main" id="{00000000-0008-0000-0500-00005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153" name="Object -1016" hidden="1">
          <a:extLst>
            <a:ext uri="{FF2B5EF4-FFF2-40B4-BE49-F238E27FC236}">
              <a16:creationId xmlns:a16="http://schemas.microsoft.com/office/drawing/2014/main" id="{00000000-0008-0000-0500-00005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9525</xdr:colOff>
      <xdr:row>84</xdr:row>
      <xdr:rowOff>0</xdr:rowOff>
    </xdr:from>
    <xdr:to>
      <xdr:col>12</xdr:col>
      <xdr:colOff>0</xdr:colOff>
      <xdr:row>84</xdr:row>
      <xdr:rowOff>0</xdr:rowOff>
    </xdr:to>
    <xdr:pic>
      <xdr:nvPicPr>
        <xdr:cNvPr id="3154" name="Object -1013" hidden="1">
          <a:extLst>
            <a:ext uri="{FF2B5EF4-FFF2-40B4-BE49-F238E27FC236}">
              <a16:creationId xmlns:a16="http://schemas.microsoft.com/office/drawing/2014/main" id="{00000000-0008-0000-0500-00005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7638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9525</xdr:colOff>
      <xdr:row>84</xdr:row>
      <xdr:rowOff>0</xdr:rowOff>
    </xdr:from>
    <xdr:to>
      <xdr:col>12</xdr:col>
      <xdr:colOff>0</xdr:colOff>
      <xdr:row>84</xdr:row>
      <xdr:rowOff>0</xdr:rowOff>
    </xdr:to>
    <xdr:pic>
      <xdr:nvPicPr>
        <xdr:cNvPr id="3155" name="Object -1012" hidden="1">
          <a:extLst>
            <a:ext uri="{FF2B5EF4-FFF2-40B4-BE49-F238E27FC236}">
              <a16:creationId xmlns:a16="http://schemas.microsoft.com/office/drawing/2014/main" id="{00000000-0008-0000-0500-00005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7638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9525</xdr:colOff>
      <xdr:row>84</xdr:row>
      <xdr:rowOff>0</xdr:rowOff>
    </xdr:from>
    <xdr:to>
      <xdr:col>12</xdr:col>
      <xdr:colOff>0</xdr:colOff>
      <xdr:row>84</xdr:row>
      <xdr:rowOff>0</xdr:rowOff>
    </xdr:to>
    <xdr:pic>
      <xdr:nvPicPr>
        <xdr:cNvPr id="3156" name="Object -1011" hidden="1">
          <a:extLst>
            <a:ext uri="{FF2B5EF4-FFF2-40B4-BE49-F238E27FC236}">
              <a16:creationId xmlns:a16="http://schemas.microsoft.com/office/drawing/2014/main" id="{00000000-0008-0000-0500-00005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7638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9525</xdr:colOff>
      <xdr:row>84</xdr:row>
      <xdr:rowOff>0</xdr:rowOff>
    </xdr:from>
    <xdr:to>
      <xdr:col>12</xdr:col>
      <xdr:colOff>0</xdr:colOff>
      <xdr:row>84</xdr:row>
      <xdr:rowOff>0</xdr:rowOff>
    </xdr:to>
    <xdr:pic>
      <xdr:nvPicPr>
        <xdr:cNvPr id="3157" name="Object -1010" hidden="1">
          <a:extLst>
            <a:ext uri="{FF2B5EF4-FFF2-40B4-BE49-F238E27FC236}">
              <a16:creationId xmlns:a16="http://schemas.microsoft.com/office/drawing/2014/main" id="{00000000-0008-0000-0500-00005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7638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9525</xdr:colOff>
      <xdr:row>84</xdr:row>
      <xdr:rowOff>0</xdr:rowOff>
    </xdr:from>
    <xdr:to>
      <xdr:col>12</xdr:col>
      <xdr:colOff>0</xdr:colOff>
      <xdr:row>84</xdr:row>
      <xdr:rowOff>0</xdr:rowOff>
    </xdr:to>
    <xdr:pic>
      <xdr:nvPicPr>
        <xdr:cNvPr id="3158" name="Object -1009" hidden="1">
          <a:extLst>
            <a:ext uri="{FF2B5EF4-FFF2-40B4-BE49-F238E27FC236}">
              <a16:creationId xmlns:a16="http://schemas.microsoft.com/office/drawing/2014/main" id="{00000000-0008-0000-0500-00005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7638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9525</xdr:colOff>
      <xdr:row>84</xdr:row>
      <xdr:rowOff>0</xdr:rowOff>
    </xdr:from>
    <xdr:to>
      <xdr:col>12</xdr:col>
      <xdr:colOff>0</xdr:colOff>
      <xdr:row>84</xdr:row>
      <xdr:rowOff>0</xdr:rowOff>
    </xdr:to>
    <xdr:pic>
      <xdr:nvPicPr>
        <xdr:cNvPr id="3159" name="Object -1008" hidden="1">
          <a:extLst>
            <a:ext uri="{FF2B5EF4-FFF2-40B4-BE49-F238E27FC236}">
              <a16:creationId xmlns:a16="http://schemas.microsoft.com/office/drawing/2014/main" id="{00000000-0008-0000-0500-00005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7638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9525</xdr:colOff>
      <xdr:row>84</xdr:row>
      <xdr:rowOff>0</xdr:rowOff>
    </xdr:from>
    <xdr:to>
      <xdr:col>12</xdr:col>
      <xdr:colOff>0</xdr:colOff>
      <xdr:row>84</xdr:row>
      <xdr:rowOff>0</xdr:rowOff>
    </xdr:to>
    <xdr:pic>
      <xdr:nvPicPr>
        <xdr:cNvPr id="3160" name="Object -1007" hidden="1">
          <a:extLst>
            <a:ext uri="{FF2B5EF4-FFF2-40B4-BE49-F238E27FC236}">
              <a16:creationId xmlns:a16="http://schemas.microsoft.com/office/drawing/2014/main" id="{00000000-0008-0000-0500-00005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7638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9525</xdr:colOff>
      <xdr:row>84</xdr:row>
      <xdr:rowOff>0</xdr:rowOff>
    </xdr:from>
    <xdr:to>
      <xdr:col>12</xdr:col>
      <xdr:colOff>0</xdr:colOff>
      <xdr:row>84</xdr:row>
      <xdr:rowOff>0</xdr:rowOff>
    </xdr:to>
    <xdr:pic>
      <xdr:nvPicPr>
        <xdr:cNvPr id="3161" name="Object -1006" hidden="1">
          <a:extLst>
            <a:ext uri="{FF2B5EF4-FFF2-40B4-BE49-F238E27FC236}">
              <a16:creationId xmlns:a16="http://schemas.microsoft.com/office/drawing/2014/main" id="{00000000-0008-0000-0500-00005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7638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9525</xdr:colOff>
      <xdr:row>84</xdr:row>
      <xdr:rowOff>0</xdr:rowOff>
    </xdr:from>
    <xdr:to>
      <xdr:col>12</xdr:col>
      <xdr:colOff>0</xdr:colOff>
      <xdr:row>84</xdr:row>
      <xdr:rowOff>0</xdr:rowOff>
    </xdr:to>
    <xdr:pic>
      <xdr:nvPicPr>
        <xdr:cNvPr id="3162" name="Object -1005" hidden="1">
          <a:extLst>
            <a:ext uri="{FF2B5EF4-FFF2-40B4-BE49-F238E27FC236}">
              <a16:creationId xmlns:a16="http://schemas.microsoft.com/office/drawing/2014/main" id="{00000000-0008-0000-0500-00005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7638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163" name="Object -1022" hidden="1">
          <a:extLst>
            <a:ext uri="{FF2B5EF4-FFF2-40B4-BE49-F238E27FC236}">
              <a16:creationId xmlns:a16="http://schemas.microsoft.com/office/drawing/2014/main" id="{00000000-0008-0000-0500-00005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164" name="Object -1021" hidden="1">
          <a:extLst>
            <a:ext uri="{FF2B5EF4-FFF2-40B4-BE49-F238E27FC236}">
              <a16:creationId xmlns:a16="http://schemas.microsoft.com/office/drawing/2014/main" id="{00000000-0008-0000-0500-00005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165" name="Object -1020" hidden="1">
          <a:extLst>
            <a:ext uri="{FF2B5EF4-FFF2-40B4-BE49-F238E27FC236}">
              <a16:creationId xmlns:a16="http://schemas.microsoft.com/office/drawing/2014/main" id="{00000000-0008-0000-0500-00005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166" name="Object -1019" hidden="1">
          <a:extLst>
            <a:ext uri="{FF2B5EF4-FFF2-40B4-BE49-F238E27FC236}">
              <a16:creationId xmlns:a16="http://schemas.microsoft.com/office/drawing/2014/main" id="{00000000-0008-0000-0500-00005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167" name="Object -1018" hidden="1">
          <a:extLst>
            <a:ext uri="{FF2B5EF4-FFF2-40B4-BE49-F238E27FC236}">
              <a16:creationId xmlns:a16="http://schemas.microsoft.com/office/drawing/2014/main" id="{00000000-0008-0000-0500-00005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168" name="Object -1017" hidden="1">
          <a:extLst>
            <a:ext uri="{FF2B5EF4-FFF2-40B4-BE49-F238E27FC236}">
              <a16:creationId xmlns:a16="http://schemas.microsoft.com/office/drawing/2014/main" id="{00000000-0008-0000-0500-00006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169" name="Object -1016" hidden="1">
          <a:extLst>
            <a:ext uri="{FF2B5EF4-FFF2-40B4-BE49-F238E27FC236}">
              <a16:creationId xmlns:a16="http://schemas.microsoft.com/office/drawing/2014/main" id="{00000000-0008-0000-0500-00006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9525</xdr:colOff>
      <xdr:row>84</xdr:row>
      <xdr:rowOff>0</xdr:rowOff>
    </xdr:from>
    <xdr:to>
      <xdr:col>12</xdr:col>
      <xdr:colOff>0</xdr:colOff>
      <xdr:row>84</xdr:row>
      <xdr:rowOff>0</xdr:rowOff>
    </xdr:to>
    <xdr:pic>
      <xdr:nvPicPr>
        <xdr:cNvPr id="3170" name="Object -1013" hidden="1">
          <a:extLst>
            <a:ext uri="{FF2B5EF4-FFF2-40B4-BE49-F238E27FC236}">
              <a16:creationId xmlns:a16="http://schemas.microsoft.com/office/drawing/2014/main" id="{00000000-0008-0000-0500-00006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7638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9525</xdr:colOff>
      <xdr:row>84</xdr:row>
      <xdr:rowOff>0</xdr:rowOff>
    </xdr:from>
    <xdr:to>
      <xdr:col>12</xdr:col>
      <xdr:colOff>0</xdr:colOff>
      <xdr:row>84</xdr:row>
      <xdr:rowOff>0</xdr:rowOff>
    </xdr:to>
    <xdr:pic>
      <xdr:nvPicPr>
        <xdr:cNvPr id="3171" name="Object -1012" hidden="1">
          <a:extLst>
            <a:ext uri="{FF2B5EF4-FFF2-40B4-BE49-F238E27FC236}">
              <a16:creationId xmlns:a16="http://schemas.microsoft.com/office/drawing/2014/main" id="{00000000-0008-0000-0500-00006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7638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9525</xdr:colOff>
      <xdr:row>84</xdr:row>
      <xdr:rowOff>0</xdr:rowOff>
    </xdr:from>
    <xdr:to>
      <xdr:col>12</xdr:col>
      <xdr:colOff>0</xdr:colOff>
      <xdr:row>84</xdr:row>
      <xdr:rowOff>0</xdr:rowOff>
    </xdr:to>
    <xdr:pic>
      <xdr:nvPicPr>
        <xdr:cNvPr id="3172" name="Object -1011" hidden="1">
          <a:extLst>
            <a:ext uri="{FF2B5EF4-FFF2-40B4-BE49-F238E27FC236}">
              <a16:creationId xmlns:a16="http://schemas.microsoft.com/office/drawing/2014/main" id="{00000000-0008-0000-0500-00006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7638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9525</xdr:colOff>
      <xdr:row>84</xdr:row>
      <xdr:rowOff>0</xdr:rowOff>
    </xdr:from>
    <xdr:to>
      <xdr:col>12</xdr:col>
      <xdr:colOff>0</xdr:colOff>
      <xdr:row>84</xdr:row>
      <xdr:rowOff>0</xdr:rowOff>
    </xdr:to>
    <xdr:pic>
      <xdr:nvPicPr>
        <xdr:cNvPr id="3173" name="Object -1010" hidden="1">
          <a:extLst>
            <a:ext uri="{FF2B5EF4-FFF2-40B4-BE49-F238E27FC236}">
              <a16:creationId xmlns:a16="http://schemas.microsoft.com/office/drawing/2014/main" id="{00000000-0008-0000-0500-00006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7638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9525</xdr:colOff>
      <xdr:row>84</xdr:row>
      <xdr:rowOff>0</xdr:rowOff>
    </xdr:from>
    <xdr:to>
      <xdr:col>12</xdr:col>
      <xdr:colOff>0</xdr:colOff>
      <xdr:row>84</xdr:row>
      <xdr:rowOff>0</xdr:rowOff>
    </xdr:to>
    <xdr:pic>
      <xdr:nvPicPr>
        <xdr:cNvPr id="3174" name="Object -1009" hidden="1">
          <a:extLst>
            <a:ext uri="{FF2B5EF4-FFF2-40B4-BE49-F238E27FC236}">
              <a16:creationId xmlns:a16="http://schemas.microsoft.com/office/drawing/2014/main" id="{00000000-0008-0000-0500-00006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7638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9525</xdr:colOff>
      <xdr:row>84</xdr:row>
      <xdr:rowOff>0</xdr:rowOff>
    </xdr:from>
    <xdr:to>
      <xdr:col>12</xdr:col>
      <xdr:colOff>0</xdr:colOff>
      <xdr:row>84</xdr:row>
      <xdr:rowOff>0</xdr:rowOff>
    </xdr:to>
    <xdr:pic>
      <xdr:nvPicPr>
        <xdr:cNvPr id="3175" name="Object -1008" hidden="1">
          <a:extLst>
            <a:ext uri="{FF2B5EF4-FFF2-40B4-BE49-F238E27FC236}">
              <a16:creationId xmlns:a16="http://schemas.microsoft.com/office/drawing/2014/main" id="{00000000-0008-0000-0500-00006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7638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9525</xdr:colOff>
      <xdr:row>84</xdr:row>
      <xdr:rowOff>0</xdr:rowOff>
    </xdr:from>
    <xdr:to>
      <xdr:col>12</xdr:col>
      <xdr:colOff>0</xdr:colOff>
      <xdr:row>84</xdr:row>
      <xdr:rowOff>0</xdr:rowOff>
    </xdr:to>
    <xdr:pic>
      <xdr:nvPicPr>
        <xdr:cNvPr id="3176" name="Object -1007" hidden="1">
          <a:extLst>
            <a:ext uri="{FF2B5EF4-FFF2-40B4-BE49-F238E27FC236}">
              <a16:creationId xmlns:a16="http://schemas.microsoft.com/office/drawing/2014/main" id="{00000000-0008-0000-0500-00006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7638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9525</xdr:colOff>
      <xdr:row>84</xdr:row>
      <xdr:rowOff>0</xdr:rowOff>
    </xdr:from>
    <xdr:to>
      <xdr:col>12</xdr:col>
      <xdr:colOff>0</xdr:colOff>
      <xdr:row>84</xdr:row>
      <xdr:rowOff>0</xdr:rowOff>
    </xdr:to>
    <xdr:pic>
      <xdr:nvPicPr>
        <xdr:cNvPr id="3177" name="Object -1006" hidden="1">
          <a:extLst>
            <a:ext uri="{FF2B5EF4-FFF2-40B4-BE49-F238E27FC236}">
              <a16:creationId xmlns:a16="http://schemas.microsoft.com/office/drawing/2014/main" id="{00000000-0008-0000-0500-00006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7638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9525</xdr:colOff>
      <xdr:row>84</xdr:row>
      <xdr:rowOff>0</xdr:rowOff>
    </xdr:from>
    <xdr:to>
      <xdr:col>12</xdr:col>
      <xdr:colOff>0</xdr:colOff>
      <xdr:row>84</xdr:row>
      <xdr:rowOff>0</xdr:rowOff>
    </xdr:to>
    <xdr:pic>
      <xdr:nvPicPr>
        <xdr:cNvPr id="3178" name="Object -1005" hidden="1">
          <a:extLst>
            <a:ext uri="{FF2B5EF4-FFF2-40B4-BE49-F238E27FC236}">
              <a16:creationId xmlns:a16="http://schemas.microsoft.com/office/drawing/2014/main" id="{00000000-0008-0000-0500-00006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7638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179" name="Object -1022" hidden="1">
          <a:extLst>
            <a:ext uri="{FF2B5EF4-FFF2-40B4-BE49-F238E27FC236}">
              <a16:creationId xmlns:a16="http://schemas.microsoft.com/office/drawing/2014/main" id="{00000000-0008-0000-0500-00006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180" name="Object -1021" hidden="1">
          <a:extLst>
            <a:ext uri="{FF2B5EF4-FFF2-40B4-BE49-F238E27FC236}">
              <a16:creationId xmlns:a16="http://schemas.microsoft.com/office/drawing/2014/main" id="{00000000-0008-0000-0500-00006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181" name="Object -1020" hidden="1">
          <a:extLst>
            <a:ext uri="{FF2B5EF4-FFF2-40B4-BE49-F238E27FC236}">
              <a16:creationId xmlns:a16="http://schemas.microsoft.com/office/drawing/2014/main" id="{00000000-0008-0000-0500-00006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182" name="Object -1019" hidden="1">
          <a:extLst>
            <a:ext uri="{FF2B5EF4-FFF2-40B4-BE49-F238E27FC236}">
              <a16:creationId xmlns:a16="http://schemas.microsoft.com/office/drawing/2014/main" id="{00000000-0008-0000-0500-00006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183" name="Object -1018" hidden="1">
          <a:extLst>
            <a:ext uri="{FF2B5EF4-FFF2-40B4-BE49-F238E27FC236}">
              <a16:creationId xmlns:a16="http://schemas.microsoft.com/office/drawing/2014/main" id="{00000000-0008-0000-0500-00006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184" name="Object -1017" hidden="1">
          <a:extLst>
            <a:ext uri="{FF2B5EF4-FFF2-40B4-BE49-F238E27FC236}">
              <a16:creationId xmlns:a16="http://schemas.microsoft.com/office/drawing/2014/main" id="{00000000-0008-0000-0500-00007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185" name="Object -1016" hidden="1">
          <a:extLst>
            <a:ext uri="{FF2B5EF4-FFF2-40B4-BE49-F238E27FC236}">
              <a16:creationId xmlns:a16="http://schemas.microsoft.com/office/drawing/2014/main" id="{00000000-0008-0000-0500-00007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9525</xdr:colOff>
      <xdr:row>84</xdr:row>
      <xdr:rowOff>0</xdr:rowOff>
    </xdr:from>
    <xdr:to>
      <xdr:col>12</xdr:col>
      <xdr:colOff>0</xdr:colOff>
      <xdr:row>84</xdr:row>
      <xdr:rowOff>0</xdr:rowOff>
    </xdr:to>
    <xdr:pic>
      <xdr:nvPicPr>
        <xdr:cNvPr id="3186" name="Object -1013" hidden="1">
          <a:extLst>
            <a:ext uri="{FF2B5EF4-FFF2-40B4-BE49-F238E27FC236}">
              <a16:creationId xmlns:a16="http://schemas.microsoft.com/office/drawing/2014/main" id="{00000000-0008-0000-0500-00007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7638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9525</xdr:colOff>
      <xdr:row>84</xdr:row>
      <xdr:rowOff>0</xdr:rowOff>
    </xdr:from>
    <xdr:to>
      <xdr:col>12</xdr:col>
      <xdr:colOff>0</xdr:colOff>
      <xdr:row>84</xdr:row>
      <xdr:rowOff>0</xdr:rowOff>
    </xdr:to>
    <xdr:pic>
      <xdr:nvPicPr>
        <xdr:cNvPr id="3187" name="Object -1012" hidden="1">
          <a:extLst>
            <a:ext uri="{FF2B5EF4-FFF2-40B4-BE49-F238E27FC236}">
              <a16:creationId xmlns:a16="http://schemas.microsoft.com/office/drawing/2014/main" id="{00000000-0008-0000-0500-00007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7638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9525</xdr:colOff>
      <xdr:row>84</xdr:row>
      <xdr:rowOff>0</xdr:rowOff>
    </xdr:from>
    <xdr:to>
      <xdr:col>12</xdr:col>
      <xdr:colOff>0</xdr:colOff>
      <xdr:row>84</xdr:row>
      <xdr:rowOff>0</xdr:rowOff>
    </xdr:to>
    <xdr:pic>
      <xdr:nvPicPr>
        <xdr:cNvPr id="3188" name="Object -1011" hidden="1">
          <a:extLst>
            <a:ext uri="{FF2B5EF4-FFF2-40B4-BE49-F238E27FC236}">
              <a16:creationId xmlns:a16="http://schemas.microsoft.com/office/drawing/2014/main" id="{00000000-0008-0000-0500-00007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7638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9525</xdr:colOff>
      <xdr:row>84</xdr:row>
      <xdr:rowOff>0</xdr:rowOff>
    </xdr:from>
    <xdr:to>
      <xdr:col>12</xdr:col>
      <xdr:colOff>0</xdr:colOff>
      <xdr:row>84</xdr:row>
      <xdr:rowOff>0</xdr:rowOff>
    </xdr:to>
    <xdr:pic>
      <xdr:nvPicPr>
        <xdr:cNvPr id="3189" name="Object -1010" hidden="1">
          <a:extLst>
            <a:ext uri="{FF2B5EF4-FFF2-40B4-BE49-F238E27FC236}">
              <a16:creationId xmlns:a16="http://schemas.microsoft.com/office/drawing/2014/main" id="{00000000-0008-0000-0500-00007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7638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9525</xdr:colOff>
      <xdr:row>84</xdr:row>
      <xdr:rowOff>0</xdr:rowOff>
    </xdr:from>
    <xdr:to>
      <xdr:col>12</xdr:col>
      <xdr:colOff>0</xdr:colOff>
      <xdr:row>84</xdr:row>
      <xdr:rowOff>0</xdr:rowOff>
    </xdr:to>
    <xdr:pic>
      <xdr:nvPicPr>
        <xdr:cNvPr id="3190" name="Object -1009" hidden="1">
          <a:extLst>
            <a:ext uri="{FF2B5EF4-FFF2-40B4-BE49-F238E27FC236}">
              <a16:creationId xmlns:a16="http://schemas.microsoft.com/office/drawing/2014/main" id="{00000000-0008-0000-0500-00007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7638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9525</xdr:colOff>
      <xdr:row>84</xdr:row>
      <xdr:rowOff>0</xdr:rowOff>
    </xdr:from>
    <xdr:to>
      <xdr:col>12</xdr:col>
      <xdr:colOff>0</xdr:colOff>
      <xdr:row>84</xdr:row>
      <xdr:rowOff>0</xdr:rowOff>
    </xdr:to>
    <xdr:pic>
      <xdr:nvPicPr>
        <xdr:cNvPr id="3191" name="Object -1008" hidden="1">
          <a:extLst>
            <a:ext uri="{FF2B5EF4-FFF2-40B4-BE49-F238E27FC236}">
              <a16:creationId xmlns:a16="http://schemas.microsoft.com/office/drawing/2014/main" id="{00000000-0008-0000-0500-00007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7638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9525</xdr:colOff>
      <xdr:row>84</xdr:row>
      <xdr:rowOff>0</xdr:rowOff>
    </xdr:from>
    <xdr:to>
      <xdr:col>12</xdr:col>
      <xdr:colOff>0</xdr:colOff>
      <xdr:row>84</xdr:row>
      <xdr:rowOff>0</xdr:rowOff>
    </xdr:to>
    <xdr:pic>
      <xdr:nvPicPr>
        <xdr:cNvPr id="3192" name="Object -1007" hidden="1">
          <a:extLst>
            <a:ext uri="{FF2B5EF4-FFF2-40B4-BE49-F238E27FC236}">
              <a16:creationId xmlns:a16="http://schemas.microsoft.com/office/drawing/2014/main" id="{00000000-0008-0000-0500-00007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7638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9525</xdr:colOff>
      <xdr:row>84</xdr:row>
      <xdr:rowOff>0</xdr:rowOff>
    </xdr:from>
    <xdr:to>
      <xdr:col>12</xdr:col>
      <xdr:colOff>0</xdr:colOff>
      <xdr:row>84</xdr:row>
      <xdr:rowOff>0</xdr:rowOff>
    </xdr:to>
    <xdr:pic>
      <xdr:nvPicPr>
        <xdr:cNvPr id="3193" name="Object -1006" hidden="1">
          <a:extLst>
            <a:ext uri="{FF2B5EF4-FFF2-40B4-BE49-F238E27FC236}">
              <a16:creationId xmlns:a16="http://schemas.microsoft.com/office/drawing/2014/main" id="{00000000-0008-0000-0500-00007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7638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9525</xdr:colOff>
      <xdr:row>84</xdr:row>
      <xdr:rowOff>0</xdr:rowOff>
    </xdr:from>
    <xdr:to>
      <xdr:col>12</xdr:col>
      <xdr:colOff>0</xdr:colOff>
      <xdr:row>84</xdr:row>
      <xdr:rowOff>0</xdr:rowOff>
    </xdr:to>
    <xdr:pic>
      <xdr:nvPicPr>
        <xdr:cNvPr id="3194" name="Object -1005" hidden="1">
          <a:extLst>
            <a:ext uri="{FF2B5EF4-FFF2-40B4-BE49-F238E27FC236}">
              <a16:creationId xmlns:a16="http://schemas.microsoft.com/office/drawing/2014/main" id="{00000000-0008-0000-0500-00007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7638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195" name="Picture 16">
          <a:extLst>
            <a:ext uri="{FF2B5EF4-FFF2-40B4-BE49-F238E27FC236}">
              <a16:creationId xmlns:a16="http://schemas.microsoft.com/office/drawing/2014/main" id="{00000000-0008-0000-0500-00007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196" name="Picture 15">
          <a:extLst>
            <a:ext uri="{FF2B5EF4-FFF2-40B4-BE49-F238E27FC236}">
              <a16:creationId xmlns:a16="http://schemas.microsoft.com/office/drawing/2014/main" id="{00000000-0008-0000-0500-00007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197" name="Picture 14">
          <a:extLst>
            <a:ext uri="{FF2B5EF4-FFF2-40B4-BE49-F238E27FC236}">
              <a16:creationId xmlns:a16="http://schemas.microsoft.com/office/drawing/2014/main" id="{00000000-0008-0000-0500-00007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198" name="Picture 13">
          <a:extLst>
            <a:ext uri="{FF2B5EF4-FFF2-40B4-BE49-F238E27FC236}">
              <a16:creationId xmlns:a16="http://schemas.microsoft.com/office/drawing/2014/main" id="{00000000-0008-0000-0500-00007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199" name="Picture 12">
          <a:extLst>
            <a:ext uri="{FF2B5EF4-FFF2-40B4-BE49-F238E27FC236}">
              <a16:creationId xmlns:a16="http://schemas.microsoft.com/office/drawing/2014/main" id="{00000000-0008-0000-0500-00007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200" name="Picture 11">
          <a:extLst>
            <a:ext uri="{FF2B5EF4-FFF2-40B4-BE49-F238E27FC236}">
              <a16:creationId xmlns:a16="http://schemas.microsoft.com/office/drawing/2014/main" id="{00000000-0008-0000-0500-00008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201" name="Picture 10">
          <a:extLst>
            <a:ext uri="{FF2B5EF4-FFF2-40B4-BE49-F238E27FC236}">
              <a16:creationId xmlns:a16="http://schemas.microsoft.com/office/drawing/2014/main" id="{00000000-0008-0000-0500-00008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9525</xdr:colOff>
      <xdr:row>84</xdr:row>
      <xdr:rowOff>0</xdr:rowOff>
    </xdr:from>
    <xdr:to>
      <xdr:col>12</xdr:col>
      <xdr:colOff>0</xdr:colOff>
      <xdr:row>84</xdr:row>
      <xdr:rowOff>0</xdr:rowOff>
    </xdr:to>
    <xdr:pic>
      <xdr:nvPicPr>
        <xdr:cNvPr id="3202" name="Picture 9">
          <a:extLst>
            <a:ext uri="{FF2B5EF4-FFF2-40B4-BE49-F238E27FC236}">
              <a16:creationId xmlns:a16="http://schemas.microsoft.com/office/drawing/2014/main" id="{00000000-0008-0000-0500-00008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7638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9525</xdr:colOff>
      <xdr:row>84</xdr:row>
      <xdr:rowOff>0</xdr:rowOff>
    </xdr:from>
    <xdr:to>
      <xdr:col>12</xdr:col>
      <xdr:colOff>0</xdr:colOff>
      <xdr:row>84</xdr:row>
      <xdr:rowOff>0</xdr:rowOff>
    </xdr:to>
    <xdr:pic>
      <xdr:nvPicPr>
        <xdr:cNvPr id="3203" name="Picture 8">
          <a:extLst>
            <a:ext uri="{FF2B5EF4-FFF2-40B4-BE49-F238E27FC236}">
              <a16:creationId xmlns:a16="http://schemas.microsoft.com/office/drawing/2014/main" id="{00000000-0008-0000-0500-00008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7638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9525</xdr:colOff>
      <xdr:row>84</xdr:row>
      <xdr:rowOff>0</xdr:rowOff>
    </xdr:from>
    <xdr:to>
      <xdr:col>12</xdr:col>
      <xdr:colOff>0</xdr:colOff>
      <xdr:row>84</xdr:row>
      <xdr:rowOff>0</xdr:rowOff>
    </xdr:to>
    <xdr:pic>
      <xdr:nvPicPr>
        <xdr:cNvPr id="3204" name="Picture 7">
          <a:extLst>
            <a:ext uri="{FF2B5EF4-FFF2-40B4-BE49-F238E27FC236}">
              <a16:creationId xmlns:a16="http://schemas.microsoft.com/office/drawing/2014/main" id="{00000000-0008-0000-0500-00008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7638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9525</xdr:colOff>
      <xdr:row>84</xdr:row>
      <xdr:rowOff>0</xdr:rowOff>
    </xdr:from>
    <xdr:to>
      <xdr:col>12</xdr:col>
      <xdr:colOff>0</xdr:colOff>
      <xdr:row>84</xdr:row>
      <xdr:rowOff>0</xdr:rowOff>
    </xdr:to>
    <xdr:pic>
      <xdr:nvPicPr>
        <xdr:cNvPr id="3205" name="Picture 6">
          <a:extLst>
            <a:ext uri="{FF2B5EF4-FFF2-40B4-BE49-F238E27FC236}">
              <a16:creationId xmlns:a16="http://schemas.microsoft.com/office/drawing/2014/main" id="{00000000-0008-0000-0500-00008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7638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9525</xdr:colOff>
      <xdr:row>84</xdr:row>
      <xdr:rowOff>0</xdr:rowOff>
    </xdr:from>
    <xdr:to>
      <xdr:col>12</xdr:col>
      <xdr:colOff>0</xdr:colOff>
      <xdr:row>84</xdr:row>
      <xdr:rowOff>0</xdr:rowOff>
    </xdr:to>
    <xdr:pic>
      <xdr:nvPicPr>
        <xdr:cNvPr id="3206" name="Picture 5">
          <a:extLst>
            <a:ext uri="{FF2B5EF4-FFF2-40B4-BE49-F238E27FC236}">
              <a16:creationId xmlns:a16="http://schemas.microsoft.com/office/drawing/2014/main" id="{00000000-0008-0000-0500-00008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7638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9525</xdr:colOff>
      <xdr:row>84</xdr:row>
      <xdr:rowOff>0</xdr:rowOff>
    </xdr:from>
    <xdr:to>
      <xdr:col>12</xdr:col>
      <xdr:colOff>0</xdr:colOff>
      <xdr:row>84</xdr:row>
      <xdr:rowOff>0</xdr:rowOff>
    </xdr:to>
    <xdr:pic>
      <xdr:nvPicPr>
        <xdr:cNvPr id="3207" name="Picture 4">
          <a:extLst>
            <a:ext uri="{FF2B5EF4-FFF2-40B4-BE49-F238E27FC236}">
              <a16:creationId xmlns:a16="http://schemas.microsoft.com/office/drawing/2014/main" id="{00000000-0008-0000-0500-00008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7638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9525</xdr:colOff>
      <xdr:row>84</xdr:row>
      <xdr:rowOff>0</xdr:rowOff>
    </xdr:from>
    <xdr:to>
      <xdr:col>12</xdr:col>
      <xdr:colOff>0</xdr:colOff>
      <xdr:row>84</xdr:row>
      <xdr:rowOff>0</xdr:rowOff>
    </xdr:to>
    <xdr:pic>
      <xdr:nvPicPr>
        <xdr:cNvPr id="3208" name="Picture 3">
          <a:extLst>
            <a:ext uri="{FF2B5EF4-FFF2-40B4-BE49-F238E27FC236}">
              <a16:creationId xmlns:a16="http://schemas.microsoft.com/office/drawing/2014/main" id="{00000000-0008-0000-0500-00008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7638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9525</xdr:colOff>
      <xdr:row>84</xdr:row>
      <xdr:rowOff>0</xdr:rowOff>
    </xdr:from>
    <xdr:to>
      <xdr:col>12</xdr:col>
      <xdr:colOff>0</xdr:colOff>
      <xdr:row>84</xdr:row>
      <xdr:rowOff>0</xdr:rowOff>
    </xdr:to>
    <xdr:pic>
      <xdr:nvPicPr>
        <xdr:cNvPr id="3209" name="Picture 2">
          <a:extLst>
            <a:ext uri="{FF2B5EF4-FFF2-40B4-BE49-F238E27FC236}">
              <a16:creationId xmlns:a16="http://schemas.microsoft.com/office/drawing/2014/main" id="{00000000-0008-0000-0500-00008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7638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9525</xdr:colOff>
      <xdr:row>84</xdr:row>
      <xdr:rowOff>0</xdr:rowOff>
    </xdr:from>
    <xdr:to>
      <xdr:col>12</xdr:col>
      <xdr:colOff>0</xdr:colOff>
      <xdr:row>84</xdr:row>
      <xdr:rowOff>0</xdr:rowOff>
    </xdr:to>
    <xdr:pic>
      <xdr:nvPicPr>
        <xdr:cNvPr id="3210" name="Picture 1">
          <a:extLst>
            <a:ext uri="{FF2B5EF4-FFF2-40B4-BE49-F238E27FC236}">
              <a16:creationId xmlns:a16="http://schemas.microsoft.com/office/drawing/2014/main" id="{00000000-0008-0000-0500-00008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7638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211" name="Object -1022" hidden="1">
          <a:extLst>
            <a:ext uri="{FF2B5EF4-FFF2-40B4-BE49-F238E27FC236}">
              <a16:creationId xmlns:a16="http://schemas.microsoft.com/office/drawing/2014/main" id="{00000000-0008-0000-0500-00008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212" name="Object -1021" hidden="1">
          <a:extLst>
            <a:ext uri="{FF2B5EF4-FFF2-40B4-BE49-F238E27FC236}">
              <a16:creationId xmlns:a16="http://schemas.microsoft.com/office/drawing/2014/main" id="{00000000-0008-0000-0500-00008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213" name="Object -1020" hidden="1">
          <a:extLst>
            <a:ext uri="{FF2B5EF4-FFF2-40B4-BE49-F238E27FC236}">
              <a16:creationId xmlns:a16="http://schemas.microsoft.com/office/drawing/2014/main" id="{00000000-0008-0000-0500-00008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214" name="Object -1019" hidden="1">
          <a:extLst>
            <a:ext uri="{FF2B5EF4-FFF2-40B4-BE49-F238E27FC236}">
              <a16:creationId xmlns:a16="http://schemas.microsoft.com/office/drawing/2014/main" id="{00000000-0008-0000-0500-00008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215" name="Object -1018" hidden="1">
          <a:extLst>
            <a:ext uri="{FF2B5EF4-FFF2-40B4-BE49-F238E27FC236}">
              <a16:creationId xmlns:a16="http://schemas.microsoft.com/office/drawing/2014/main" id="{00000000-0008-0000-0500-00008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216" name="Object -1017" hidden="1">
          <a:extLst>
            <a:ext uri="{FF2B5EF4-FFF2-40B4-BE49-F238E27FC236}">
              <a16:creationId xmlns:a16="http://schemas.microsoft.com/office/drawing/2014/main" id="{00000000-0008-0000-0500-00009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217" name="Object -1016" hidden="1">
          <a:extLst>
            <a:ext uri="{FF2B5EF4-FFF2-40B4-BE49-F238E27FC236}">
              <a16:creationId xmlns:a16="http://schemas.microsoft.com/office/drawing/2014/main" id="{00000000-0008-0000-0500-00009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9525</xdr:colOff>
      <xdr:row>84</xdr:row>
      <xdr:rowOff>0</xdr:rowOff>
    </xdr:from>
    <xdr:to>
      <xdr:col>12</xdr:col>
      <xdr:colOff>0</xdr:colOff>
      <xdr:row>84</xdr:row>
      <xdr:rowOff>0</xdr:rowOff>
    </xdr:to>
    <xdr:pic>
      <xdr:nvPicPr>
        <xdr:cNvPr id="3218" name="Object -1013" hidden="1">
          <a:extLst>
            <a:ext uri="{FF2B5EF4-FFF2-40B4-BE49-F238E27FC236}">
              <a16:creationId xmlns:a16="http://schemas.microsoft.com/office/drawing/2014/main" id="{00000000-0008-0000-0500-00009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7638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9525</xdr:colOff>
      <xdr:row>84</xdr:row>
      <xdr:rowOff>0</xdr:rowOff>
    </xdr:from>
    <xdr:to>
      <xdr:col>12</xdr:col>
      <xdr:colOff>0</xdr:colOff>
      <xdr:row>84</xdr:row>
      <xdr:rowOff>0</xdr:rowOff>
    </xdr:to>
    <xdr:pic>
      <xdr:nvPicPr>
        <xdr:cNvPr id="3219" name="Object -1012" hidden="1">
          <a:extLst>
            <a:ext uri="{FF2B5EF4-FFF2-40B4-BE49-F238E27FC236}">
              <a16:creationId xmlns:a16="http://schemas.microsoft.com/office/drawing/2014/main" id="{00000000-0008-0000-0500-00009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7638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9525</xdr:colOff>
      <xdr:row>84</xdr:row>
      <xdr:rowOff>0</xdr:rowOff>
    </xdr:from>
    <xdr:to>
      <xdr:col>12</xdr:col>
      <xdr:colOff>0</xdr:colOff>
      <xdr:row>84</xdr:row>
      <xdr:rowOff>0</xdr:rowOff>
    </xdr:to>
    <xdr:pic>
      <xdr:nvPicPr>
        <xdr:cNvPr id="3220" name="Object -1011" hidden="1">
          <a:extLst>
            <a:ext uri="{FF2B5EF4-FFF2-40B4-BE49-F238E27FC236}">
              <a16:creationId xmlns:a16="http://schemas.microsoft.com/office/drawing/2014/main" id="{00000000-0008-0000-0500-00009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7638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9525</xdr:colOff>
      <xdr:row>84</xdr:row>
      <xdr:rowOff>0</xdr:rowOff>
    </xdr:from>
    <xdr:to>
      <xdr:col>12</xdr:col>
      <xdr:colOff>0</xdr:colOff>
      <xdr:row>84</xdr:row>
      <xdr:rowOff>0</xdr:rowOff>
    </xdr:to>
    <xdr:pic>
      <xdr:nvPicPr>
        <xdr:cNvPr id="3221" name="Object -1010" hidden="1">
          <a:extLst>
            <a:ext uri="{FF2B5EF4-FFF2-40B4-BE49-F238E27FC236}">
              <a16:creationId xmlns:a16="http://schemas.microsoft.com/office/drawing/2014/main" id="{00000000-0008-0000-0500-00009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7638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9525</xdr:colOff>
      <xdr:row>84</xdr:row>
      <xdr:rowOff>0</xdr:rowOff>
    </xdr:from>
    <xdr:to>
      <xdr:col>12</xdr:col>
      <xdr:colOff>0</xdr:colOff>
      <xdr:row>84</xdr:row>
      <xdr:rowOff>0</xdr:rowOff>
    </xdr:to>
    <xdr:pic>
      <xdr:nvPicPr>
        <xdr:cNvPr id="3222" name="Object -1009" hidden="1">
          <a:extLst>
            <a:ext uri="{FF2B5EF4-FFF2-40B4-BE49-F238E27FC236}">
              <a16:creationId xmlns:a16="http://schemas.microsoft.com/office/drawing/2014/main" id="{00000000-0008-0000-0500-00009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7638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9525</xdr:colOff>
      <xdr:row>84</xdr:row>
      <xdr:rowOff>0</xdr:rowOff>
    </xdr:from>
    <xdr:to>
      <xdr:col>12</xdr:col>
      <xdr:colOff>0</xdr:colOff>
      <xdr:row>84</xdr:row>
      <xdr:rowOff>0</xdr:rowOff>
    </xdr:to>
    <xdr:pic>
      <xdr:nvPicPr>
        <xdr:cNvPr id="3223" name="Object -1008" hidden="1">
          <a:extLst>
            <a:ext uri="{FF2B5EF4-FFF2-40B4-BE49-F238E27FC236}">
              <a16:creationId xmlns:a16="http://schemas.microsoft.com/office/drawing/2014/main" id="{00000000-0008-0000-0500-00009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7638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9525</xdr:colOff>
      <xdr:row>84</xdr:row>
      <xdr:rowOff>0</xdr:rowOff>
    </xdr:from>
    <xdr:to>
      <xdr:col>12</xdr:col>
      <xdr:colOff>0</xdr:colOff>
      <xdr:row>84</xdr:row>
      <xdr:rowOff>0</xdr:rowOff>
    </xdr:to>
    <xdr:pic>
      <xdr:nvPicPr>
        <xdr:cNvPr id="3224" name="Object -1007" hidden="1">
          <a:extLst>
            <a:ext uri="{FF2B5EF4-FFF2-40B4-BE49-F238E27FC236}">
              <a16:creationId xmlns:a16="http://schemas.microsoft.com/office/drawing/2014/main" id="{00000000-0008-0000-0500-00009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7638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9525</xdr:colOff>
      <xdr:row>84</xdr:row>
      <xdr:rowOff>0</xdr:rowOff>
    </xdr:from>
    <xdr:to>
      <xdr:col>12</xdr:col>
      <xdr:colOff>0</xdr:colOff>
      <xdr:row>84</xdr:row>
      <xdr:rowOff>0</xdr:rowOff>
    </xdr:to>
    <xdr:pic>
      <xdr:nvPicPr>
        <xdr:cNvPr id="3225" name="Object -1006" hidden="1">
          <a:extLst>
            <a:ext uri="{FF2B5EF4-FFF2-40B4-BE49-F238E27FC236}">
              <a16:creationId xmlns:a16="http://schemas.microsoft.com/office/drawing/2014/main" id="{00000000-0008-0000-0500-00009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7638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9525</xdr:colOff>
      <xdr:row>84</xdr:row>
      <xdr:rowOff>0</xdr:rowOff>
    </xdr:from>
    <xdr:to>
      <xdr:col>12</xdr:col>
      <xdr:colOff>0</xdr:colOff>
      <xdr:row>84</xdr:row>
      <xdr:rowOff>0</xdr:rowOff>
    </xdr:to>
    <xdr:pic>
      <xdr:nvPicPr>
        <xdr:cNvPr id="3226" name="Object -1005" hidden="1">
          <a:extLst>
            <a:ext uri="{FF2B5EF4-FFF2-40B4-BE49-F238E27FC236}">
              <a16:creationId xmlns:a16="http://schemas.microsoft.com/office/drawing/2014/main" id="{00000000-0008-0000-0500-00009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7638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227" name="Object -1022" hidden="1">
          <a:extLst>
            <a:ext uri="{FF2B5EF4-FFF2-40B4-BE49-F238E27FC236}">
              <a16:creationId xmlns:a16="http://schemas.microsoft.com/office/drawing/2014/main" id="{00000000-0008-0000-0500-00009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228" name="Object -1021" hidden="1">
          <a:extLst>
            <a:ext uri="{FF2B5EF4-FFF2-40B4-BE49-F238E27FC236}">
              <a16:creationId xmlns:a16="http://schemas.microsoft.com/office/drawing/2014/main" id="{00000000-0008-0000-0500-00009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229" name="Object -1020" hidden="1">
          <a:extLst>
            <a:ext uri="{FF2B5EF4-FFF2-40B4-BE49-F238E27FC236}">
              <a16:creationId xmlns:a16="http://schemas.microsoft.com/office/drawing/2014/main" id="{00000000-0008-0000-0500-00009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230" name="Object -1019" hidden="1">
          <a:extLst>
            <a:ext uri="{FF2B5EF4-FFF2-40B4-BE49-F238E27FC236}">
              <a16:creationId xmlns:a16="http://schemas.microsoft.com/office/drawing/2014/main" id="{00000000-0008-0000-0500-00009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231" name="Object -1018" hidden="1">
          <a:extLst>
            <a:ext uri="{FF2B5EF4-FFF2-40B4-BE49-F238E27FC236}">
              <a16:creationId xmlns:a16="http://schemas.microsoft.com/office/drawing/2014/main" id="{00000000-0008-0000-0500-00009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232" name="Object -1017" hidden="1">
          <a:extLst>
            <a:ext uri="{FF2B5EF4-FFF2-40B4-BE49-F238E27FC236}">
              <a16:creationId xmlns:a16="http://schemas.microsoft.com/office/drawing/2014/main" id="{00000000-0008-0000-0500-0000A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233" name="Object -1016" hidden="1">
          <a:extLst>
            <a:ext uri="{FF2B5EF4-FFF2-40B4-BE49-F238E27FC236}">
              <a16:creationId xmlns:a16="http://schemas.microsoft.com/office/drawing/2014/main" id="{00000000-0008-0000-0500-0000A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9525</xdr:colOff>
      <xdr:row>84</xdr:row>
      <xdr:rowOff>0</xdr:rowOff>
    </xdr:from>
    <xdr:to>
      <xdr:col>12</xdr:col>
      <xdr:colOff>0</xdr:colOff>
      <xdr:row>84</xdr:row>
      <xdr:rowOff>0</xdr:rowOff>
    </xdr:to>
    <xdr:pic>
      <xdr:nvPicPr>
        <xdr:cNvPr id="3234" name="Object -1013" hidden="1">
          <a:extLst>
            <a:ext uri="{FF2B5EF4-FFF2-40B4-BE49-F238E27FC236}">
              <a16:creationId xmlns:a16="http://schemas.microsoft.com/office/drawing/2014/main" id="{00000000-0008-0000-0500-0000A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7638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9525</xdr:colOff>
      <xdr:row>84</xdr:row>
      <xdr:rowOff>0</xdr:rowOff>
    </xdr:from>
    <xdr:to>
      <xdr:col>12</xdr:col>
      <xdr:colOff>0</xdr:colOff>
      <xdr:row>84</xdr:row>
      <xdr:rowOff>0</xdr:rowOff>
    </xdr:to>
    <xdr:pic>
      <xdr:nvPicPr>
        <xdr:cNvPr id="3235" name="Object -1012" hidden="1">
          <a:extLst>
            <a:ext uri="{FF2B5EF4-FFF2-40B4-BE49-F238E27FC236}">
              <a16:creationId xmlns:a16="http://schemas.microsoft.com/office/drawing/2014/main" id="{00000000-0008-0000-0500-0000A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7638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9525</xdr:colOff>
      <xdr:row>84</xdr:row>
      <xdr:rowOff>0</xdr:rowOff>
    </xdr:from>
    <xdr:to>
      <xdr:col>12</xdr:col>
      <xdr:colOff>0</xdr:colOff>
      <xdr:row>84</xdr:row>
      <xdr:rowOff>0</xdr:rowOff>
    </xdr:to>
    <xdr:pic>
      <xdr:nvPicPr>
        <xdr:cNvPr id="3236" name="Object -1011" hidden="1">
          <a:extLst>
            <a:ext uri="{FF2B5EF4-FFF2-40B4-BE49-F238E27FC236}">
              <a16:creationId xmlns:a16="http://schemas.microsoft.com/office/drawing/2014/main" id="{00000000-0008-0000-0500-0000A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7638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9525</xdr:colOff>
      <xdr:row>84</xdr:row>
      <xdr:rowOff>0</xdr:rowOff>
    </xdr:from>
    <xdr:to>
      <xdr:col>12</xdr:col>
      <xdr:colOff>0</xdr:colOff>
      <xdr:row>84</xdr:row>
      <xdr:rowOff>0</xdr:rowOff>
    </xdr:to>
    <xdr:pic>
      <xdr:nvPicPr>
        <xdr:cNvPr id="3237" name="Object -1010" hidden="1">
          <a:extLst>
            <a:ext uri="{FF2B5EF4-FFF2-40B4-BE49-F238E27FC236}">
              <a16:creationId xmlns:a16="http://schemas.microsoft.com/office/drawing/2014/main" id="{00000000-0008-0000-0500-0000A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7638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9525</xdr:colOff>
      <xdr:row>84</xdr:row>
      <xdr:rowOff>0</xdr:rowOff>
    </xdr:from>
    <xdr:to>
      <xdr:col>12</xdr:col>
      <xdr:colOff>0</xdr:colOff>
      <xdr:row>84</xdr:row>
      <xdr:rowOff>0</xdr:rowOff>
    </xdr:to>
    <xdr:pic>
      <xdr:nvPicPr>
        <xdr:cNvPr id="3238" name="Object -1009" hidden="1">
          <a:extLst>
            <a:ext uri="{FF2B5EF4-FFF2-40B4-BE49-F238E27FC236}">
              <a16:creationId xmlns:a16="http://schemas.microsoft.com/office/drawing/2014/main" id="{00000000-0008-0000-0500-0000A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7638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9525</xdr:colOff>
      <xdr:row>84</xdr:row>
      <xdr:rowOff>0</xdr:rowOff>
    </xdr:from>
    <xdr:to>
      <xdr:col>12</xdr:col>
      <xdr:colOff>0</xdr:colOff>
      <xdr:row>84</xdr:row>
      <xdr:rowOff>0</xdr:rowOff>
    </xdr:to>
    <xdr:pic>
      <xdr:nvPicPr>
        <xdr:cNvPr id="3239" name="Object -1008" hidden="1">
          <a:extLst>
            <a:ext uri="{FF2B5EF4-FFF2-40B4-BE49-F238E27FC236}">
              <a16:creationId xmlns:a16="http://schemas.microsoft.com/office/drawing/2014/main" id="{00000000-0008-0000-0500-0000A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7638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9525</xdr:colOff>
      <xdr:row>84</xdr:row>
      <xdr:rowOff>0</xdr:rowOff>
    </xdr:from>
    <xdr:to>
      <xdr:col>12</xdr:col>
      <xdr:colOff>0</xdr:colOff>
      <xdr:row>84</xdr:row>
      <xdr:rowOff>0</xdr:rowOff>
    </xdr:to>
    <xdr:pic>
      <xdr:nvPicPr>
        <xdr:cNvPr id="3240" name="Object -1007" hidden="1">
          <a:extLst>
            <a:ext uri="{FF2B5EF4-FFF2-40B4-BE49-F238E27FC236}">
              <a16:creationId xmlns:a16="http://schemas.microsoft.com/office/drawing/2014/main" id="{00000000-0008-0000-0500-0000A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7638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9525</xdr:colOff>
      <xdr:row>84</xdr:row>
      <xdr:rowOff>0</xdr:rowOff>
    </xdr:from>
    <xdr:to>
      <xdr:col>12</xdr:col>
      <xdr:colOff>0</xdr:colOff>
      <xdr:row>84</xdr:row>
      <xdr:rowOff>0</xdr:rowOff>
    </xdr:to>
    <xdr:pic>
      <xdr:nvPicPr>
        <xdr:cNvPr id="3241" name="Object -1006" hidden="1">
          <a:extLst>
            <a:ext uri="{FF2B5EF4-FFF2-40B4-BE49-F238E27FC236}">
              <a16:creationId xmlns:a16="http://schemas.microsoft.com/office/drawing/2014/main" id="{00000000-0008-0000-0500-0000A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7638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9525</xdr:colOff>
      <xdr:row>84</xdr:row>
      <xdr:rowOff>0</xdr:rowOff>
    </xdr:from>
    <xdr:to>
      <xdr:col>12</xdr:col>
      <xdr:colOff>0</xdr:colOff>
      <xdr:row>84</xdr:row>
      <xdr:rowOff>0</xdr:rowOff>
    </xdr:to>
    <xdr:pic>
      <xdr:nvPicPr>
        <xdr:cNvPr id="3242" name="Object -1005" hidden="1">
          <a:extLst>
            <a:ext uri="{FF2B5EF4-FFF2-40B4-BE49-F238E27FC236}">
              <a16:creationId xmlns:a16="http://schemas.microsoft.com/office/drawing/2014/main" id="{00000000-0008-0000-0500-0000A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7638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243" name="Object -1022" hidden="1">
          <a:extLst>
            <a:ext uri="{FF2B5EF4-FFF2-40B4-BE49-F238E27FC236}">
              <a16:creationId xmlns:a16="http://schemas.microsoft.com/office/drawing/2014/main" id="{00000000-0008-0000-0500-0000A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244" name="Object -1021" hidden="1">
          <a:extLst>
            <a:ext uri="{FF2B5EF4-FFF2-40B4-BE49-F238E27FC236}">
              <a16:creationId xmlns:a16="http://schemas.microsoft.com/office/drawing/2014/main" id="{00000000-0008-0000-0500-0000A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245" name="Object -1020" hidden="1">
          <a:extLst>
            <a:ext uri="{FF2B5EF4-FFF2-40B4-BE49-F238E27FC236}">
              <a16:creationId xmlns:a16="http://schemas.microsoft.com/office/drawing/2014/main" id="{00000000-0008-0000-0500-0000A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246" name="Object -1019" hidden="1">
          <a:extLst>
            <a:ext uri="{FF2B5EF4-FFF2-40B4-BE49-F238E27FC236}">
              <a16:creationId xmlns:a16="http://schemas.microsoft.com/office/drawing/2014/main" id="{00000000-0008-0000-0500-0000A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247" name="Object -1018" hidden="1">
          <a:extLst>
            <a:ext uri="{FF2B5EF4-FFF2-40B4-BE49-F238E27FC236}">
              <a16:creationId xmlns:a16="http://schemas.microsoft.com/office/drawing/2014/main" id="{00000000-0008-0000-0500-0000A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248" name="Object -1017" hidden="1">
          <a:extLst>
            <a:ext uri="{FF2B5EF4-FFF2-40B4-BE49-F238E27FC236}">
              <a16:creationId xmlns:a16="http://schemas.microsoft.com/office/drawing/2014/main" id="{00000000-0008-0000-0500-0000B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249" name="Object -1016" hidden="1">
          <a:extLst>
            <a:ext uri="{FF2B5EF4-FFF2-40B4-BE49-F238E27FC236}">
              <a16:creationId xmlns:a16="http://schemas.microsoft.com/office/drawing/2014/main" id="{00000000-0008-0000-0500-0000B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9525</xdr:colOff>
      <xdr:row>84</xdr:row>
      <xdr:rowOff>0</xdr:rowOff>
    </xdr:from>
    <xdr:to>
      <xdr:col>12</xdr:col>
      <xdr:colOff>0</xdr:colOff>
      <xdr:row>84</xdr:row>
      <xdr:rowOff>0</xdr:rowOff>
    </xdr:to>
    <xdr:pic>
      <xdr:nvPicPr>
        <xdr:cNvPr id="3250" name="Object -1013" hidden="1">
          <a:extLst>
            <a:ext uri="{FF2B5EF4-FFF2-40B4-BE49-F238E27FC236}">
              <a16:creationId xmlns:a16="http://schemas.microsoft.com/office/drawing/2014/main" id="{00000000-0008-0000-0500-0000B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8400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9525</xdr:colOff>
      <xdr:row>84</xdr:row>
      <xdr:rowOff>0</xdr:rowOff>
    </xdr:from>
    <xdr:to>
      <xdr:col>12</xdr:col>
      <xdr:colOff>0</xdr:colOff>
      <xdr:row>84</xdr:row>
      <xdr:rowOff>0</xdr:rowOff>
    </xdr:to>
    <xdr:pic>
      <xdr:nvPicPr>
        <xdr:cNvPr id="3251" name="Object -1012" hidden="1">
          <a:extLst>
            <a:ext uri="{FF2B5EF4-FFF2-40B4-BE49-F238E27FC236}">
              <a16:creationId xmlns:a16="http://schemas.microsoft.com/office/drawing/2014/main" id="{00000000-0008-0000-0500-0000B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8400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9525</xdr:colOff>
      <xdr:row>84</xdr:row>
      <xdr:rowOff>0</xdr:rowOff>
    </xdr:from>
    <xdr:to>
      <xdr:col>12</xdr:col>
      <xdr:colOff>0</xdr:colOff>
      <xdr:row>84</xdr:row>
      <xdr:rowOff>0</xdr:rowOff>
    </xdr:to>
    <xdr:pic>
      <xdr:nvPicPr>
        <xdr:cNvPr id="3252" name="Object -1011" hidden="1">
          <a:extLst>
            <a:ext uri="{FF2B5EF4-FFF2-40B4-BE49-F238E27FC236}">
              <a16:creationId xmlns:a16="http://schemas.microsoft.com/office/drawing/2014/main" id="{00000000-0008-0000-0500-0000B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8400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9525</xdr:colOff>
      <xdr:row>84</xdr:row>
      <xdr:rowOff>0</xdr:rowOff>
    </xdr:from>
    <xdr:to>
      <xdr:col>12</xdr:col>
      <xdr:colOff>0</xdr:colOff>
      <xdr:row>84</xdr:row>
      <xdr:rowOff>0</xdr:rowOff>
    </xdr:to>
    <xdr:pic>
      <xdr:nvPicPr>
        <xdr:cNvPr id="3253" name="Object -1010" hidden="1">
          <a:extLst>
            <a:ext uri="{FF2B5EF4-FFF2-40B4-BE49-F238E27FC236}">
              <a16:creationId xmlns:a16="http://schemas.microsoft.com/office/drawing/2014/main" id="{00000000-0008-0000-0500-0000B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8400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9525</xdr:colOff>
      <xdr:row>84</xdr:row>
      <xdr:rowOff>0</xdr:rowOff>
    </xdr:from>
    <xdr:to>
      <xdr:col>12</xdr:col>
      <xdr:colOff>0</xdr:colOff>
      <xdr:row>84</xdr:row>
      <xdr:rowOff>0</xdr:rowOff>
    </xdr:to>
    <xdr:pic>
      <xdr:nvPicPr>
        <xdr:cNvPr id="3254" name="Object -1009" hidden="1">
          <a:extLst>
            <a:ext uri="{FF2B5EF4-FFF2-40B4-BE49-F238E27FC236}">
              <a16:creationId xmlns:a16="http://schemas.microsoft.com/office/drawing/2014/main" id="{00000000-0008-0000-0500-0000B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8400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9525</xdr:colOff>
      <xdr:row>84</xdr:row>
      <xdr:rowOff>0</xdr:rowOff>
    </xdr:from>
    <xdr:to>
      <xdr:col>12</xdr:col>
      <xdr:colOff>0</xdr:colOff>
      <xdr:row>84</xdr:row>
      <xdr:rowOff>0</xdr:rowOff>
    </xdr:to>
    <xdr:pic>
      <xdr:nvPicPr>
        <xdr:cNvPr id="3255" name="Object -1008" hidden="1">
          <a:extLst>
            <a:ext uri="{FF2B5EF4-FFF2-40B4-BE49-F238E27FC236}">
              <a16:creationId xmlns:a16="http://schemas.microsoft.com/office/drawing/2014/main" id="{00000000-0008-0000-0500-0000B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8400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9525</xdr:colOff>
      <xdr:row>84</xdr:row>
      <xdr:rowOff>0</xdr:rowOff>
    </xdr:from>
    <xdr:to>
      <xdr:col>12</xdr:col>
      <xdr:colOff>0</xdr:colOff>
      <xdr:row>84</xdr:row>
      <xdr:rowOff>0</xdr:rowOff>
    </xdr:to>
    <xdr:pic>
      <xdr:nvPicPr>
        <xdr:cNvPr id="3256" name="Object -1007" hidden="1">
          <a:extLst>
            <a:ext uri="{FF2B5EF4-FFF2-40B4-BE49-F238E27FC236}">
              <a16:creationId xmlns:a16="http://schemas.microsoft.com/office/drawing/2014/main" id="{00000000-0008-0000-0500-0000B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8400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9525</xdr:colOff>
      <xdr:row>84</xdr:row>
      <xdr:rowOff>0</xdr:rowOff>
    </xdr:from>
    <xdr:to>
      <xdr:col>12</xdr:col>
      <xdr:colOff>0</xdr:colOff>
      <xdr:row>84</xdr:row>
      <xdr:rowOff>0</xdr:rowOff>
    </xdr:to>
    <xdr:pic>
      <xdr:nvPicPr>
        <xdr:cNvPr id="3257" name="Object -1006" hidden="1">
          <a:extLst>
            <a:ext uri="{FF2B5EF4-FFF2-40B4-BE49-F238E27FC236}">
              <a16:creationId xmlns:a16="http://schemas.microsoft.com/office/drawing/2014/main" id="{00000000-0008-0000-0500-0000B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8400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9525</xdr:colOff>
      <xdr:row>84</xdr:row>
      <xdr:rowOff>0</xdr:rowOff>
    </xdr:from>
    <xdr:to>
      <xdr:col>12</xdr:col>
      <xdr:colOff>0</xdr:colOff>
      <xdr:row>84</xdr:row>
      <xdr:rowOff>0</xdr:rowOff>
    </xdr:to>
    <xdr:pic>
      <xdr:nvPicPr>
        <xdr:cNvPr id="3258" name="Object -1005" hidden="1">
          <a:extLst>
            <a:ext uri="{FF2B5EF4-FFF2-40B4-BE49-F238E27FC236}">
              <a16:creationId xmlns:a16="http://schemas.microsoft.com/office/drawing/2014/main" id="{00000000-0008-0000-0500-0000B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8400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259" name="Object -1022" hidden="1">
          <a:extLst>
            <a:ext uri="{FF2B5EF4-FFF2-40B4-BE49-F238E27FC236}">
              <a16:creationId xmlns:a16="http://schemas.microsoft.com/office/drawing/2014/main" id="{00000000-0008-0000-0500-0000B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260" name="Object -1021" hidden="1">
          <a:extLst>
            <a:ext uri="{FF2B5EF4-FFF2-40B4-BE49-F238E27FC236}">
              <a16:creationId xmlns:a16="http://schemas.microsoft.com/office/drawing/2014/main" id="{00000000-0008-0000-0500-0000B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261" name="Object -1020" hidden="1">
          <a:extLst>
            <a:ext uri="{FF2B5EF4-FFF2-40B4-BE49-F238E27FC236}">
              <a16:creationId xmlns:a16="http://schemas.microsoft.com/office/drawing/2014/main" id="{00000000-0008-0000-0500-0000B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262" name="Object -1019" hidden="1">
          <a:extLst>
            <a:ext uri="{FF2B5EF4-FFF2-40B4-BE49-F238E27FC236}">
              <a16:creationId xmlns:a16="http://schemas.microsoft.com/office/drawing/2014/main" id="{00000000-0008-0000-0500-0000B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263" name="Object -1018" hidden="1">
          <a:extLst>
            <a:ext uri="{FF2B5EF4-FFF2-40B4-BE49-F238E27FC236}">
              <a16:creationId xmlns:a16="http://schemas.microsoft.com/office/drawing/2014/main" id="{00000000-0008-0000-0500-0000B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264" name="Object -1017" hidden="1">
          <a:extLst>
            <a:ext uri="{FF2B5EF4-FFF2-40B4-BE49-F238E27FC236}">
              <a16:creationId xmlns:a16="http://schemas.microsoft.com/office/drawing/2014/main" id="{00000000-0008-0000-0500-0000C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265" name="Object -1016" hidden="1">
          <a:extLst>
            <a:ext uri="{FF2B5EF4-FFF2-40B4-BE49-F238E27FC236}">
              <a16:creationId xmlns:a16="http://schemas.microsoft.com/office/drawing/2014/main" id="{00000000-0008-0000-0500-0000C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9525</xdr:colOff>
      <xdr:row>84</xdr:row>
      <xdr:rowOff>0</xdr:rowOff>
    </xdr:from>
    <xdr:to>
      <xdr:col>12</xdr:col>
      <xdr:colOff>0</xdr:colOff>
      <xdr:row>84</xdr:row>
      <xdr:rowOff>0</xdr:rowOff>
    </xdr:to>
    <xdr:pic>
      <xdr:nvPicPr>
        <xdr:cNvPr id="3266" name="Object -1013" hidden="1">
          <a:extLst>
            <a:ext uri="{FF2B5EF4-FFF2-40B4-BE49-F238E27FC236}">
              <a16:creationId xmlns:a16="http://schemas.microsoft.com/office/drawing/2014/main" id="{00000000-0008-0000-0500-0000C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8400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9525</xdr:colOff>
      <xdr:row>84</xdr:row>
      <xdr:rowOff>0</xdr:rowOff>
    </xdr:from>
    <xdr:to>
      <xdr:col>12</xdr:col>
      <xdr:colOff>0</xdr:colOff>
      <xdr:row>84</xdr:row>
      <xdr:rowOff>0</xdr:rowOff>
    </xdr:to>
    <xdr:pic>
      <xdr:nvPicPr>
        <xdr:cNvPr id="3267" name="Object -1012" hidden="1">
          <a:extLst>
            <a:ext uri="{FF2B5EF4-FFF2-40B4-BE49-F238E27FC236}">
              <a16:creationId xmlns:a16="http://schemas.microsoft.com/office/drawing/2014/main" id="{00000000-0008-0000-0500-0000C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8400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9525</xdr:colOff>
      <xdr:row>84</xdr:row>
      <xdr:rowOff>0</xdr:rowOff>
    </xdr:from>
    <xdr:to>
      <xdr:col>12</xdr:col>
      <xdr:colOff>0</xdr:colOff>
      <xdr:row>84</xdr:row>
      <xdr:rowOff>0</xdr:rowOff>
    </xdr:to>
    <xdr:pic>
      <xdr:nvPicPr>
        <xdr:cNvPr id="3268" name="Object -1011" hidden="1">
          <a:extLst>
            <a:ext uri="{FF2B5EF4-FFF2-40B4-BE49-F238E27FC236}">
              <a16:creationId xmlns:a16="http://schemas.microsoft.com/office/drawing/2014/main" id="{00000000-0008-0000-0500-0000C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8400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9525</xdr:colOff>
      <xdr:row>84</xdr:row>
      <xdr:rowOff>0</xdr:rowOff>
    </xdr:from>
    <xdr:to>
      <xdr:col>12</xdr:col>
      <xdr:colOff>0</xdr:colOff>
      <xdr:row>84</xdr:row>
      <xdr:rowOff>0</xdr:rowOff>
    </xdr:to>
    <xdr:pic>
      <xdr:nvPicPr>
        <xdr:cNvPr id="3269" name="Object -1010" hidden="1">
          <a:extLst>
            <a:ext uri="{FF2B5EF4-FFF2-40B4-BE49-F238E27FC236}">
              <a16:creationId xmlns:a16="http://schemas.microsoft.com/office/drawing/2014/main" id="{00000000-0008-0000-0500-0000C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8400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9525</xdr:colOff>
      <xdr:row>84</xdr:row>
      <xdr:rowOff>0</xdr:rowOff>
    </xdr:from>
    <xdr:to>
      <xdr:col>12</xdr:col>
      <xdr:colOff>0</xdr:colOff>
      <xdr:row>84</xdr:row>
      <xdr:rowOff>0</xdr:rowOff>
    </xdr:to>
    <xdr:pic>
      <xdr:nvPicPr>
        <xdr:cNvPr id="3270" name="Object -1009" hidden="1">
          <a:extLst>
            <a:ext uri="{FF2B5EF4-FFF2-40B4-BE49-F238E27FC236}">
              <a16:creationId xmlns:a16="http://schemas.microsoft.com/office/drawing/2014/main" id="{00000000-0008-0000-0500-0000C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8400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9525</xdr:colOff>
      <xdr:row>84</xdr:row>
      <xdr:rowOff>0</xdr:rowOff>
    </xdr:from>
    <xdr:to>
      <xdr:col>12</xdr:col>
      <xdr:colOff>0</xdr:colOff>
      <xdr:row>84</xdr:row>
      <xdr:rowOff>0</xdr:rowOff>
    </xdr:to>
    <xdr:pic>
      <xdr:nvPicPr>
        <xdr:cNvPr id="3271" name="Object -1008" hidden="1">
          <a:extLst>
            <a:ext uri="{FF2B5EF4-FFF2-40B4-BE49-F238E27FC236}">
              <a16:creationId xmlns:a16="http://schemas.microsoft.com/office/drawing/2014/main" id="{00000000-0008-0000-0500-0000C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8400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9525</xdr:colOff>
      <xdr:row>84</xdr:row>
      <xdr:rowOff>0</xdr:rowOff>
    </xdr:from>
    <xdr:to>
      <xdr:col>12</xdr:col>
      <xdr:colOff>0</xdr:colOff>
      <xdr:row>84</xdr:row>
      <xdr:rowOff>0</xdr:rowOff>
    </xdr:to>
    <xdr:pic>
      <xdr:nvPicPr>
        <xdr:cNvPr id="3272" name="Object -1007" hidden="1">
          <a:extLst>
            <a:ext uri="{FF2B5EF4-FFF2-40B4-BE49-F238E27FC236}">
              <a16:creationId xmlns:a16="http://schemas.microsoft.com/office/drawing/2014/main" id="{00000000-0008-0000-0500-0000C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8400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9525</xdr:colOff>
      <xdr:row>84</xdr:row>
      <xdr:rowOff>0</xdr:rowOff>
    </xdr:from>
    <xdr:to>
      <xdr:col>12</xdr:col>
      <xdr:colOff>0</xdr:colOff>
      <xdr:row>84</xdr:row>
      <xdr:rowOff>0</xdr:rowOff>
    </xdr:to>
    <xdr:pic>
      <xdr:nvPicPr>
        <xdr:cNvPr id="3273" name="Object -1006" hidden="1">
          <a:extLst>
            <a:ext uri="{FF2B5EF4-FFF2-40B4-BE49-F238E27FC236}">
              <a16:creationId xmlns:a16="http://schemas.microsoft.com/office/drawing/2014/main" id="{00000000-0008-0000-0500-0000C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8400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9525</xdr:colOff>
      <xdr:row>84</xdr:row>
      <xdr:rowOff>0</xdr:rowOff>
    </xdr:from>
    <xdr:to>
      <xdr:col>12</xdr:col>
      <xdr:colOff>0</xdr:colOff>
      <xdr:row>84</xdr:row>
      <xdr:rowOff>0</xdr:rowOff>
    </xdr:to>
    <xdr:pic>
      <xdr:nvPicPr>
        <xdr:cNvPr id="3274" name="Object -1005" hidden="1">
          <a:extLst>
            <a:ext uri="{FF2B5EF4-FFF2-40B4-BE49-F238E27FC236}">
              <a16:creationId xmlns:a16="http://schemas.microsoft.com/office/drawing/2014/main" id="{00000000-0008-0000-0500-0000C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8400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275" name="Object -1022" hidden="1">
          <a:extLst>
            <a:ext uri="{FF2B5EF4-FFF2-40B4-BE49-F238E27FC236}">
              <a16:creationId xmlns:a16="http://schemas.microsoft.com/office/drawing/2014/main" id="{00000000-0008-0000-0500-0000C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276" name="Object -1021" hidden="1">
          <a:extLst>
            <a:ext uri="{FF2B5EF4-FFF2-40B4-BE49-F238E27FC236}">
              <a16:creationId xmlns:a16="http://schemas.microsoft.com/office/drawing/2014/main" id="{00000000-0008-0000-0500-0000C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277" name="Object -1020" hidden="1">
          <a:extLst>
            <a:ext uri="{FF2B5EF4-FFF2-40B4-BE49-F238E27FC236}">
              <a16:creationId xmlns:a16="http://schemas.microsoft.com/office/drawing/2014/main" id="{00000000-0008-0000-0500-0000C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278" name="Object -1019" hidden="1">
          <a:extLst>
            <a:ext uri="{FF2B5EF4-FFF2-40B4-BE49-F238E27FC236}">
              <a16:creationId xmlns:a16="http://schemas.microsoft.com/office/drawing/2014/main" id="{00000000-0008-0000-0500-0000C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279" name="Object -1018" hidden="1">
          <a:extLst>
            <a:ext uri="{FF2B5EF4-FFF2-40B4-BE49-F238E27FC236}">
              <a16:creationId xmlns:a16="http://schemas.microsoft.com/office/drawing/2014/main" id="{00000000-0008-0000-0500-0000C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280" name="Object -1017" hidden="1">
          <a:extLst>
            <a:ext uri="{FF2B5EF4-FFF2-40B4-BE49-F238E27FC236}">
              <a16:creationId xmlns:a16="http://schemas.microsoft.com/office/drawing/2014/main" id="{00000000-0008-0000-0500-0000D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281" name="Object -1016" hidden="1">
          <a:extLst>
            <a:ext uri="{FF2B5EF4-FFF2-40B4-BE49-F238E27FC236}">
              <a16:creationId xmlns:a16="http://schemas.microsoft.com/office/drawing/2014/main" id="{00000000-0008-0000-0500-0000D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9525</xdr:colOff>
      <xdr:row>84</xdr:row>
      <xdr:rowOff>0</xdr:rowOff>
    </xdr:from>
    <xdr:to>
      <xdr:col>12</xdr:col>
      <xdr:colOff>0</xdr:colOff>
      <xdr:row>84</xdr:row>
      <xdr:rowOff>0</xdr:rowOff>
    </xdr:to>
    <xdr:pic>
      <xdr:nvPicPr>
        <xdr:cNvPr id="3282" name="Object -1013" hidden="1">
          <a:extLst>
            <a:ext uri="{FF2B5EF4-FFF2-40B4-BE49-F238E27FC236}">
              <a16:creationId xmlns:a16="http://schemas.microsoft.com/office/drawing/2014/main" id="{00000000-0008-0000-0500-0000D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8400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9525</xdr:colOff>
      <xdr:row>84</xdr:row>
      <xdr:rowOff>0</xdr:rowOff>
    </xdr:from>
    <xdr:to>
      <xdr:col>12</xdr:col>
      <xdr:colOff>0</xdr:colOff>
      <xdr:row>84</xdr:row>
      <xdr:rowOff>0</xdr:rowOff>
    </xdr:to>
    <xdr:pic>
      <xdr:nvPicPr>
        <xdr:cNvPr id="3283" name="Object -1012" hidden="1">
          <a:extLst>
            <a:ext uri="{FF2B5EF4-FFF2-40B4-BE49-F238E27FC236}">
              <a16:creationId xmlns:a16="http://schemas.microsoft.com/office/drawing/2014/main" id="{00000000-0008-0000-0500-0000D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8400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9525</xdr:colOff>
      <xdr:row>84</xdr:row>
      <xdr:rowOff>0</xdr:rowOff>
    </xdr:from>
    <xdr:to>
      <xdr:col>12</xdr:col>
      <xdr:colOff>0</xdr:colOff>
      <xdr:row>84</xdr:row>
      <xdr:rowOff>0</xdr:rowOff>
    </xdr:to>
    <xdr:pic>
      <xdr:nvPicPr>
        <xdr:cNvPr id="3284" name="Object -1011" hidden="1">
          <a:extLst>
            <a:ext uri="{FF2B5EF4-FFF2-40B4-BE49-F238E27FC236}">
              <a16:creationId xmlns:a16="http://schemas.microsoft.com/office/drawing/2014/main" id="{00000000-0008-0000-0500-0000D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8400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9525</xdr:colOff>
      <xdr:row>84</xdr:row>
      <xdr:rowOff>0</xdr:rowOff>
    </xdr:from>
    <xdr:to>
      <xdr:col>12</xdr:col>
      <xdr:colOff>0</xdr:colOff>
      <xdr:row>84</xdr:row>
      <xdr:rowOff>0</xdr:rowOff>
    </xdr:to>
    <xdr:pic>
      <xdr:nvPicPr>
        <xdr:cNvPr id="3285" name="Object -1010" hidden="1">
          <a:extLst>
            <a:ext uri="{FF2B5EF4-FFF2-40B4-BE49-F238E27FC236}">
              <a16:creationId xmlns:a16="http://schemas.microsoft.com/office/drawing/2014/main" id="{00000000-0008-0000-0500-0000D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8400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9525</xdr:colOff>
      <xdr:row>84</xdr:row>
      <xdr:rowOff>0</xdr:rowOff>
    </xdr:from>
    <xdr:to>
      <xdr:col>12</xdr:col>
      <xdr:colOff>0</xdr:colOff>
      <xdr:row>84</xdr:row>
      <xdr:rowOff>0</xdr:rowOff>
    </xdr:to>
    <xdr:pic>
      <xdr:nvPicPr>
        <xdr:cNvPr id="3286" name="Object -1009" hidden="1">
          <a:extLst>
            <a:ext uri="{FF2B5EF4-FFF2-40B4-BE49-F238E27FC236}">
              <a16:creationId xmlns:a16="http://schemas.microsoft.com/office/drawing/2014/main" id="{00000000-0008-0000-0500-0000D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8400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9525</xdr:colOff>
      <xdr:row>84</xdr:row>
      <xdr:rowOff>0</xdr:rowOff>
    </xdr:from>
    <xdr:to>
      <xdr:col>12</xdr:col>
      <xdr:colOff>0</xdr:colOff>
      <xdr:row>84</xdr:row>
      <xdr:rowOff>0</xdr:rowOff>
    </xdr:to>
    <xdr:pic>
      <xdr:nvPicPr>
        <xdr:cNvPr id="3287" name="Object -1008" hidden="1">
          <a:extLst>
            <a:ext uri="{FF2B5EF4-FFF2-40B4-BE49-F238E27FC236}">
              <a16:creationId xmlns:a16="http://schemas.microsoft.com/office/drawing/2014/main" id="{00000000-0008-0000-0500-0000D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8400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9525</xdr:colOff>
      <xdr:row>84</xdr:row>
      <xdr:rowOff>0</xdr:rowOff>
    </xdr:from>
    <xdr:to>
      <xdr:col>12</xdr:col>
      <xdr:colOff>0</xdr:colOff>
      <xdr:row>84</xdr:row>
      <xdr:rowOff>0</xdr:rowOff>
    </xdr:to>
    <xdr:pic>
      <xdr:nvPicPr>
        <xdr:cNvPr id="3288" name="Object -1007" hidden="1">
          <a:extLst>
            <a:ext uri="{FF2B5EF4-FFF2-40B4-BE49-F238E27FC236}">
              <a16:creationId xmlns:a16="http://schemas.microsoft.com/office/drawing/2014/main" id="{00000000-0008-0000-0500-0000D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8400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9525</xdr:colOff>
      <xdr:row>84</xdr:row>
      <xdr:rowOff>0</xdr:rowOff>
    </xdr:from>
    <xdr:to>
      <xdr:col>12</xdr:col>
      <xdr:colOff>0</xdr:colOff>
      <xdr:row>84</xdr:row>
      <xdr:rowOff>0</xdr:rowOff>
    </xdr:to>
    <xdr:pic>
      <xdr:nvPicPr>
        <xdr:cNvPr id="3289" name="Object -1006" hidden="1">
          <a:extLst>
            <a:ext uri="{FF2B5EF4-FFF2-40B4-BE49-F238E27FC236}">
              <a16:creationId xmlns:a16="http://schemas.microsoft.com/office/drawing/2014/main" id="{00000000-0008-0000-0500-0000D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8400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9525</xdr:colOff>
      <xdr:row>84</xdr:row>
      <xdr:rowOff>0</xdr:rowOff>
    </xdr:from>
    <xdr:to>
      <xdr:col>12</xdr:col>
      <xdr:colOff>0</xdr:colOff>
      <xdr:row>84</xdr:row>
      <xdr:rowOff>0</xdr:rowOff>
    </xdr:to>
    <xdr:pic>
      <xdr:nvPicPr>
        <xdr:cNvPr id="3290" name="Object -1005" hidden="1">
          <a:extLst>
            <a:ext uri="{FF2B5EF4-FFF2-40B4-BE49-F238E27FC236}">
              <a16:creationId xmlns:a16="http://schemas.microsoft.com/office/drawing/2014/main" id="{00000000-0008-0000-0500-0000D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8400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291" name="Object -1022" hidden="1">
          <a:extLst>
            <a:ext uri="{FF2B5EF4-FFF2-40B4-BE49-F238E27FC236}">
              <a16:creationId xmlns:a16="http://schemas.microsoft.com/office/drawing/2014/main" id="{00000000-0008-0000-0500-0000D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292" name="Object -1021" hidden="1">
          <a:extLst>
            <a:ext uri="{FF2B5EF4-FFF2-40B4-BE49-F238E27FC236}">
              <a16:creationId xmlns:a16="http://schemas.microsoft.com/office/drawing/2014/main" id="{00000000-0008-0000-0500-0000D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293" name="Object -1020" hidden="1">
          <a:extLst>
            <a:ext uri="{FF2B5EF4-FFF2-40B4-BE49-F238E27FC236}">
              <a16:creationId xmlns:a16="http://schemas.microsoft.com/office/drawing/2014/main" id="{00000000-0008-0000-0500-0000D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294" name="Object -1019" hidden="1">
          <a:extLst>
            <a:ext uri="{FF2B5EF4-FFF2-40B4-BE49-F238E27FC236}">
              <a16:creationId xmlns:a16="http://schemas.microsoft.com/office/drawing/2014/main" id="{00000000-0008-0000-0500-0000D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295" name="Object -1018" hidden="1">
          <a:extLst>
            <a:ext uri="{FF2B5EF4-FFF2-40B4-BE49-F238E27FC236}">
              <a16:creationId xmlns:a16="http://schemas.microsoft.com/office/drawing/2014/main" id="{00000000-0008-0000-0500-0000D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296" name="Object -1017" hidden="1">
          <a:extLst>
            <a:ext uri="{FF2B5EF4-FFF2-40B4-BE49-F238E27FC236}">
              <a16:creationId xmlns:a16="http://schemas.microsoft.com/office/drawing/2014/main" id="{00000000-0008-0000-0500-0000E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297" name="Object -1016" hidden="1">
          <a:extLst>
            <a:ext uri="{FF2B5EF4-FFF2-40B4-BE49-F238E27FC236}">
              <a16:creationId xmlns:a16="http://schemas.microsoft.com/office/drawing/2014/main" id="{00000000-0008-0000-0500-0000E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298" name="Object -1013" hidden="1">
          <a:extLst>
            <a:ext uri="{FF2B5EF4-FFF2-40B4-BE49-F238E27FC236}">
              <a16:creationId xmlns:a16="http://schemas.microsoft.com/office/drawing/2014/main" id="{00000000-0008-0000-0500-0000E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74482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299" name="Object -1012" hidden="1">
          <a:extLst>
            <a:ext uri="{FF2B5EF4-FFF2-40B4-BE49-F238E27FC236}">
              <a16:creationId xmlns:a16="http://schemas.microsoft.com/office/drawing/2014/main" id="{00000000-0008-0000-0500-0000E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74482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300" name="Object -1011" hidden="1">
          <a:extLst>
            <a:ext uri="{FF2B5EF4-FFF2-40B4-BE49-F238E27FC236}">
              <a16:creationId xmlns:a16="http://schemas.microsoft.com/office/drawing/2014/main" id="{00000000-0008-0000-0500-0000E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74482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301" name="Object -1010" hidden="1">
          <a:extLst>
            <a:ext uri="{FF2B5EF4-FFF2-40B4-BE49-F238E27FC236}">
              <a16:creationId xmlns:a16="http://schemas.microsoft.com/office/drawing/2014/main" id="{00000000-0008-0000-0500-0000E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74482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302" name="Object -1009" hidden="1">
          <a:extLst>
            <a:ext uri="{FF2B5EF4-FFF2-40B4-BE49-F238E27FC236}">
              <a16:creationId xmlns:a16="http://schemas.microsoft.com/office/drawing/2014/main" id="{00000000-0008-0000-0500-0000E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74482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303" name="Object -1008" hidden="1">
          <a:extLst>
            <a:ext uri="{FF2B5EF4-FFF2-40B4-BE49-F238E27FC236}">
              <a16:creationId xmlns:a16="http://schemas.microsoft.com/office/drawing/2014/main" id="{00000000-0008-0000-0500-0000E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74482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304" name="Object -1007" hidden="1">
          <a:extLst>
            <a:ext uri="{FF2B5EF4-FFF2-40B4-BE49-F238E27FC236}">
              <a16:creationId xmlns:a16="http://schemas.microsoft.com/office/drawing/2014/main" id="{00000000-0008-0000-0500-0000E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74482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305" name="Object -1006" hidden="1">
          <a:extLst>
            <a:ext uri="{FF2B5EF4-FFF2-40B4-BE49-F238E27FC236}">
              <a16:creationId xmlns:a16="http://schemas.microsoft.com/office/drawing/2014/main" id="{00000000-0008-0000-0500-0000E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74482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306" name="Object -1005" hidden="1">
          <a:extLst>
            <a:ext uri="{FF2B5EF4-FFF2-40B4-BE49-F238E27FC236}">
              <a16:creationId xmlns:a16="http://schemas.microsoft.com/office/drawing/2014/main" id="{00000000-0008-0000-0500-0000E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74482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307" name="Object -1022" hidden="1">
          <a:extLst>
            <a:ext uri="{FF2B5EF4-FFF2-40B4-BE49-F238E27FC236}">
              <a16:creationId xmlns:a16="http://schemas.microsoft.com/office/drawing/2014/main" id="{00000000-0008-0000-0500-0000E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308" name="Object -1021" hidden="1">
          <a:extLst>
            <a:ext uri="{FF2B5EF4-FFF2-40B4-BE49-F238E27FC236}">
              <a16:creationId xmlns:a16="http://schemas.microsoft.com/office/drawing/2014/main" id="{00000000-0008-0000-0500-0000E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309" name="Object -1020" hidden="1">
          <a:extLst>
            <a:ext uri="{FF2B5EF4-FFF2-40B4-BE49-F238E27FC236}">
              <a16:creationId xmlns:a16="http://schemas.microsoft.com/office/drawing/2014/main" id="{00000000-0008-0000-0500-0000E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310" name="Object -1019" hidden="1">
          <a:extLst>
            <a:ext uri="{FF2B5EF4-FFF2-40B4-BE49-F238E27FC236}">
              <a16:creationId xmlns:a16="http://schemas.microsoft.com/office/drawing/2014/main" id="{00000000-0008-0000-0500-0000E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311" name="Object -1018" hidden="1">
          <a:extLst>
            <a:ext uri="{FF2B5EF4-FFF2-40B4-BE49-F238E27FC236}">
              <a16:creationId xmlns:a16="http://schemas.microsoft.com/office/drawing/2014/main" id="{00000000-0008-0000-0500-0000E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312" name="Object -1017" hidden="1">
          <a:extLst>
            <a:ext uri="{FF2B5EF4-FFF2-40B4-BE49-F238E27FC236}">
              <a16:creationId xmlns:a16="http://schemas.microsoft.com/office/drawing/2014/main" id="{00000000-0008-0000-0500-0000F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313" name="Object -1016" hidden="1">
          <a:extLst>
            <a:ext uri="{FF2B5EF4-FFF2-40B4-BE49-F238E27FC236}">
              <a16:creationId xmlns:a16="http://schemas.microsoft.com/office/drawing/2014/main" id="{00000000-0008-0000-0500-0000F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314" name="Object -1013" hidden="1">
          <a:extLst>
            <a:ext uri="{FF2B5EF4-FFF2-40B4-BE49-F238E27FC236}">
              <a16:creationId xmlns:a16="http://schemas.microsoft.com/office/drawing/2014/main" id="{00000000-0008-0000-0500-0000F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74482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315" name="Object -1012" hidden="1">
          <a:extLst>
            <a:ext uri="{FF2B5EF4-FFF2-40B4-BE49-F238E27FC236}">
              <a16:creationId xmlns:a16="http://schemas.microsoft.com/office/drawing/2014/main" id="{00000000-0008-0000-0500-0000F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74482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316" name="Object -1011" hidden="1">
          <a:extLst>
            <a:ext uri="{FF2B5EF4-FFF2-40B4-BE49-F238E27FC236}">
              <a16:creationId xmlns:a16="http://schemas.microsoft.com/office/drawing/2014/main" id="{00000000-0008-0000-0500-0000F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74482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317" name="Object -1010" hidden="1">
          <a:extLst>
            <a:ext uri="{FF2B5EF4-FFF2-40B4-BE49-F238E27FC236}">
              <a16:creationId xmlns:a16="http://schemas.microsoft.com/office/drawing/2014/main" id="{00000000-0008-0000-0500-0000F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74482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318" name="Object -1009" hidden="1">
          <a:extLst>
            <a:ext uri="{FF2B5EF4-FFF2-40B4-BE49-F238E27FC236}">
              <a16:creationId xmlns:a16="http://schemas.microsoft.com/office/drawing/2014/main" id="{00000000-0008-0000-0500-0000F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74482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319" name="Object -1008" hidden="1">
          <a:extLst>
            <a:ext uri="{FF2B5EF4-FFF2-40B4-BE49-F238E27FC236}">
              <a16:creationId xmlns:a16="http://schemas.microsoft.com/office/drawing/2014/main" id="{00000000-0008-0000-0500-0000F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74482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320" name="Object -1007" hidden="1">
          <a:extLst>
            <a:ext uri="{FF2B5EF4-FFF2-40B4-BE49-F238E27FC236}">
              <a16:creationId xmlns:a16="http://schemas.microsoft.com/office/drawing/2014/main" id="{00000000-0008-0000-0500-0000F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74482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321" name="Object -1006" hidden="1">
          <a:extLst>
            <a:ext uri="{FF2B5EF4-FFF2-40B4-BE49-F238E27FC236}">
              <a16:creationId xmlns:a16="http://schemas.microsoft.com/office/drawing/2014/main" id="{00000000-0008-0000-0500-0000F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74482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322" name="Object -1005" hidden="1">
          <a:extLst>
            <a:ext uri="{FF2B5EF4-FFF2-40B4-BE49-F238E27FC236}">
              <a16:creationId xmlns:a16="http://schemas.microsoft.com/office/drawing/2014/main" id="{00000000-0008-0000-0500-0000F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74482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323" name="Object -1022" hidden="1">
          <a:extLst>
            <a:ext uri="{FF2B5EF4-FFF2-40B4-BE49-F238E27FC236}">
              <a16:creationId xmlns:a16="http://schemas.microsoft.com/office/drawing/2014/main" id="{00000000-0008-0000-0500-0000F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324" name="Object -1021" hidden="1">
          <a:extLst>
            <a:ext uri="{FF2B5EF4-FFF2-40B4-BE49-F238E27FC236}">
              <a16:creationId xmlns:a16="http://schemas.microsoft.com/office/drawing/2014/main" id="{00000000-0008-0000-0500-0000F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325" name="Object -1020" hidden="1">
          <a:extLst>
            <a:ext uri="{FF2B5EF4-FFF2-40B4-BE49-F238E27FC236}">
              <a16:creationId xmlns:a16="http://schemas.microsoft.com/office/drawing/2014/main" id="{00000000-0008-0000-0500-0000F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326" name="Object -1019" hidden="1">
          <a:extLst>
            <a:ext uri="{FF2B5EF4-FFF2-40B4-BE49-F238E27FC236}">
              <a16:creationId xmlns:a16="http://schemas.microsoft.com/office/drawing/2014/main" id="{00000000-0008-0000-0500-0000F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327" name="Object -1018" hidden="1">
          <a:extLst>
            <a:ext uri="{FF2B5EF4-FFF2-40B4-BE49-F238E27FC236}">
              <a16:creationId xmlns:a16="http://schemas.microsoft.com/office/drawing/2014/main" id="{00000000-0008-0000-0500-0000F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328" name="Object -1017" hidden="1">
          <a:extLst>
            <a:ext uri="{FF2B5EF4-FFF2-40B4-BE49-F238E27FC236}">
              <a16:creationId xmlns:a16="http://schemas.microsoft.com/office/drawing/2014/main" id="{00000000-0008-0000-0500-00000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329" name="Object -1016" hidden="1">
          <a:extLst>
            <a:ext uri="{FF2B5EF4-FFF2-40B4-BE49-F238E27FC236}">
              <a16:creationId xmlns:a16="http://schemas.microsoft.com/office/drawing/2014/main" id="{00000000-0008-0000-0500-00000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330" name="Object -1013" hidden="1">
          <a:extLst>
            <a:ext uri="{FF2B5EF4-FFF2-40B4-BE49-F238E27FC236}">
              <a16:creationId xmlns:a16="http://schemas.microsoft.com/office/drawing/2014/main" id="{00000000-0008-0000-0500-00000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74482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331" name="Object -1012" hidden="1">
          <a:extLst>
            <a:ext uri="{FF2B5EF4-FFF2-40B4-BE49-F238E27FC236}">
              <a16:creationId xmlns:a16="http://schemas.microsoft.com/office/drawing/2014/main" id="{00000000-0008-0000-0500-00000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74482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332" name="Object -1011" hidden="1">
          <a:extLst>
            <a:ext uri="{FF2B5EF4-FFF2-40B4-BE49-F238E27FC236}">
              <a16:creationId xmlns:a16="http://schemas.microsoft.com/office/drawing/2014/main" id="{00000000-0008-0000-0500-00000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74482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333" name="Object -1010" hidden="1">
          <a:extLst>
            <a:ext uri="{FF2B5EF4-FFF2-40B4-BE49-F238E27FC236}">
              <a16:creationId xmlns:a16="http://schemas.microsoft.com/office/drawing/2014/main" id="{00000000-0008-0000-0500-00000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74482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334" name="Object -1009" hidden="1">
          <a:extLst>
            <a:ext uri="{FF2B5EF4-FFF2-40B4-BE49-F238E27FC236}">
              <a16:creationId xmlns:a16="http://schemas.microsoft.com/office/drawing/2014/main" id="{00000000-0008-0000-0500-00000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74482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335" name="Object -1008" hidden="1">
          <a:extLst>
            <a:ext uri="{FF2B5EF4-FFF2-40B4-BE49-F238E27FC236}">
              <a16:creationId xmlns:a16="http://schemas.microsoft.com/office/drawing/2014/main" id="{00000000-0008-0000-0500-00000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74482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336" name="Object -1007" hidden="1">
          <a:extLst>
            <a:ext uri="{FF2B5EF4-FFF2-40B4-BE49-F238E27FC236}">
              <a16:creationId xmlns:a16="http://schemas.microsoft.com/office/drawing/2014/main" id="{00000000-0008-0000-0500-00000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74482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337" name="Object -1006" hidden="1">
          <a:extLst>
            <a:ext uri="{FF2B5EF4-FFF2-40B4-BE49-F238E27FC236}">
              <a16:creationId xmlns:a16="http://schemas.microsoft.com/office/drawing/2014/main" id="{00000000-0008-0000-0500-00000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74482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338" name="Object -1005" hidden="1">
          <a:extLst>
            <a:ext uri="{FF2B5EF4-FFF2-40B4-BE49-F238E27FC236}">
              <a16:creationId xmlns:a16="http://schemas.microsoft.com/office/drawing/2014/main" id="{00000000-0008-0000-0500-00000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74482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339" name="Object -1022" hidden="1">
          <a:extLst>
            <a:ext uri="{FF2B5EF4-FFF2-40B4-BE49-F238E27FC236}">
              <a16:creationId xmlns:a16="http://schemas.microsoft.com/office/drawing/2014/main" id="{00000000-0008-0000-0500-00000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340" name="Object -1021" hidden="1">
          <a:extLst>
            <a:ext uri="{FF2B5EF4-FFF2-40B4-BE49-F238E27FC236}">
              <a16:creationId xmlns:a16="http://schemas.microsoft.com/office/drawing/2014/main" id="{00000000-0008-0000-0500-00000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341" name="Object -1020" hidden="1">
          <a:extLst>
            <a:ext uri="{FF2B5EF4-FFF2-40B4-BE49-F238E27FC236}">
              <a16:creationId xmlns:a16="http://schemas.microsoft.com/office/drawing/2014/main" id="{00000000-0008-0000-0500-00000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342" name="Object -1019" hidden="1">
          <a:extLst>
            <a:ext uri="{FF2B5EF4-FFF2-40B4-BE49-F238E27FC236}">
              <a16:creationId xmlns:a16="http://schemas.microsoft.com/office/drawing/2014/main" id="{00000000-0008-0000-0500-00000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343" name="Object -1018" hidden="1">
          <a:extLst>
            <a:ext uri="{FF2B5EF4-FFF2-40B4-BE49-F238E27FC236}">
              <a16:creationId xmlns:a16="http://schemas.microsoft.com/office/drawing/2014/main" id="{00000000-0008-0000-0500-00000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344" name="Object -1017" hidden="1">
          <a:extLst>
            <a:ext uri="{FF2B5EF4-FFF2-40B4-BE49-F238E27FC236}">
              <a16:creationId xmlns:a16="http://schemas.microsoft.com/office/drawing/2014/main" id="{00000000-0008-0000-0500-00001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345" name="Object -1016" hidden="1">
          <a:extLst>
            <a:ext uri="{FF2B5EF4-FFF2-40B4-BE49-F238E27FC236}">
              <a16:creationId xmlns:a16="http://schemas.microsoft.com/office/drawing/2014/main" id="{00000000-0008-0000-0500-00001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346" name="Object -1013" hidden="1">
          <a:extLst>
            <a:ext uri="{FF2B5EF4-FFF2-40B4-BE49-F238E27FC236}">
              <a16:creationId xmlns:a16="http://schemas.microsoft.com/office/drawing/2014/main" id="{00000000-0008-0000-0500-00001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74482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347" name="Object -1012" hidden="1">
          <a:extLst>
            <a:ext uri="{FF2B5EF4-FFF2-40B4-BE49-F238E27FC236}">
              <a16:creationId xmlns:a16="http://schemas.microsoft.com/office/drawing/2014/main" id="{00000000-0008-0000-0500-00001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74482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348" name="Object -1011" hidden="1">
          <a:extLst>
            <a:ext uri="{FF2B5EF4-FFF2-40B4-BE49-F238E27FC236}">
              <a16:creationId xmlns:a16="http://schemas.microsoft.com/office/drawing/2014/main" id="{00000000-0008-0000-0500-00001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74482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349" name="Object -1010" hidden="1">
          <a:extLst>
            <a:ext uri="{FF2B5EF4-FFF2-40B4-BE49-F238E27FC236}">
              <a16:creationId xmlns:a16="http://schemas.microsoft.com/office/drawing/2014/main" id="{00000000-0008-0000-0500-00001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74482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350" name="Object -1009" hidden="1">
          <a:extLst>
            <a:ext uri="{FF2B5EF4-FFF2-40B4-BE49-F238E27FC236}">
              <a16:creationId xmlns:a16="http://schemas.microsoft.com/office/drawing/2014/main" id="{00000000-0008-0000-0500-00001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74482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351" name="Object -1008" hidden="1">
          <a:extLst>
            <a:ext uri="{FF2B5EF4-FFF2-40B4-BE49-F238E27FC236}">
              <a16:creationId xmlns:a16="http://schemas.microsoft.com/office/drawing/2014/main" id="{00000000-0008-0000-0500-00001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74482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352" name="Object -1007" hidden="1">
          <a:extLst>
            <a:ext uri="{FF2B5EF4-FFF2-40B4-BE49-F238E27FC236}">
              <a16:creationId xmlns:a16="http://schemas.microsoft.com/office/drawing/2014/main" id="{00000000-0008-0000-0500-00001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74482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353" name="Object -1006" hidden="1">
          <a:extLst>
            <a:ext uri="{FF2B5EF4-FFF2-40B4-BE49-F238E27FC236}">
              <a16:creationId xmlns:a16="http://schemas.microsoft.com/office/drawing/2014/main" id="{00000000-0008-0000-0500-00001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74482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354" name="Object -1005" hidden="1">
          <a:extLst>
            <a:ext uri="{FF2B5EF4-FFF2-40B4-BE49-F238E27FC236}">
              <a16:creationId xmlns:a16="http://schemas.microsoft.com/office/drawing/2014/main" id="{00000000-0008-0000-0500-00001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74482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355" name="Object -1022" hidden="1">
          <a:extLst>
            <a:ext uri="{FF2B5EF4-FFF2-40B4-BE49-F238E27FC236}">
              <a16:creationId xmlns:a16="http://schemas.microsoft.com/office/drawing/2014/main" id="{00000000-0008-0000-0500-00001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356" name="Object -1021" hidden="1">
          <a:extLst>
            <a:ext uri="{FF2B5EF4-FFF2-40B4-BE49-F238E27FC236}">
              <a16:creationId xmlns:a16="http://schemas.microsoft.com/office/drawing/2014/main" id="{00000000-0008-0000-0500-00001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357" name="Object -1020" hidden="1">
          <a:extLst>
            <a:ext uri="{FF2B5EF4-FFF2-40B4-BE49-F238E27FC236}">
              <a16:creationId xmlns:a16="http://schemas.microsoft.com/office/drawing/2014/main" id="{00000000-0008-0000-0500-00001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358" name="Object -1019" hidden="1">
          <a:extLst>
            <a:ext uri="{FF2B5EF4-FFF2-40B4-BE49-F238E27FC236}">
              <a16:creationId xmlns:a16="http://schemas.microsoft.com/office/drawing/2014/main" id="{00000000-0008-0000-0500-00001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359" name="Object -1018" hidden="1">
          <a:extLst>
            <a:ext uri="{FF2B5EF4-FFF2-40B4-BE49-F238E27FC236}">
              <a16:creationId xmlns:a16="http://schemas.microsoft.com/office/drawing/2014/main" id="{00000000-0008-0000-0500-00001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360" name="Object -1017" hidden="1">
          <a:extLst>
            <a:ext uri="{FF2B5EF4-FFF2-40B4-BE49-F238E27FC236}">
              <a16:creationId xmlns:a16="http://schemas.microsoft.com/office/drawing/2014/main" id="{00000000-0008-0000-0500-00002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361" name="Object -1016" hidden="1">
          <a:extLst>
            <a:ext uri="{FF2B5EF4-FFF2-40B4-BE49-F238E27FC236}">
              <a16:creationId xmlns:a16="http://schemas.microsoft.com/office/drawing/2014/main" id="{00000000-0008-0000-0500-00002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362" name="Object -1013" hidden="1">
          <a:extLst>
            <a:ext uri="{FF2B5EF4-FFF2-40B4-BE49-F238E27FC236}">
              <a16:creationId xmlns:a16="http://schemas.microsoft.com/office/drawing/2014/main" id="{00000000-0008-0000-0500-00002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74482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363" name="Object -1012" hidden="1">
          <a:extLst>
            <a:ext uri="{FF2B5EF4-FFF2-40B4-BE49-F238E27FC236}">
              <a16:creationId xmlns:a16="http://schemas.microsoft.com/office/drawing/2014/main" id="{00000000-0008-0000-0500-00002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74482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364" name="Object -1011" hidden="1">
          <a:extLst>
            <a:ext uri="{FF2B5EF4-FFF2-40B4-BE49-F238E27FC236}">
              <a16:creationId xmlns:a16="http://schemas.microsoft.com/office/drawing/2014/main" id="{00000000-0008-0000-0500-00002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74482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365" name="Object -1010" hidden="1">
          <a:extLst>
            <a:ext uri="{FF2B5EF4-FFF2-40B4-BE49-F238E27FC236}">
              <a16:creationId xmlns:a16="http://schemas.microsoft.com/office/drawing/2014/main" id="{00000000-0008-0000-0500-00002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74482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366" name="Object -1009" hidden="1">
          <a:extLst>
            <a:ext uri="{FF2B5EF4-FFF2-40B4-BE49-F238E27FC236}">
              <a16:creationId xmlns:a16="http://schemas.microsoft.com/office/drawing/2014/main" id="{00000000-0008-0000-0500-00002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74482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367" name="Object -1008" hidden="1">
          <a:extLst>
            <a:ext uri="{FF2B5EF4-FFF2-40B4-BE49-F238E27FC236}">
              <a16:creationId xmlns:a16="http://schemas.microsoft.com/office/drawing/2014/main" id="{00000000-0008-0000-0500-00002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74482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368" name="Object -1007" hidden="1">
          <a:extLst>
            <a:ext uri="{FF2B5EF4-FFF2-40B4-BE49-F238E27FC236}">
              <a16:creationId xmlns:a16="http://schemas.microsoft.com/office/drawing/2014/main" id="{00000000-0008-0000-0500-00002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74482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369" name="Object -1006" hidden="1">
          <a:extLst>
            <a:ext uri="{FF2B5EF4-FFF2-40B4-BE49-F238E27FC236}">
              <a16:creationId xmlns:a16="http://schemas.microsoft.com/office/drawing/2014/main" id="{00000000-0008-0000-0500-00002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74482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370" name="Object -1005" hidden="1">
          <a:extLst>
            <a:ext uri="{FF2B5EF4-FFF2-40B4-BE49-F238E27FC236}">
              <a16:creationId xmlns:a16="http://schemas.microsoft.com/office/drawing/2014/main" id="{00000000-0008-0000-0500-00002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74482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371" name="Object -1022" hidden="1">
          <a:extLst>
            <a:ext uri="{FF2B5EF4-FFF2-40B4-BE49-F238E27FC236}">
              <a16:creationId xmlns:a16="http://schemas.microsoft.com/office/drawing/2014/main" id="{00000000-0008-0000-0500-00002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372" name="Object -1021" hidden="1">
          <a:extLst>
            <a:ext uri="{FF2B5EF4-FFF2-40B4-BE49-F238E27FC236}">
              <a16:creationId xmlns:a16="http://schemas.microsoft.com/office/drawing/2014/main" id="{00000000-0008-0000-0500-00002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373" name="Object -1020" hidden="1">
          <a:extLst>
            <a:ext uri="{FF2B5EF4-FFF2-40B4-BE49-F238E27FC236}">
              <a16:creationId xmlns:a16="http://schemas.microsoft.com/office/drawing/2014/main" id="{00000000-0008-0000-0500-00002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374" name="Object -1019" hidden="1">
          <a:extLst>
            <a:ext uri="{FF2B5EF4-FFF2-40B4-BE49-F238E27FC236}">
              <a16:creationId xmlns:a16="http://schemas.microsoft.com/office/drawing/2014/main" id="{00000000-0008-0000-0500-00002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375" name="Object -1018" hidden="1">
          <a:extLst>
            <a:ext uri="{FF2B5EF4-FFF2-40B4-BE49-F238E27FC236}">
              <a16:creationId xmlns:a16="http://schemas.microsoft.com/office/drawing/2014/main" id="{00000000-0008-0000-0500-00002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376" name="Object -1017" hidden="1">
          <a:extLst>
            <a:ext uri="{FF2B5EF4-FFF2-40B4-BE49-F238E27FC236}">
              <a16:creationId xmlns:a16="http://schemas.microsoft.com/office/drawing/2014/main" id="{00000000-0008-0000-0500-00003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377" name="Object -1016" hidden="1">
          <a:extLst>
            <a:ext uri="{FF2B5EF4-FFF2-40B4-BE49-F238E27FC236}">
              <a16:creationId xmlns:a16="http://schemas.microsoft.com/office/drawing/2014/main" id="{00000000-0008-0000-0500-00003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378" name="Object -1013" hidden="1">
          <a:extLst>
            <a:ext uri="{FF2B5EF4-FFF2-40B4-BE49-F238E27FC236}">
              <a16:creationId xmlns:a16="http://schemas.microsoft.com/office/drawing/2014/main" id="{00000000-0008-0000-0500-00003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74482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379" name="Object -1012" hidden="1">
          <a:extLst>
            <a:ext uri="{FF2B5EF4-FFF2-40B4-BE49-F238E27FC236}">
              <a16:creationId xmlns:a16="http://schemas.microsoft.com/office/drawing/2014/main" id="{00000000-0008-0000-0500-00003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74482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380" name="Object -1011" hidden="1">
          <a:extLst>
            <a:ext uri="{FF2B5EF4-FFF2-40B4-BE49-F238E27FC236}">
              <a16:creationId xmlns:a16="http://schemas.microsoft.com/office/drawing/2014/main" id="{00000000-0008-0000-0500-00003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74482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381" name="Object -1010" hidden="1">
          <a:extLst>
            <a:ext uri="{FF2B5EF4-FFF2-40B4-BE49-F238E27FC236}">
              <a16:creationId xmlns:a16="http://schemas.microsoft.com/office/drawing/2014/main" id="{00000000-0008-0000-0500-00003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74482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382" name="Object -1009" hidden="1">
          <a:extLst>
            <a:ext uri="{FF2B5EF4-FFF2-40B4-BE49-F238E27FC236}">
              <a16:creationId xmlns:a16="http://schemas.microsoft.com/office/drawing/2014/main" id="{00000000-0008-0000-0500-00003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74482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383" name="Object -1008" hidden="1">
          <a:extLst>
            <a:ext uri="{FF2B5EF4-FFF2-40B4-BE49-F238E27FC236}">
              <a16:creationId xmlns:a16="http://schemas.microsoft.com/office/drawing/2014/main" id="{00000000-0008-0000-0500-00003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74482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384" name="Object -1007" hidden="1">
          <a:extLst>
            <a:ext uri="{FF2B5EF4-FFF2-40B4-BE49-F238E27FC236}">
              <a16:creationId xmlns:a16="http://schemas.microsoft.com/office/drawing/2014/main" id="{00000000-0008-0000-0500-00003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74482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385" name="Object -1006" hidden="1">
          <a:extLst>
            <a:ext uri="{FF2B5EF4-FFF2-40B4-BE49-F238E27FC236}">
              <a16:creationId xmlns:a16="http://schemas.microsoft.com/office/drawing/2014/main" id="{00000000-0008-0000-0500-00003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74482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386" name="Object -1005" hidden="1">
          <a:extLst>
            <a:ext uri="{FF2B5EF4-FFF2-40B4-BE49-F238E27FC236}">
              <a16:creationId xmlns:a16="http://schemas.microsoft.com/office/drawing/2014/main" id="{00000000-0008-0000-0500-00003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74482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387" name="Object -1022" hidden="1">
          <a:extLst>
            <a:ext uri="{FF2B5EF4-FFF2-40B4-BE49-F238E27FC236}">
              <a16:creationId xmlns:a16="http://schemas.microsoft.com/office/drawing/2014/main" id="{00000000-0008-0000-0500-00003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388" name="Object -1021" hidden="1">
          <a:extLst>
            <a:ext uri="{FF2B5EF4-FFF2-40B4-BE49-F238E27FC236}">
              <a16:creationId xmlns:a16="http://schemas.microsoft.com/office/drawing/2014/main" id="{00000000-0008-0000-0500-00003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389" name="Object -1020" hidden="1">
          <a:extLst>
            <a:ext uri="{FF2B5EF4-FFF2-40B4-BE49-F238E27FC236}">
              <a16:creationId xmlns:a16="http://schemas.microsoft.com/office/drawing/2014/main" id="{00000000-0008-0000-0500-00003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390" name="Object -1019" hidden="1">
          <a:extLst>
            <a:ext uri="{FF2B5EF4-FFF2-40B4-BE49-F238E27FC236}">
              <a16:creationId xmlns:a16="http://schemas.microsoft.com/office/drawing/2014/main" id="{00000000-0008-0000-0500-00003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391" name="Object -1018" hidden="1">
          <a:extLst>
            <a:ext uri="{FF2B5EF4-FFF2-40B4-BE49-F238E27FC236}">
              <a16:creationId xmlns:a16="http://schemas.microsoft.com/office/drawing/2014/main" id="{00000000-0008-0000-0500-00003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392" name="Object -1017" hidden="1">
          <a:extLst>
            <a:ext uri="{FF2B5EF4-FFF2-40B4-BE49-F238E27FC236}">
              <a16:creationId xmlns:a16="http://schemas.microsoft.com/office/drawing/2014/main" id="{00000000-0008-0000-0500-00004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393" name="Object -1016" hidden="1">
          <a:extLst>
            <a:ext uri="{FF2B5EF4-FFF2-40B4-BE49-F238E27FC236}">
              <a16:creationId xmlns:a16="http://schemas.microsoft.com/office/drawing/2014/main" id="{00000000-0008-0000-0500-00004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394" name="Object -1013" hidden="1">
          <a:extLst>
            <a:ext uri="{FF2B5EF4-FFF2-40B4-BE49-F238E27FC236}">
              <a16:creationId xmlns:a16="http://schemas.microsoft.com/office/drawing/2014/main" id="{00000000-0008-0000-0500-00004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74482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395" name="Object -1012" hidden="1">
          <a:extLst>
            <a:ext uri="{FF2B5EF4-FFF2-40B4-BE49-F238E27FC236}">
              <a16:creationId xmlns:a16="http://schemas.microsoft.com/office/drawing/2014/main" id="{00000000-0008-0000-0500-00004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74482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396" name="Object -1011" hidden="1">
          <a:extLst>
            <a:ext uri="{FF2B5EF4-FFF2-40B4-BE49-F238E27FC236}">
              <a16:creationId xmlns:a16="http://schemas.microsoft.com/office/drawing/2014/main" id="{00000000-0008-0000-0500-00004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74482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397" name="Object -1010" hidden="1">
          <a:extLst>
            <a:ext uri="{FF2B5EF4-FFF2-40B4-BE49-F238E27FC236}">
              <a16:creationId xmlns:a16="http://schemas.microsoft.com/office/drawing/2014/main" id="{00000000-0008-0000-0500-00004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74482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398" name="Object -1009" hidden="1">
          <a:extLst>
            <a:ext uri="{FF2B5EF4-FFF2-40B4-BE49-F238E27FC236}">
              <a16:creationId xmlns:a16="http://schemas.microsoft.com/office/drawing/2014/main" id="{00000000-0008-0000-0500-00004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74482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399" name="Object -1008" hidden="1">
          <a:extLst>
            <a:ext uri="{FF2B5EF4-FFF2-40B4-BE49-F238E27FC236}">
              <a16:creationId xmlns:a16="http://schemas.microsoft.com/office/drawing/2014/main" id="{00000000-0008-0000-0500-00004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74482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400" name="Object -1007" hidden="1">
          <a:extLst>
            <a:ext uri="{FF2B5EF4-FFF2-40B4-BE49-F238E27FC236}">
              <a16:creationId xmlns:a16="http://schemas.microsoft.com/office/drawing/2014/main" id="{00000000-0008-0000-0500-00004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74482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401" name="Object -1006" hidden="1">
          <a:extLst>
            <a:ext uri="{FF2B5EF4-FFF2-40B4-BE49-F238E27FC236}">
              <a16:creationId xmlns:a16="http://schemas.microsoft.com/office/drawing/2014/main" id="{00000000-0008-0000-0500-00004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74482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402" name="Object -1005" hidden="1">
          <a:extLst>
            <a:ext uri="{FF2B5EF4-FFF2-40B4-BE49-F238E27FC236}">
              <a16:creationId xmlns:a16="http://schemas.microsoft.com/office/drawing/2014/main" id="{00000000-0008-0000-0500-00004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74482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403" name="Object -1022" hidden="1">
          <a:extLst>
            <a:ext uri="{FF2B5EF4-FFF2-40B4-BE49-F238E27FC236}">
              <a16:creationId xmlns:a16="http://schemas.microsoft.com/office/drawing/2014/main" id="{00000000-0008-0000-0500-00004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404" name="Object -1021" hidden="1">
          <a:extLst>
            <a:ext uri="{FF2B5EF4-FFF2-40B4-BE49-F238E27FC236}">
              <a16:creationId xmlns:a16="http://schemas.microsoft.com/office/drawing/2014/main" id="{00000000-0008-0000-0500-00004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405" name="Object -1020" hidden="1">
          <a:extLst>
            <a:ext uri="{FF2B5EF4-FFF2-40B4-BE49-F238E27FC236}">
              <a16:creationId xmlns:a16="http://schemas.microsoft.com/office/drawing/2014/main" id="{00000000-0008-0000-0500-00004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406" name="Object -1019" hidden="1">
          <a:extLst>
            <a:ext uri="{FF2B5EF4-FFF2-40B4-BE49-F238E27FC236}">
              <a16:creationId xmlns:a16="http://schemas.microsoft.com/office/drawing/2014/main" id="{00000000-0008-0000-0500-00004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407" name="Object -1018" hidden="1">
          <a:extLst>
            <a:ext uri="{FF2B5EF4-FFF2-40B4-BE49-F238E27FC236}">
              <a16:creationId xmlns:a16="http://schemas.microsoft.com/office/drawing/2014/main" id="{00000000-0008-0000-0500-00004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408" name="Object -1017" hidden="1">
          <a:extLst>
            <a:ext uri="{FF2B5EF4-FFF2-40B4-BE49-F238E27FC236}">
              <a16:creationId xmlns:a16="http://schemas.microsoft.com/office/drawing/2014/main" id="{00000000-0008-0000-0500-00005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409" name="Object -1016" hidden="1">
          <a:extLst>
            <a:ext uri="{FF2B5EF4-FFF2-40B4-BE49-F238E27FC236}">
              <a16:creationId xmlns:a16="http://schemas.microsoft.com/office/drawing/2014/main" id="{00000000-0008-0000-0500-00005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410" name="Object -1013" hidden="1">
          <a:extLst>
            <a:ext uri="{FF2B5EF4-FFF2-40B4-BE49-F238E27FC236}">
              <a16:creationId xmlns:a16="http://schemas.microsoft.com/office/drawing/2014/main" id="{00000000-0008-0000-0500-00005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74482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411" name="Object -1012" hidden="1">
          <a:extLst>
            <a:ext uri="{FF2B5EF4-FFF2-40B4-BE49-F238E27FC236}">
              <a16:creationId xmlns:a16="http://schemas.microsoft.com/office/drawing/2014/main" id="{00000000-0008-0000-0500-00005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74482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412" name="Object -1011" hidden="1">
          <a:extLst>
            <a:ext uri="{FF2B5EF4-FFF2-40B4-BE49-F238E27FC236}">
              <a16:creationId xmlns:a16="http://schemas.microsoft.com/office/drawing/2014/main" id="{00000000-0008-0000-0500-00005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74482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413" name="Object -1010" hidden="1">
          <a:extLst>
            <a:ext uri="{FF2B5EF4-FFF2-40B4-BE49-F238E27FC236}">
              <a16:creationId xmlns:a16="http://schemas.microsoft.com/office/drawing/2014/main" id="{00000000-0008-0000-0500-00005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74482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414" name="Object -1009" hidden="1">
          <a:extLst>
            <a:ext uri="{FF2B5EF4-FFF2-40B4-BE49-F238E27FC236}">
              <a16:creationId xmlns:a16="http://schemas.microsoft.com/office/drawing/2014/main" id="{00000000-0008-0000-0500-00005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74482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415" name="Object -1008" hidden="1">
          <a:extLst>
            <a:ext uri="{FF2B5EF4-FFF2-40B4-BE49-F238E27FC236}">
              <a16:creationId xmlns:a16="http://schemas.microsoft.com/office/drawing/2014/main" id="{00000000-0008-0000-0500-00005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74482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416" name="Object -1007" hidden="1">
          <a:extLst>
            <a:ext uri="{FF2B5EF4-FFF2-40B4-BE49-F238E27FC236}">
              <a16:creationId xmlns:a16="http://schemas.microsoft.com/office/drawing/2014/main" id="{00000000-0008-0000-0500-00005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74482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417" name="Object -1006" hidden="1">
          <a:extLst>
            <a:ext uri="{FF2B5EF4-FFF2-40B4-BE49-F238E27FC236}">
              <a16:creationId xmlns:a16="http://schemas.microsoft.com/office/drawing/2014/main" id="{00000000-0008-0000-0500-00005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74482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418" name="Object -1005" hidden="1">
          <a:extLst>
            <a:ext uri="{FF2B5EF4-FFF2-40B4-BE49-F238E27FC236}">
              <a16:creationId xmlns:a16="http://schemas.microsoft.com/office/drawing/2014/main" id="{00000000-0008-0000-0500-00005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74482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419" name="Object -1022" hidden="1">
          <a:extLst>
            <a:ext uri="{FF2B5EF4-FFF2-40B4-BE49-F238E27FC236}">
              <a16:creationId xmlns:a16="http://schemas.microsoft.com/office/drawing/2014/main" id="{00000000-0008-0000-0500-00005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420" name="Object -1021" hidden="1">
          <a:extLst>
            <a:ext uri="{FF2B5EF4-FFF2-40B4-BE49-F238E27FC236}">
              <a16:creationId xmlns:a16="http://schemas.microsoft.com/office/drawing/2014/main" id="{00000000-0008-0000-0500-00005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421" name="Object -1020" hidden="1">
          <a:extLst>
            <a:ext uri="{FF2B5EF4-FFF2-40B4-BE49-F238E27FC236}">
              <a16:creationId xmlns:a16="http://schemas.microsoft.com/office/drawing/2014/main" id="{00000000-0008-0000-0500-00005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422" name="Object -1019" hidden="1">
          <a:extLst>
            <a:ext uri="{FF2B5EF4-FFF2-40B4-BE49-F238E27FC236}">
              <a16:creationId xmlns:a16="http://schemas.microsoft.com/office/drawing/2014/main" id="{00000000-0008-0000-0500-00005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423" name="Object -1018" hidden="1">
          <a:extLst>
            <a:ext uri="{FF2B5EF4-FFF2-40B4-BE49-F238E27FC236}">
              <a16:creationId xmlns:a16="http://schemas.microsoft.com/office/drawing/2014/main" id="{00000000-0008-0000-0500-00005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424" name="Object -1017" hidden="1">
          <a:extLst>
            <a:ext uri="{FF2B5EF4-FFF2-40B4-BE49-F238E27FC236}">
              <a16:creationId xmlns:a16="http://schemas.microsoft.com/office/drawing/2014/main" id="{00000000-0008-0000-0500-00006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425" name="Object -1016" hidden="1">
          <a:extLst>
            <a:ext uri="{FF2B5EF4-FFF2-40B4-BE49-F238E27FC236}">
              <a16:creationId xmlns:a16="http://schemas.microsoft.com/office/drawing/2014/main" id="{00000000-0008-0000-0500-00006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426" name="Object -1013" hidden="1">
          <a:extLst>
            <a:ext uri="{FF2B5EF4-FFF2-40B4-BE49-F238E27FC236}">
              <a16:creationId xmlns:a16="http://schemas.microsoft.com/office/drawing/2014/main" id="{00000000-0008-0000-0500-00006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74482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427" name="Object -1012" hidden="1">
          <a:extLst>
            <a:ext uri="{FF2B5EF4-FFF2-40B4-BE49-F238E27FC236}">
              <a16:creationId xmlns:a16="http://schemas.microsoft.com/office/drawing/2014/main" id="{00000000-0008-0000-0500-00006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74482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428" name="Object -1011" hidden="1">
          <a:extLst>
            <a:ext uri="{FF2B5EF4-FFF2-40B4-BE49-F238E27FC236}">
              <a16:creationId xmlns:a16="http://schemas.microsoft.com/office/drawing/2014/main" id="{00000000-0008-0000-0500-00006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74482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429" name="Object -1010" hidden="1">
          <a:extLst>
            <a:ext uri="{FF2B5EF4-FFF2-40B4-BE49-F238E27FC236}">
              <a16:creationId xmlns:a16="http://schemas.microsoft.com/office/drawing/2014/main" id="{00000000-0008-0000-0500-00006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74482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430" name="Object -1009" hidden="1">
          <a:extLst>
            <a:ext uri="{FF2B5EF4-FFF2-40B4-BE49-F238E27FC236}">
              <a16:creationId xmlns:a16="http://schemas.microsoft.com/office/drawing/2014/main" id="{00000000-0008-0000-0500-00006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74482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431" name="Object -1008" hidden="1">
          <a:extLst>
            <a:ext uri="{FF2B5EF4-FFF2-40B4-BE49-F238E27FC236}">
              <a16:creationId xmlns:a16="http://schemas.microsoft.com/office/drawing/2014/main" id="{00000000-0008-0000-0500-00006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74482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432" name="Object -1007" hidden="1">
          <a:extLst>
            <a:ext uri="{FF2B5EF4-FFF2-40B4-BE49-F238E27FC236}">
              <a16:creationId xmlns:a16="http://schemas.microsoft.com/office/drawing/2014/main" id="{00000000-0008-0000-0500-00006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74482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433" name="Object -1006" hidden="1">
          <a:extLst>
            <a:ext uri="{FF2B5EF4-FFF2-40B4-BE49-F238E27FC236}">
              <a16:creationId xmlns:a16="http://schemas.microsoft.com/office/drawing/2014/main" id="{00000000-0008-0000-0500-00006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74482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434" name="Object -1005" hidden="1">
          <a:extLst>
            <a:ext uri="{FF2B5EF4-FFF2-40B4-BE49-F238E27FC236}">
              <a16:creationId xmlns:a16="http://schemas.microsoft.com/office/drawing/2014/main" id="{00000000-0008-0000-0500-00006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74482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435" name="Object -1022" hidden="1">
          <a:extLst>
            <a:ext uri="{FF2B5EF4-FFF2-40B4-BE49-F238E27FC236}">
              <a16:creationId xmlns:a16="http://schemas.microsoft.com/office/drawing/2014/main" id="{00000000-0008-0000-0500-00006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436" name="Object -1021" hidden="1">
          <a:extLst>
            <a:ext uri="{FF2B5EF4-FFF2-40B4-BE49-F238E27FC236}">
              <a16:creationId xmlns:a16="http://schemas.microsoft.com/office/drawing/2014/main" id="{00000000-0008-0000-0500-00006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437" name="Object -1020" hidden="1">
          <a:extLst>
            <a:ext uri="{FF2B5EF4-FFF2-40B4-BE49-F238E27FC236}">
              <a16:creationId xmlns:a16="http://schemas.microsoft.com/office/drawing/2014/main" id="{00000000-0008-0000-0500-00006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438" name="Object -1019" hidden="1">
          <a:extLst>
            <a:ext uri="{FF2B5EF4-FFF2-40B4-BE49-F238E27FC236}">
              <a16:creationId xmlns:a16="http://schemas.microsoft.com/office/drawing/2014/main" id="{00000000-0008-0000-0500-00006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439" name="Object -1018" hidden="1">
          <a:extLst>
            <a:ext uri="{FF2B5EF4-FFF2-40B4-BE49-F238E27FC236}">
              <a16:creationId xmlns:a16="http://schemas.microsoft.com/office/drawing/2014/main" id="{00000000-0008-0000-0500-00006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440" name="Object -1017" hidden="1">
          <a:extLst>
            <a:ext uri="{FF2B5EF4-FFF2-40B4-BE49-F238E27FC236}">
              <a16:creationId xmlns:a16="http://schemas.microsoft.com/office/drawing/2014/main" id="{00000000-0008-0000-0500-00007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441" name="Object -1016" hidden="1">
          <a:extLst>
            <a:ext uri="{FF2B5EF4-FFF2-40B4-BE49-F238E27FC236}">
              <a16:creationId xmlns:a16="http://schemas.microsoft.com/office/drawing/2014/main" id="{00000000-0008-0000-0500-00007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442" name="Object -1013" hidden="1">
          <a:extLst>
            <a:ext uri="{FF2B5EF4-FFF2-40B4-BE49-F238E27FC236}">
              <a16:creationId xmlns:a16="http://schemas.microsoft.com/office/drawing/2014/main" id="{00000000-0008-0000-0500-00007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74482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443" name="Object -1012" hidden="1">
          <a:extLst>
            <a:ext uri="{FF2B5EF4-FFF2-40B4-BE49-F238E27FC236}">
              <a16:creationId xmlns:a16="http://schemas.microsoft.com/office/drawing/2014/main" id="{00000000-0008-0000-0500-00007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74482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444" name="Object -1011" hidden="1">
          <a:extLst>
            <a:ext uri="{FF2B5EF4-FFF2-40B4-BE49-F238E27FC236}">
              <a16:creationId xmlns:a16="http://schemas.microsoft.com/office/drawing/2014/main" id="{00000000-0008-0000-0500-00007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74482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445" name="Object -1010" hidden="1">
          <a:extLst>
            <a:ext uri="{FF2B5EF4-FFF2-40B4-BE49-F238E27FC236}">
              <a16:creationId xmlns:a16="http://schemas.microsoft.com/office/drawing/2014/main" id="{00000000-0008-0000-0500-00007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74482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446" name="Object -1009" hidden="1">
          <a:extLst>
            <a:ext uri="{FF2B5EF4-FFF2-40B4-BE49-F238E27FC236}">
              <a16:creationId xmlns:a16="http://schemas.microsoft.com/office/drawing/2014/main" id="{00000000-0008-0000-0500-00007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74482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447" name="Object -1008" hidden="1">
          <a:extLst>
            <a:ext uri="{FF2B5EF4-FFF2-40B4-BE49-F238E27FC236}">
              <a16:creationId xmlns:a16="http://schemas.microsoft.com/office/drawing/2014/main" id="{00000000-0008-0000-0500-00007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74482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448" name="Object -1007" hidden="1">
          <a:extLst>
            <a:ext uri="{FF2B5EF4-FFF2-40B4-BE49-F238E27FC236}">
              <a16:creationId xmlns:a16="http://schemas.microsoft.com/office/drawing/2014/main" id="{00000000-0008-0000-0500-00007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74482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449" name="Object -1006" hidden="1">
          <a:extLst>
            <a:ext uri="{FF2B5EF4-FFF2-40B4-BE49-F238E27FC236}">
              <a16:creationId xmlns:a16="http://schemas.microsoft.com/office/drawing/2014/main" id="{00000000-0008-0000-0500-00007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74482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450" name="Object -1005" hidden="1">
          <a:extLst>
            <a:ext uri="{FF2B5EF4-FFF2-40B4-BE49-F238E27FC236}">
              <a16:creationId xmlns:a16="http://schemas.microsoft.com/office/drawing/2014/main" id="{00000000-0008-0000-0500-00007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74482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451" name="Object -1022" hidden="1">
          <a:extLst>
            <a:ext uri="{FF2B5EF4-FFF2-40B4-BE49-F238E27FC236}">
              <a16:creationId xmlns:a16="http://schemas.microsoft.com/office/drawing/2014/main" id="{00000000-0008-0000-0500-00007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452" name="Object -1021" hidden="1">
          <a:extLst>
            <a:ext uri="{FF2B5EF4-FFF2-40B4-BE49-F238E27FC236}">
              <a16:creationId xmlns:a16="http://schemas.microsoft.com/office/drawing/2014/main" id="{00000000-0008-0000-0500-00007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453" name="Object -1020" hidden="1">
          <a:extLst>
            <a:ext uri="{FF2B5EF4-FFF2-40B4-BE49-F238E27FC236}">
              <a16:creationId xmlns:a16="http://schemas.microsoft.com/office/drawing/2014/main" id="{00000000-0008-0000-0500-00007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454" name="Object -1019" hidden="1">
          <a:extLst>
            <a:ext uri="{FF2B5EF4-FFF2-40B4-BE49-F238E27FC236}">
              <a16:creationId xmlns:a16="http://schemas.microsoft.com/office/drawing/2014/main" id="{00000000-0008-0000-0500-00007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455" name="Object -1018" hidden="1">
          <a:extLst>
            <a:ext uri="{FF2B5EF4-FFF2-40B4-BE49-F238E27FC236}">
              <a16:creationId xmlns:a16="http://schemas.microsoft.com/office/drawing/2014/main" id="{00000000-0008-0000-0500-00007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456" name="Object -1017" hidden="1">
          <a:extLst>
            <a:ext uri="{FF2B5EF4-FFF2-40B4-BE49-F238E27FC236}">
              <a16:creationId xmlns:a16="http://schemas.microsoft.com/office/drawing/2014/main" id="{00000000-0008-0000-0500-00008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457" name="Object -1016" hidden="1">
          <a:extLst>
            <a:ext uri="{FF2B5EF4-FFF2-40B4-BE49-F238E27FC236}">
              <a16:creationId xmlns:a16="http://schemas.microsoft.com/office/drawing/2014/main" id="{00000000-0008-0000-0500-00008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458" name="Object -1013" hidden="1">
          <a:extLst>
            <a:ext uri="{FF2B5EF4-FFF2-40B4-BE49-F238E27FC236}">
              <a16:creationId xmlns:a16="http://schemas.microsoft.com/office/drawing/2014/main" id="{00000000-0008-0000-0500-00008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74482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459" name="Object -1012" hidden="1">
          <a:extLst>
            <a:ext uri="{FF2B5EF4-FFF2-40B4-BE49-F238E27FC236}">
              <a16:creationId xmlns:a16="http://schemas.microsoft.com/office/drawing/2014/main" id="{00000000-0008-0000-0500-00008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74482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460" name="Object -1011" hidden="1">
          <a:extLst>
            <a:ext uri="{FF2B5EF4-FFF2-40B4-BE49-F238E27FC236}">
              <a16:creationId xmlns:a16="http://schemas.microsoft.com/office/drawing/2014/main" id="{00000000-0008-0000-0500-00008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74482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461" name="Object -1010" hidden="1">
          <a:extLst>
            <a:ext uri="{FF2B5EF4-FFF2-40B4-BE49-F238E27FC236}">
              <a16:creationId xmlns:a16="http://schemas.microsoft.com/office/drawing/2014/main" id="{00000000-0008-0000-0500-00008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74482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462" name="Object -1009" hidden="1">
          <a:extLst>
            <a:ext uri="{FF2B5EF4-FFF2-40B4-BE49-F238E27FC236}">
              <a16:creationId xmlns:a16="http://schemas.microsoft.com/office/drawing/2014/main" id="{00000000-0008-0000-0500-00008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74482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463" name="Object -1008" hidden="1">
          <a:extLst>
            <a:ext uri="{FF2B5EF4-FFF2-40B4-BE49-F238E27FC236}">
              <a16:creationId xmlns:a16="http://schemas.microsoft.com/office/drawing/2014/main" id="{00000000-0008-0000-0500-00008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74482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464" name="Object -1007" hidden="1">
          <a:extLst>
            <a:ext uri="{FF2B5EF4-FFF2-40B4-BE49-F238E27FC236}">
              <a16:creationId xmlns:a16="http://schemas.microsoft.com/office/drawing/2014/main" id="{00000000-0008-0000-0500-00008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74482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465" name="Object -1006" hidden="1">
          <a:extLst>
            <a:ext uri="{FF2B5EF4-FFF2-40B4-BE49-F238E27FC236}">
              <a16:creationId xmlns:a16="http://schemas.microsoft.com/office/drawing/2014/main" id="{00000000-0008-0000-0500-00008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74482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466" name="Object -1005" hidden="1">
          <a:extLst>
            <a:ext uri="{FF2B5EF4-FFF2-40B4-BE49-F238E27FC236}">
              <a16:creationId xmlns:a16="http://schemas.microsoft.com/office/drawing/2014/main" id="{00000000-0008-0000-0500-00008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74482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2" name="Object -1022" hidden="1">
          <a:extLst>
            <a:ext uri="{FF2B5EF4-FFF2-40B4-BE49-F238E27FC236}">
              <a16:creationId xmlns:a16="http://schemas.microsoft.com/office/drawing/2014/main" id="{00000000-0008-0000-05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3" name="Object -1021" hidden="1">
          <a:extLst>
            <a:ext uri="{FF2B5EF4-FFF2-40B4-BE49-F238E27FC236}">
              <a16:creationId xmlns:a16="http://schemas.microsoft.com/office/drawing/2014/main" id="{00000000-0008-0000-05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4" name="Object -1020" hidden="1">
          <a:extLst>
            <a:ext uri="{FF2B5EF4-FFF2-40B4-BE49-F238E27FC236}">
              <a16:creationId xmlns:a16="http://schemas.microsoft.com/office/drawing/2014/main" id="{00000000-0008-0000-05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5" name="Object -1019" hidden="1">
          <a:extLst>
            <a:ext uri="{FF2B5EF4-FFF2-40B4-BE49-F238E27FC236}">
              <a16:creationId xmlns:a16="http://schemas.microsoft.com/office/drawing/2014/main" id="{00000000-0008-0000-05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6" name="Object -1018" hidden="1">
          <a:extLst>
            <a:ext uri="{FF2B5EF4-FFF2-40B4-BE49-F238E27FC236}">
              <a16:creationId xmlns:a16="http://schemas.microsoft.com/office/drawing/2014/main" id="{00000000-0008-0000-05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7" name="Object -1017" hidden="1">
          <a:extLst>
            <a:ext uri="{FF2B5EF4-FFF2-40B4-BE49-F238E27FC236}">
              <a16:creationId xmlns:a16="http://schemas.microsoft.com/office/drawing/2014/main" id="{00000000-0008-0000-05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8" name="Object -1016" hidden="1">
          <a:extLst>
            <a:ext uri="{FF2B5EF4-FFF2-40B4-BE49-F238E27FC236}">
              <a16:creationId xmlns:a16="http://schemas.microsoft.com/office/drawing/2014/main" id="{00000000-0008-0000-05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9" name="Object -1013" hidden="1">
          <a:extLst>
            <a:ext uri="{FF2B5EF4-FFF2-40B4-BE49-F238E27FC236}">
              <a16:creationId xmlns:a16="http://schemas.microsoft.com/office/drawing/2014/main" id="{00000000-0008-0000-05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74482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0" name="Object -1012" hidden="1">
          <a:extLst>
            <a:ext uri="{FF2B5EF4-FFF2-40B4-BE49-F238E27FC236}">
              <a16:creationId xmlns:a16="http://schemas.microsoft.com/office/drawing/2014/main" id="{00000000-0008-0000-05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74482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1" name="Object -1011" hidden="1">
          <a:extLst>
            <a:ext uri="{FF2B5EF4-FFF2-40B4-BE49-F238E27FC236}">
              <a16:creationId xmlns:a16="http://schemas.microsoft.com/office/drawing/2014/main" id="{00000000-0008-0000-05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74482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2" name="Object -1010" hidden="1">
          <a:extLst>
            <a:ext uri="{FF2B5EF4-FFF2-40B4-BE49-F238E27FC236}">
              <a16:creationId xmlns:a16="http://schemas.microsoft.com/office/drawing/2014/main" id="{00000000-0008-0000-05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74482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3" name="Object -1009" hidden="1">
          <a:extLst>
            <a:ext uri="{FF2B5EF4-FFF2-40B4-BE49-F238E27FC236}">
              <a16:creationId xmlns:a16="http://schemas.microsoft.com/office/drawing/2014/main" id="{00000000-0008-0000-05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74482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4" name="Object -1008" hidden="1">
          <a:extLst>
            <a:ext uri="{FF2B5EF4-FFF2-40B4-BE49-F238E27FC236}">
              <a16:creationId xmlns:a16="http://schemas.microsoft.com/office/drawing/2014/main" id="{00000000-0008-0000-05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74482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5" name="Object -1007" hidden="1">
          <a:extLst>
            <a:ext uri="{FF2B5EF4-FFF2-40B4-BE49-F238E27FC236}">
              <a16:creationId xmlns:a16="http://schemas.microsoft.com/office/drawing/2014/main" id="{00000000-0008-0000-05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74482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6" name="Object -1006" hidden="1">
          <a:extLst>
            <a:ext uri="{FF2B5EF4-FFF2-40B4-BE49-F238E27FC236}">
              <a16:creationId xmlns:a16="http://schemas.microsoft.com/office/drawing/2014/main" id="{00000000-0008-0000-05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74482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7" name="Object -1005" hidden="1">
          <a:extLst>
            <a:ext uri="{FF2B5EF4-FFF2-40B4-BE49-F238E27FC236}">
              <a16:creationId xmlns:a16="http://schemas.microsoft.com/office/drawing/2014/main" id="{00000000-0008-0000-05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74482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48" name="Object -1022" hidden="1">
          <a:extLst>
            <a:ext uri="{FF2B5EF4-FFF2-40B4-BE49-F238E27FC236}">
              <a16:creationId xmlns:a16="http://schemas.microsoft.com/office/drawing/2014/main" id="{00000000-0008-0000-05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49" name="Object -1021" hidden="1">
          <a:extLst>
            <a:ext uri="{FF2B5EF4-FFF2-40B4-BE49-F238E27FC236}">
              <a16:creationId xmlns:a16="http://schemas.microsoft.com/office/drawing/2014/main" id="{00000000-0008-0000-05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50" name="Object -1020" hidden="1">
          <a:extLst>
            <a:ext uri="{FF2B5EF4-FFF2-40B4-BE49-F238E27FC236}">
              <a16:creationId xmlns:a16="http://schemas.microsoft.com/office/drawing/2014/main" id="{00000000-0008-0000-05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51" name="Object -1019" hidden="1">
          <a:extLst>
            <a:ext uri="{FF2B5EF4-FFF2-40B4-BE49-F238E27FC236}">
              <a16:creationId xmlns:a16="http://schemas.microsoft.com/office/drawing/2014/main" id="{00000000-0008-0000-05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52" name="Object -1018" hidden="1">
          <a:extLst>
            <a:ext uri="{FF2B5EF4-FFF2-40B4-BE49-F238E27FC236}">
              <a16:creationId xmlns:a16="http://schemas.microsoft.com/office/drawing/2014/main" id="{00000000-0008-0000-05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53" name="Object -1017" hidden="1">
          <a:extLst>
            <a:ext uri="{FF2B5EF4-FFF2-40B4-BE49-F238E27FC236}">
              <a16:creationId xmlns:a16="http://schemas.microsoft.com/office/drawing/2014/main" id="{00000000-0008-0000-05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54" name="Object -1016" hidden="1">
          <a:extLst>
            <a:ext uri="{FF2B5EF4-FFF2-40B4-BE49-F238E27FC236}">
              <a16:creationId xmlns:a16="http://schemas.microsoft.com/office/drawing/2014/main" id="{00000000-0008-0000-05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55" name="Object -1013" hidden="1">
          <a:extLst>
            <a:ext uri="{FF2B5EF4-FFF2-40B4-BE49-F238E27FC236}">
              <a16:creationId xmlns:a16="http://schemas.microsoft.com/office/drawing/2014/main" id="{00000000-0008-0000-05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74482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56" name="Object -1012" hidden="1">
          <a:extLst>
            <a:ext uri="{FF2B5EF4-FFF2-40B4-BE49-F238E27FC236}">
              <a16:creationId xmlns:a16="http://schemas.microsoft.com/office/drawing/2014/main" id="{00000000-0008-0000-05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74482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57" name="Object -1011" hidden="1">
          <a:extLst>
            <a:ext uri="{FF2B5EF4-FFF2-40B4-BE49-F238E27FC236}">
              <a16:creationId xmlns:a16="http://schemas.microsoft.com/office/drawing/2014/main" id="{00000000-0008-0000-05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74482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58" name="Object -1010" hidden="1">
          <a:extLst>
            <a:ext uri="{FF2B5EF4-FFF2-40B4-BE49-F238E27FC236}">
              <a16:creationId xmlns:a16="http://schemas.microsoft.com/office/drawing/2014/main" id="{00000000-0008-0000-05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74482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59" name="Object -1009" hidden="1">
          <a:extLst>
            <a:ext uri="{FF2B5EF4-FFF2-40B4-BE49-F238E27FC236}">
              <a16:creationId xmlns:a16="http://schemas.microsoft.com/office/drawing/2014/main" id="{00000000-0008-0000-05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74482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60" name="Object -1008" hidden="1">
          <a:extLst>
            <a:ext uri="{FF2B5EF4-FFF2-40B4-BE49-F238E27FC236}">
              <a16:creationId xmlns:a16="http://schemas.microsoft.com/office/drawing/2014/main" id="{00000000-0008-0000-05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74482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61" name="Object -1007" hidden="1">
          <a:extLst>
            <a:ext uri="{FF2B5EF4-FFF2-40B4-BE49-F238E27FC236}">
              <a16:creationId xmlns:a16="http://schemas.microsoft.com/office/drawing/2014/main" id="{00000000-0008-0000-05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74482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62" name="Object -1006" hidden="1">
          <a:extLst>
            <a:ext uri="{FF2B5EF4-FFF2-40B4-BE49-F238E27FC236}">
              <a16:creationId xmlns:a16="http://schemas.microsoft.com/office/drawing/2014/main" id="{00000000-0008-0000-05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74482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63" name="Object -1005" hidden="1">
          <a:extLst>
            <a:ext uri="{FF2B5EF4-FFF2-40B4-BE49-F238E27FC236}">
              <a16:creationId xmlns:a16="http://schemas.microsoft.com/office/drawing/2014/main" id="{00000000-0008-0000-05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74482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467" name="Object -1022" hidden="1">
          <a:extLst>
            <a:ext uri="{FF2B5EF4-FFF2-40B4-BE49-F238E27FC236}">
              <a16:creationId xmlns:a16="http://schemas.microsoft.com/office/drawing/2014/main" id="{00000000-0008-0000-0500-00008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468" name="Object -1021" hidden="1">
          <a:extLst>
            <a:ext uri="{FF2B5EF4-FFF2-40B4-BE49-F238E27FC236}">
              <a16:creationId xmlns:a16="http://schemas.microsoft.com/office/drawing/2014/main" id="{00000000-0008-0000-0500-00008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469" name="Object -1020" hidden="1">
          <a:extLst>
            <a:ext uri="{FF2B5EF4-FFF2-40B4-BE49-F238E27FC236}">
              <a16:creationId xmlns:a16="http://schemas.microsoft.com/office/drawing/2014/main" id="{00000000-0008-0000-0500-00008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470" name="Object -1019" hidden="1">
          <a:extLst>
            <a:ext uri="{FF2B5EF4-FFF2-40B4-BE49-F238E27FC236}">
              <a16:creationId xmlns:a16="http://schemas.microsoft.com/office/drawing/2014/main" id="{00000000-0008-0000-0500-00008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471" name="Object -1018" hidden="1">
          <a:extLst>
            <a:ext uri="{FF2B5EF4-FFF2-40B4-BE49-F238E27FC236}">
              <a16:creationId xmlns:a16="http://schemas.microsoft.com/office/drawing/2014/main" id="{00000000-0008-0000-0500-00008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472" name="Object -1017" hidden="1">
          <a:extLst>
            <a:ext uri="{FF2B5EF4-FFF2-40B4-BE49-F238E27FC236}">
              <a16:creationId xmlns:a16="http://schemas.microsoft.com/office/drawing/2014/main" id="{00000000-0008-0000-0500-00009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473" name="Object -1016" hidden="1">
          <a:extLst>
            <a:ext uri="{FF2B5EF4-FFF2-40B4-BE49-F238E27FC236}">
              <a16:creationId xmlns:a16="http://schemas.microsoft.com/office/drawing/2014/main" id="{00000000-0008-0000-0500-00009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474" name="Object -1013" hidden="1">
          <a:extLst>
            <a:ext uri="{FF2B5EF4-FFF2-40B4-BE49-F238E27FC236}">
              <a16:creationId xmlns:a16="http://schemas.microsoft.com/office/drawing/2014/main" id="{00000000-0008-0000-0500-00009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74482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475" name="Object -1012" hidden="1">
          <a:extLst>
            <a:ext uri="{FF2B5EF4-FFF2-40B4-BE49-F238E27FC236}">
              <a16:creationId xmlns:a16="http://schemas.microsoft.com/office/drawing/2014/main" id="{00000000-0008-0000-0500-00009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74482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476" name="Object -1011" hidden="1">
          <a:extLst>
            <a:ext uri="{FF2B5EF4-FFF2-40B4-BE49-F238E27FC236}">
              <a16:creationId xmlns:a16="http://schemas.microsoft.com/office/drawing/2014/main" id="{00000000-0008-0000-0500-00009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74482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477" name="Object -1010" hidden="1">
          <a:extLst>
            <a:ext uri="{FF2B5EF4-FFF2-40B4-BE49-F238E27FC236}">
              <a16:creationId xmlns:a16="http://schemas.microsoft.com/office/drawing/2014/main" id="{00000000-0008-0000-0500-00009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74482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478" name="Object -1009" hidden="1">
          <a:extLst>
            <a:ext uri="{FF2B5EF4-FFF2-40B4-BE49-F238E27FC236}">
              <a16:creationId xmlns:a16="http://schemas.microsoft.com/office/drawing/2014/main" id="{00000000-0008-0000-0500-00009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74482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479" name="Object -1008" hidden="1">
          <a:extLst>
            <a:ext uri="{FF2B5EF4-FFF2-40B4-BE49-F238E27FC236}">
              <a16:creationId xmlns:a16="http://schemas.microsoft.com/office/drawing/2014/main" id="{00000000-0008-0000-0500-00009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74482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480" name="Object -1007" hidden="1">
          <a:extLst>
            <a:ext uri="{FF2B5EF4-FFF2-40B4-BE49-F238E27FC236}">
              <a16:creationId xmlns:a16="http://schemas.microsoft.com/office/drawing/2014/main" id="{00000000-0008-0000-0500-00009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74482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481" name="Object -1006" hidden="1">
          <a:extLst>
            <a:ext uri="{FF2B5EF4-FFF2-40B4-BE49-F238E27FC236}">
              <a16:creationId xmlns:a16="http://schemas.microsoft.com/office/drawing/2014/main" id="{00000000-0008-0000-0500-00009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74482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482" name="Object -1005" hidden="1">
          <a:extLst>
            <a:ext uri="{FF2B5EF4-FFF2-40B4-BE49-F238E27FC236}">
              <a16:creationId xmlns:a16="http://schemas.microsoft.com/office/drawing/2014/main" id="{00000000-0008-0000-0500-00009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74482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483" name="Object -1022" hidden="1">
          <a:extLst>
            <a:ext uri="{FF2B5EF4-FFF2-40B4-BE49-F238E27FC236}">
              <a16:creationId xmlns:a16="http://schemas.microsoft.com/office/drawing/2014/main" id="{00000000-0008-0000-0500-00009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484" name="Object -1021" hidden="1">
          <a:extLst>
            <a:ext uri="{FF2B5EF4-FFF2-40B4-BE49-F238E27FC236}">
              <a16:creationId xmlns:a16="http://schemas.microsoft.com/office/drawing/2014/main" id="{00000000-0008-0000-0500-00009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485" name="Object -1020" hidden="1">
          <a:extLst>
            <a:ext uri="{FF2B5EF4-FFF2-40B4-BE49-F238E27FC236}">
              <a16:creationId xmlns:a16="http://schemas.microsoft.com/office/drawing/2014/main" id="{00000000-0008-0000-0500-00009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486" name="Object -1019" hidden="1">
          <a:extLst>
            <a:ext uri="{FF2B5EF4-FFF2-40B4-BE49-F238E27FC236}">
              <a16:creationId xmlns:a16="http://schemas.microsoft.com/office/drawing/2014/main" id="{00000000-0008-0000-0500-00009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487" name="Object -1018" hidden="1">
          <a:extLst>
            <a:ext uri="{FF2B5EF4-FFF2-40B4-BE49-F238E27FC236}">
              <a16:creationId xmlns:a16="http://schemas.microsoft.com/office/drawing/2014/main" id="{00000000-0008-0000-0500-00009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488" name="Object -1017" hidden="1">
          <a:extLst>
            <a:ext uri="{FF2B5EF4-FFF2-40B4-BE49-F238E27FC236}">
              <a16:creationId xmlns:a16="http://schemas.microsoft.com/office/drawing/2014/main" id="{00000000-0008-0000-0500-0000A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489" name="Object -1016" hidden="1">
          <a:extLst>
            <a:ext uri="{FF2B5EF4-FFF2-40B4-BE49-F238E27FC236}">
              <a16:creationId xmlns:a16="http://schemas.microsoft.com/office/drawing/2014/main" id="{00000000-0008-0000-0500-0000A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490" name="Object -1013" hidden="1">
          <a:extLst>
            <a:ext uri="{FF2B5EF4-FFF2-40B4-BE49-F238E27FC236}">
              <a16:creationId xmlns:a16="http://schemas.microsoft.com/office/drawing/2014/main" id="{00000000-0008-0000-0500-0000A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74482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491" name="Object -1012" hidden="1">
          <a:extLst>
            <a:ext uri="{FF2B5EF4-FFF2-40B4-BE49-F238E27FC236}">
              <a16:creationId xmlns:a16="http://schemas.microsoft.com/office/drawing/2014/main" id="{00000000-0008-0000-0500-0000A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74482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492" name="Object -1011" hidden="1">
          <a:extLst>
            <a:ext uri="{FF2B5EF4-FFF2-40B4-BE49-F238E27FC236}">
              <a16:creationId xmlns:a16="http://schemas.microsoft.com/office/drawing/2014/main" id="{00000000-0008-0000-0500-0000A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74482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493" name="Object -1010" hidden="1">
          <a:extLst>
            <a:ext uri="{FF2B5EF4-FFF2-40B4-BE49-F238E27FC236}">
              <a16:creationId xmlns:a16="http://schemas.microsoft.com/office/drawing/2014/main" id="{00000000-0008-0000-0500-0000A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74482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494" name="Object -1009" hidden="1">
          <a:extLst>
            <a:ext uri="{FF2B5EF4-FFF2-40B4-BE49-F238E27FC236}">
              <a16:creationId xmlns:a16="http://schemas.microsoft.com/office/drawing/2014/main" id="{00000000-0008-0000-0500-0000A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74482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495" name="Object -1008" hidden="1">
          <a:extLst>
            <a:ext uri="{FF2B5EF4-FFF2-40B4-BE49-F238E27FC236}">
              <a16:creationId xmlns:a16="http://schemas.microsoft.com/office/drawing/2014/main" id="{00000000-0008-0000-0500-0000A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74482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496" name="Object -1007" hidden="1">
          <a:extLst>
            <a:ext uri="{FF2B5EF4-FFF2-40B4-BE49-F238E27FC236}">
              <a16:creationId xmlns:a16="http://schemas.microsoft.com/office/drawing/2014/main" id="{00000000-0008-0000-0500-0000A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74482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497" name="Object -1006" hidden="1">
          <a:extLst>
            <a:ext uri="{FF2B5EF4-FFF2-40B4-BE49-F238E27FC236}">
              <a16:creationId xmlns:a16="http://schemas.microsoft.com/office/drawing/2014/main" id="{00000000-0008-0000-0500-0000A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74482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498" name="Object -1005" hidden="1">
          <a:extLst>
            <a:ext uri="{FF2B5EF4-FFF2-40B4-BE49-F238E27FC236}">
              <a16:creationId xmlns:a16="http://schemas.microsoft.com/office/drawing/2014/main" id="{00000000-0008-0000-0500-0000A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74482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499" name="Object -1022" hidden="1">
          <a:extLst>
            <a:ext uri="{FF2B5EF4-FFF2-40B4-BE49-F238E27FC236}">
              <a16:creationId xmlns:a16="http://schemas.microsoft.com/office/drawing/2014/main" id="{00000000-0008-0000-0500-0000A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500" name="Object -1021" hidden="1">
          <a:extLst>
            <a:ext uri="{FF2B5EF4-FFF2-40B4-BE49-F238E27FC236}">
              <a16:creationId xmlns:a16="http://schemas.microsoft.com/office/drawing/2014/main" id="{00000000-0008-0000-0500-0000A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501" name="Object -1020" hidden="1">
          <a:extLst>
            <a:ext uri="{FF2B5EF4-FFF2-40B4-BE49-F238E27FC236}">
              <a16:creationId xmlns:a16="http://schemas.microsoft.com/office/drawing/2014/main" id="{00000000-0008-0000-0500-0000A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502" name="Object -1019" hidden="1">
          <a:extLst>
            <a:ext uri="{FF2B5EF4-FFF2-40B4-BE49-F238E27FC236}">
              <a16:creationId xmlns:a16="http://schemas.microsoft.com/office/drawing/2014/main" id="{00000000-0008-0000-0500-0000A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503" name="Object -1018" hidden="1">
          <a:extLst>
            <a:ext uri="{FF2B5EF4-FFF2-40B4-BE49-F238E27FC236}">
              <a16:creationId xmlns:a16="http://schemas.microsoft.com/office/drawing/2014/main" id="{00000000-0008-0000-0500-0000A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504" name="Object -1017" hidden="1">
          <a:extLst>
            <a:ext uri="{FF2B5EF4-FFF2-40B4-BE49-F238E27FC236}">
              <a16:creationId xmlns:a16="http://schemas.microsoft.com/office/drawing/2014/main" id="{00000000-0008-0000-0500-0000B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505" name="Object -1016" hidden="1">
          <a:extLst>
            <a:ext uri="{FF2B5EF4-FFF2-40B4-BE49-F238E27FC236}">
              <a16:creationId xmlns:a16="http://schemas.microsoft.com/office/drawing/2014/main" id="{00000000-0008-0000-0500-0000B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506" name="Object -1013" hidden="1">
          <a:extLst>
            <a:ext uri="{FF2B5EF4-FFF2-40B4-BE49-F238E27FC236}">
              <a16:creationId xmlns:a16="http://schemas.microsoft.com/office/drawing/2014/main" id="{00000000-0008-0000-0500-0000B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74482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507" name="Object -1012" hidden="1">
          <a:extLst>
            <a:ext uri="{FF2B5EF4-FFF2-40B4-BE49-F238E27FC236}">
              <a16:creationId xmlns:a16="http://schemas.microsoft.com/office/drawing/2014/main" id="{00000000-0008-0000-0500-0000B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74482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508" name="Object -1011" hidden="1">
          <a:extLst>
            <a:ext uri="{FF2B5EF4-FFF2-40B4-BE49-F238E27FC236}">
              <a16:creationId xmlns:a16="http://schemas.microsoft.com/office/drawing/2014/main" id="{00000000-0008-0000-0500-0000B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74482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509" name="Object -1010" hidden="1">
          <a:extLst>
            <a:ext uri="{FF2B5EF4-FFF2-40B4-BE49-F238E27FC236}">
              <a16:creationId xmlns:a16="http://schemas.microsoft.com/office/drawing/2014/main" id="{00000000-0008-0000-0500-0000B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74482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510" name="Object -1009" hidden="1">
          <a:extLst>
            <a:ext uri="{FF2B5EF4-FFF2-40B4-BE49-F238E27FC236}">
              <a16:creationId xmlns:a16="http://schemas.microsoft.com/office/drawing/2014/main" id="{00000000-0008-0000-0500-0000B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74482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511" name="Object -1008" hidden="1">
          <a:extLst>
            <a:ext uri="{FF2B5EF4-FFF2-40B4-BE49-F238E27FC236}">
              <a16:creationId xmlns:a16="http://schemas.microsoft.com/office/drawing/2014/main" id="{00000000-0008-0000-0500-0000B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74482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512" name="Object -1007" hidden="1">
          <a:extLst>
            <a:ext uri="{FF2B5EF4-FFF2-40B4-BE49-F238E27FC236}">
              <a16:creationId xmlns:a16="http://schemas.microsoft.com/office/drawing/2014/main" id="{00000000-0008-0000-0500-0000B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74482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513" name="Object -1006" hidden="1">
          <a:extLst>
            <a:ext uri="{FF2B5EF4-FFF2-40B4-BE49-F238E27FC236}">
              <a16:creationId xmlns:a16="http://schemas.microsoft.com/office/drawing/2014/main" id="{00000000-0008-0000-0500-0000B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74482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514" name="Object -1005" hidden="1">
          <a:extLst>
            <a:ext uri="{FF2B5EF4-FFF2-40B4-BE49-F238E27FC236}">
              <a16:creationId xmlns:a16="http://schemas.microsoft.com/office/drawing/2014/main" id="{00000000-0008-0000-0500-0000B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74482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515" name="Object -1022" hidden="1">
          <a:extLst>
            <a:ext uri="{FF2B5EF4-FFF2-40B4-BE49-F238E27FC236}">
              <a16:creationId xmlns:a16="http://schemas.microsoft.com/office/drawing/2014/main" id="{00000000-0008-0000-0500-0000B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516" name="Object -1021" hidden="1">
          <a:extLst>
            <a:ext uri="{FF2B5EF4-FFF2-40B4-BE49-F238E27FC236}">
              <a16:creationId xmlns:a16="http://schemas.microsoft.com/office/drawing/2014/main" id="{00000000-0008-0000-0500-0000B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517" name="Object -1020" hidden="1">
          <a:extLst>
            <a:ext uri="{FF2B5EF4-FFF2-40B4-BE49-F238E27FC236}">
              <a16:creationId xmlns:a16="http://schemas.microsoft.com/office/drawing/2014/main" id="{00000000-0008-0000-0500-0000B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518" name="Object -1019" hidden="1">
          <a:extLst>
            <a:ext uri="{FF2B5EF4-FFF2-40B4-BE49-F238E27FC236}">
              <a16:creationId xmlns:a16="http://schemas.microsoft.com/office/drawing/2014/main" id="{00000000-0008-0000-0500-0000B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519" name="Object -1018" hidden="1">
          <a:extLst>
            <a:ext uri="{FF2B5EF4-FFF2-40B4-BE49-F238E27FC236}">
              <a16:creationId xmlns:a16="http://schemas.microsoft.com/office/drawing/2014/main" id="{00000000-0008-0000-0500-0000B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520" name="Object -1017" hidden="1">
          <a:extLst>
            <a:ext uri="{FF2B5EF4-FFF2-40B4-BE49-F238E27FC236}">
              <a16:creationId xmlns:a16="http://schemas.microsoft.com/office/drawing/2014/main" id="{00000000-0008-0000-0500-0000C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521" name="Object -1016" hidden="1">
          <a:extLst>
            <a:ext uri="{FF2B5EF4-FFF2-40B4-BE49-F238E27FC236}">
              <a16:creationId xmlns:a16="http://schemas.microsoft.com/office/drawing/2014/main" id="{00000000-0008-0000-0500-0000C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522" name="Object -1013" hidden="1">
          <a:extLst>
            <a:ext uri="{FF2B5EF4-FFF2-40B4-BE49-F238E27FC236}">
              <a16:creationId xmlns:a16="http://schemas.microsoft.com/office/drawing/2014/main" id="{00000000-0008-0000-0500-0000C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16392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523" name="Object -1012" hidden="1">
          <a:extLst>
            <a:ext uri="{FF2B5EF4-FFF2-40B4-BE49-F238E27FC236}">
              <a16:creationId xmlns:a16="http://schemas.microsoft.com/office/drawing/2014/main" id="{00000000-0008-0000-0500-0000C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16392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524" name="Object -1011" hidden="1">
          <a:extLst>
            <a:ext uri="{FF2B5EF4-FFF2-40B4-BE49-F238E27FC236}">
              <a16:creationId xmlns:a16="http://schemas.microsoft.com/office/drawing/2014/main" id="{00000000-0008-0000-0500-0000C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16392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525" name="Object -1010" hidden="1">
          <a:extLst>
            <a:ext uri="{FF2B5EF4-FFF2-40B4-BE49-F238E27FC236}">
              <a16:creationId xmlns:a16="http://schemas.microsoft.com/office/drawing/2014/main" id="{00000000-0008-0000-0500-0000C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16392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526" name="Object -1009" hidden="1">
          <a:extLst>
            <a:ext uri="{FF2B5EF4-FFF2-40B4-BE49-F238E27FC236}">
              <a16:creationId xmlns:a16="http://schemas.microsoft.com/office/drawing/2014/main" id="{00000000-0008-0000-0500-0000C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16392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527" name="Object -1008" hidden="1">
          <a:extLst>
            <a:ext uri="{FF2B5EF4-FFF2-40B4-BE49-F238E27FC236}">
              <a16:creationId xmlns:a16="http://schemas.microsoft.com/office/drawing/2014/main" id="{00000000-0008-0000-0500-0000C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16392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528" name="Object -1007" hidden="1">
          <a:extLst>
            <a:ext uri="{FF2B5EF4-FFF2-40B4-BE49-F238E27FC236}">
              <a16:creationId xmlns:a16="http://schemas.microsoft.com/office/drawing/2014/main" id="{00000000-0008-0000-0500-0000C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16392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529" name="Object -1006" hidden="1">
          <a:extLst>
            <a:ext uri="{FF2B5EF4-FFF2-40B4-BE49-F238E27FC236}">
              <a16:creationId xmlns:a16="http://schemas.microsoft.com/office/drawing/2014/main" id="{00000000-0008-0000-0500-0000C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16392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530" name="Object -1005" hidden="1">
          <a:extLst>
            <a:ext uri="{FF2B5EF4-FFF2-40B4-BE49-F238E27FC236}">
              <a16:creationId xmlns:a16="http://schemas.microsoft.com/office/drawing/2014/main" id="{00000000-0008-0000-0500-0000C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16392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531" name="Object -1022" hidden="1">
          <a:extLst>
            <a:ext uri="{FF2B5EF4-FFF2-40B4-BE49-F238E27FC236}">
              <a16:creationId xmlns:a16="http://schemas.microsoft.com/office/drawing/2014/main" id="{00000000-0008-0000-0500-0000C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532" name="Object -1021" hidden="1">
          <a:extLst>
            <a:ext uri="{FF2B5EF4-FFF2-40B4-BE49-F238E27FC236}">
              <a16:creationId xmlns:a16="http://schemas.microsoft.com/office/drawing/2014/main" id="{00000000-0008-0000-0500-0000C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533" name="Object -1020" hidden="1">
          <a:extLst>
            <a:ext uri="{FF2B5EF4-FFF2-40B4-BE49-F238E27FC236}">
              <a16:creationId xmlns:a16="http://schemas.microsoft.com/office/drawing/2014/main" id="{00000000-0008-0000-0500-0000C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534" name="Object -1019" hidden="1">
          <a:extLst>
            <a:ext uri="{FF2B5EF4-FFF2-40B4-BE49-F238E27FC236}">
              <a16:creationId xmlns:a16="http://schemas.microsoft.com/office/drawing/2014/main" id="{00000000-0008-0000-0500-0000C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535" name="Object -1018" hidden="1">
          <a:extLst>
            <a:ext uri="{FF2B5EF4-FFF2-40B4-BE49-F238E27FC236}">
              <a16:creationId xmlns:a16="http://schemas.microsoft.com/office/drawing/2014/main" id="{00000000-0008-0000-0500-0000C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536" name="Object -1017" hidden="1">
          <a:extLst>
            <a:ext uri="{FF2B5EF4-FFF2-40B4-BE49-F238E27FC236}">
              <a16:creationId xmlns:a16="http://schemas.microsoft.com/office/drawing/2014/main" id="{00000000-0008-0000-0500-0000D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537" name="Object -1016" hidden="1">
          <a:extLst>
            <a:ext uri="{FF2B5EF4-FFF2-40B4-BE49-F238E27FC236}">
              <a16:creationId xmlns:a16="http://schemas.microsoft.com/office/drawing/2014/main" id="{00000000-0008-0000-0500-0000D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538" name="Object -1013" hidden="1">
          <a:extLst>
            <a:ext uri="{FF2B5EF4-FFF2-40B4-BE49-F238E27FC236}">
              <a16:creationId xmlns:a16="http://schemas.microsoft.com/office/drawing/2014/main" id="{00000000-0008-0000-0500-0000D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16392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539" name="Object -1012" hidden="1">
          <a:extLst>
            <a:ext uri="{FF2B5EF4-FFF2-40B4-BE49-F238E27FC236}">
              <a16:creationId xmlns:a16="http://schemas.microsoft.com/office/drawing/2014/main" id="{00000000-0008-0000-0500-0000D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16392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540" name="Object -1011" hidden="1">
          <a:extLst>
            <a:ext uri="{FF2B5EF4-FFF2-40B4-BE49-F238E27FC236}">
              <a16:creationId xmlns:a16="http://schemas.microsoft.com/office/drawing/2014/main" id="{00000000-0008-0000-0500-0000D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16392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541" name="Object -1010" hidden="1">
          <a:extLst>
            <a:ext uri="{FF2B5EF4-FFF2-40B4-BE49-F238E27FC236}">
              <a16:creationId xmlns:a16="http://schemas.microsoft.com/office/drawing/2014/main" id="{00000000-0008-0000-0500-0000D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16392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542" name="Object -1009" hidden="1">
          <a:extLst>
            <a:ext uri="{FF2B5EF4-FFF2-40B4-BE49-F238E27FC236}">
              <a16:creationId xmlns:a16="http://schemas.microsoft.com/office/drawing/2014/main" id="{00000000-0008-0000-0500-0000D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16392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543" name="Object -1008" hidden="1">
          <a:extLst>
            <a:ext uri="{FF2B5EF4-FFF2-40B4-BE49-F238E27FC236}">
              <a16:creationId xmlns:a16="http://schemas.microsoft.com/office/drawing/2014/main" id="{00000000-0008-0000-0500-0000D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16392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544" name="Object -1007" hidden="1">
          <a:extLst>
            <a:ext uri="{FF2B5EF4-FFF2-40B4-BE49-F238E27FC236}">
              <a16:creationId xmlns:a16="http://schemas.microsoft.com/office/drawing/2014/main" id="{00000000-0008-0000-0500-0000D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16392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545" name="Object -1006" hidden="1">
          <a:extLst>
            <a:ext uri="{FF2B5EF4-FFF2-40B4-BE49-F238E27FC236}">
              <a16:creationId xmlns:a16="http://schemas.microsoft.com/office/drawing/2014/main" id="{00000000-0008-0000-0500-0000D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16392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546" name="Object -1005" hidden="1">
          <a:extLst>
            <a:ext uri="{FF2B5EF4-FFF2-40B4-BE49-F238E27FC236}">
              <a16:creationId xmlns:a16="http://schemas.microsoft.com/office/drawing/2014/main" id="{00000000-0008-0000-0500-0000D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16392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547" name="Object -1022" hidden="1">
          <a:extLst>
            <a:ext uri="{FF2B5EF4-FFF2-40B4-BE49-F238E27FC236}">
              <a16:creationId xmlns:a16="http://schemas.microsoft.com/office/drawing/2014/main" id="{00000000-0008-0000-0500-0000D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548" name="Object -1021" hidden="1">
          <a:extLst>
            <a:ext uri="{FF2B5EF4-FFF2-40B4-BE49-F238E27FC236}">
              <a16:creationId xmlns:a16="http://schemas.microsoft.com/office/drawing/2014/main" id="{00000000-0008-0000-0500-0000D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549" name="Object -1020" hidden="1">
          <a:extLst>
            <a:ext uri="{FF2B5EF4-FFF2-40B4-BE49-F238E27FC236}">
              <a16:creationId xmlns:a16="http://schemas.microsoft.com/office/drawing/2014/main" id="{00000000-0008-0000-0500-0000D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550" name="Object -1019" hidden="1">
          <a:extLst>
            <a:ext uri="{FF2B5EF4-FFF2-40B4-BE49-F238E27FC236}">
              <a16:creationId xmlns:a16="http://schemas.microsoft.com/office/drawing/2014/main" id="{00000000-0008-0000-0500-0000D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551" name="Object -1018" hidden="1">
          <a:extLst>
            <a:ext uri="{FF2B5EF4-FFF2-40B4-BE49-F238E27FC236}">
              <a16:creationId xmlns:a16="http://schemas.microsoft.com/office/drawing/2014/main" id="{00000000-0008-0000-0500-0000D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552" name="Object -1017" hidden="1">
          <a:extLst>
            <a:ext uri="{FF2B5EF4-FFF2-40B4-BE49-F238E27FC236}">
              <a16:creationId xmlns:a16="http://schemas.microsoft.com/office/drawing/2014/main" id="{00000000-0008-0000-0500-0000E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553" name="Object -1016" hidden="1">
          <a:extLst>
            <a:ext uri="{FF2B5EF4-FFF2-40B4-BE49-F238E27FC236}">
              <a16:creationId xmlns:a16="http://schemas.microsoft.com/office/drawing/2014/main" id="{00000000-0008-0000-0500-0000E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554" name="Object -1013" hidden="1">
          <a:extLst>
            <a:ext uri="{FF2B5EF4-FFF2-40B4-BE49-F238E27FC236}">
              <a16:creationId xmlns:a16="http://schemas.microsoft.com/office/drawing/2014/main" id="{00000000-0008-0000-0500-0000E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93532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555" name="Object -1012" hidden="1">
          <a:extLst>
            <a:ext uri="{FF2B5EF4-FFF2-40B4-BE49-F238E27FC236}">
              <a16:creationId xmlns:a16="http://schemas.microsoft.com/office/drawing/2014/main" id="{00000000-0008-0000-0500-0000E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93532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556" name="Object -1011" hidden="1">
          <a:extLst>
            <a:ext uri="{FF2B5EF4-FFF2-40B4-BE49-F238E27FC236}">
              <a16:creationId xmlns:a16="http://schemas.microsoft.com/office/drawing/2014/main" id="{00000000-0008-0000-0500-0000E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93532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557" name="Object -1010" hidden="1">
          <a:extLst>
            <a:ext uri="{FF2B5EF4-FFF2-40B4-BE49-F238E27FC236}">
              <a16:creationId xmlns:a16="http://schemas.microsoft.com/office/drawing/2014/main" id="{00000000-0008-0000-0500-0000E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93532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558" name="Object -1009" hidden="1">
          <a:extLst>
            <a:ext uri="{FF2B5EF4-FFF2-40B4-BE49-F238E27FC236}">
              <a16:creationId xmlns:a16="http://schemas.microsoft.com/office/drawing/2014/main" id="{00000000-0008-0000-0500-0000E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93532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559" name="Object -1008" hidden="1">
          <a:extLst>
            <a:ext uri="{FF2B5EF4-FFF2-40B4-BE49-F238E27FC236}">
              <a16:creationId xmlns:a16="http://schemas.microsoft.com/office/drawing/2014/main" id="{00000000-0008-0000-0500-0000E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93532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560" name="Object -1007" hidden="1">
          <a:extLst>
            <a:ext uri="{FF2B5EF4-FFF2-40B4-BE49-F238E27FC236}">
              <a16:creationId xmlns:a16="http://schemas.microsoft.com/office/drawing/2014/main" id="{00000000-0008-0000-0500-0000E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93532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561" name="Object -1006" hidden="1">
          <a:extLst>
            <a:ext uri="{FF2B5EF4-FFF2-40B4-BE49-F238E27FC236}">
              <a16:creationId xmlns:a16="http://schemas.microsoft.com/office/drawing/2014/main" id="{00000000-0008-0000-0500-0000E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93532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562" name="Object -1005" hidden="1">
          <a:extLst>
            <a:ext uri="{FF2B5EF4-FFF2-40B4-BE49-F238E27FC236}">
              <a16:creationId xmlns:a16="http://schemas.microsoft.com/office/drawing/2014/main" id="{00000000-0008-0000-0500-0000E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93532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563" name="Object -1022" hidden="1">
          <a:extLst>
            <a:ext uri="{FF2B5EF4-FFF2-40B4-BE49-F238E27FC236}">
              <a16:creationId xmlns:a16="http://schemas.microsoft.com/office/drawing/2014/main" id="{00000000-0008-0000-0500-0000E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564" name="Object -1021" hidden="1">
          <a:extLst>
            <a:ext uri="{FF2B5EF4-FFF2-40B4-BE49-F238E27FC236}">
              <a16:creationId xmlns:a16="http://schemas.microsoft.com/office/drawing/2014/main" id="{00000000-0008-0000-0500-0000E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565" name="Object -1020" hidden="1">
          <a:extLst>
            <a:ext uri="{FF2B5EF4-FFF2-40B4-BE49-F238E27FC236}">
              <a16:creationId xmlns:a16="http://schemas.microsoft.com/office/drawing/2014/main" id="{00000000-0008-0000-0500-0000E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566" name="Object -1019" hidden="1">
          <a:extLst>
            <a:ext uri="{FF2B5EF4-FFF2-40B4-BE49-F238E27FC236}">
              <a16:creationId xmlns:a16="http://schemas.microsoft.com/office/drawing/2014/main" id="{00000000-0008-0000-0500-0000E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567" name="Object -1018" hidden="1">
          <a:extLst>
            <a:ext uri="{FF2B5EF4-FFF2-40B4-BE49-F238E27FC236}">
              <a16:creationId xmlns:a16="http://schemas.microsoft.com/office/drawing/2014/main" id="{00000000-0008-0000-0500-0000E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568" name="Object -1017" hidden="1">
          <a:extLst>
            <a:ext uri="{FF2B5EF4-FFF2-40B4-BE49-F238E27FC236}">
              <a16:creationId xmlns:a16="http://schemas.microsoft.com/office/drawing/2014/main" id="{00000000-0008-0000-0500-0000F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569" name="Object -1016" hidden="1">
          <a:extLst>
            <a:ext uri="{FF2B5EF4-FFF2-40B4-BE49-F238E27FC236}">
              <a16:creationId xmlns:a16="http://schemas.microsoft.com/office/drawing/2014/main" id="{00000000-0008-0000-0500-0000F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570" name="Object -1013" hidden="1">
          <a:extLst>
            <a:ext uri="{FF2B5EF4-FFF2-40B4-BE49-F238E27FC236}">
              <a16:creationId xmlns:a16="http://schemas.microsoft.com/office/drawing/2014/main" id="{00000000-0008-0000-0500-0000F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963900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571" name="Object -1012" hidden="1">
          <a:extLst>
            <a:ext uri="{FF2B5EF4-FFF2-40B4-BE49-F238E27FC236}">
              <a16:creationId xmlns:a16="http://schemas.microsoft.com/office/drawing/2014/main" id="{00000000-0008-0000-0500-0000F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963900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572" name="Object -1011" hidden="1">
          <a:extLst>
            <a:ext uri="{FF2B5EF4-FFF2-40B4-BE49-F238E27FC236}">
              <a16:creationId xmlns:a16="http://schemas.microsoft.com/office/drawing/2014/main" id="{00000000-0008-0000-0500-0000F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963900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573" name="Object -1010" hidden="1">
          <a:extLst>
            <a:ext uri="{FF2B5EF4-FFF2-40B4-BE49-F238E27FC236}">
              <a16:creationId xmlns:a16="http://schemas.microsoft.com/office/drawing/2014/main" id="{00000000-0008-0000-0500-0000F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963900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574" name="Object -1009" hidden="1">
          <a:extLst>
            <a:ext uri="{FF2B5EF4-FFF2-40B4-BE49-F238E27FC236}">
              <a16:creationId xmlns:a16="http://schemas.microsoft.com/office/drawing/2014/main" id="{00000000-0008-0000-0500-0000F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963900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575" name="Object -1008" hidden="1">
          <a:extLst>
            <a:ext uri="{FF2B5EF4-FFF2-40B4-BE49-F238E27FC236}">
              <a16:creationId xmlns:a16="http://schemas.microsoft.com/office/drawing/2014/main" id="{00000000-0008-0000-0500-0000F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963900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576" name="Object -1007" hidden="1">
          <a:extLst>
            <a:ext uri="{FF2B5EF4-FFF2-40B4-BE49-F238E27FC236}">
              <a16:creationId xmlns:a16="http://schemas.microsoft.com/office/drawing/2014/main" id="{00000000-0008-0000-0500-0000F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963900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577" name="Object -1006" hidden="1">
          <a:extLst>
            <a:ext uri="{FF2B5EF4-FFF2-40B4-BE49-F238E27FC236}">
              <a16:creationId xmlns:a16="http://schemas.microsoft.com/office/drawing/2014/main" id="{00000000-0008-0000-0500-0000F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963900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578" name="Object -1005" hidden="1">
          <a:extLst>
            <a:ext uri="{FF2B5EF4-FFF2-40B4-BE49-F238E27FC236}">
              <a16:creationId xmlns:a16="http://schemas.microsoft.com/office/drawing/2014/main" id="{00000000-0008-0000-0500-0000F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963900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579" name="Object -1022" hidden="1">
          <a:extLst>
            <a:ext uri="{FF2B5EF4-FFF2-40B4-BE49-F238E27FC236}">
              <a16:creationId xmlns:a16="http://schemas.microsoft.com/office/drawing/2014/main" id="{00000000-0008-0000-0500-0000F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580" name="Object -1021" hidden="1">
          <a:extLst>
            <a:ext uri="{FF2B5EF4-FFF2-40B4-BE49-F238E27FC236}">
              <a16:creationId xmlns:a16="http://schemas.microsoft.com/office/drawing/2014/main" id="{00000000-0008-0000-0500-0000F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581" name="Object -1020" hidden="1">
          <a:extLst>
            <a:ext uri="{FF2B5EF4-FFF2-40B4-BE49-F238E27FC236}">
              <a16:creationId xmlns:a16="http://schemas.microsoft.com/office/drawing/2014/main" id="{00000000-0008-0000-0500-0000F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582" name="Object -1019" hidden="1">
          <a:extLst>
            <a:ext uri="{FF2B5EF4-FFF2-40B4-BE49-F238E27FC236}">
              <a16:creationId xmlns:a16="http://schemas.microsoft.com/office/drawing/2014/main" id="{00000000-0008-0000-0500-0000F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583" name="Object -1018" hidden="1">
          <a:extLst>
            <a:ext uri="{FF2B5EF4-FFF2-40B4-BE49-F238E27FC236}">
              <a16:creationId xmlns:a16="http://schemas.microsoft.com/office/drawing/2014/main" id="{00000000-0008-0000-0500-0000F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584" name="Object -1017" hidden="1">
          <a:extLst>
            <a:ext uri="{FF2B5EF4-FFF2-40B4-BE49-F238E27FC236}">
              <a16:creationId xmlns:a16="http://schemas.microsoft.com/office/drawing/2014/main" id="{00000000-0008-0000-0500-000000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585" name="Object -1016" hidden="1">
          <a:extLst>
            <a:ext uri="{FF2B5EF4-FFF2-40B4-BE49-F238E27FC236}">
              <a16:creationId xmlns:a16="http://schemas.microsoft.com/office/drawing/2014/main" id="{00000000-0008-0000-0500-000001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586" name="Object -1013" hidden="1">
          <a:extLst>
            <a:ext uri="{FF2B5EF4-FFF2-40B4-BE49-F238E27FC236}">
              <a16:creationId xmlns:a16="http://schemas.microsoft.com/office/drawing/2014/main" id="{00000000-0008-0000-0500-000002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963900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587" name="Object -1012" hidden="1">
          <a:extLst>
            <a:ext uri="{FF2B5EF4-FFF2-40B4-BE49-F238E27FC236}">
              <a16:creationId xmlns:a16="http://schemas.microsoft.com/office/drawing/2014/main" id="{00000000-0008-0000-0500-000003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963900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588" name="Object -1011" hidden="1">
          <a:extLst>
            <a:ext uri="{FF2B5EF4-FFF2-40B4-BE49-F238E27FC236}">
              <a16:creationId xmlns:a16="http://schemas.microsoft.com/office/drawing/2014/main" id="{00000000-0008-0000-0500-000004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963900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589" name="Object -1010" hidden="1">
          <a:extLst>
            <a:ext uri="{FF2B5EF4-FFF2-40B4-BE49-F238E27FC236}">
              <a16:creationId xmlns:a16="http://schemas.microsoft.com/office/drawing/2014/main" id="{00000000-0008-0000-0500-000005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963900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590" name="Object -1009" hidden="1">
          <a:extLst>
            <a:ext uri="{FF2B5EF4-FFF2-40B4-BE49-F238E27FC236}">
              <a16:creationId xmlns:a16="http://schemas.microsoft.com/office/drawing/2014/main" id="{00000000-0008-0000-0500-000006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963900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591" name="Object -1008" hidden="1">
          <a:extLst>
            <a:ext uri="{FF2B5EF4-FFF2-40B4-BE49-F238E27FC236}">
              <a16:creationId xmlns:a16="http://schemas.microsoft.com/office/drawing/2014/main" id="{00000000-0008-0000-0500-000007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963900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592" name="Object -1007" hidden="1">
          <a:extLst>
            <a:ext uri="{FF2B5EF4-FFF2-40B4-BE49-F238E27FC236}">
              <a16:creationId xmlns:a16="http://schemas.microsoft.com/office/drawing/2014/main" id="{00000000-0008-0000-0500-000008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963900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593" name="Object -1006" hidden="1">
          <a:extLst>
            <a:ext uri="{FF2B5EF4-FFF2-40B4-BE49-F238E27FC236}">
              <a16:creationId xmlns:a16="http://schemas.microsoft.com/office/drawing/2014/main" id="{00000000-0008-0000-0500-000009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963900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594" name="Object -1005" hidden="1">
          <a:extLst>
            <a:ext uri="{FF2B5EF4-FFF2-40B4-BE49-F238E27FC236}">
              <a16:creationId xmlns:a16="http://schemas.microsoft.com/office/drawing/2014/main" id="{00000000-0008-0000-0500-00000A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963900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595" name="Object -1022" hidden="1">
          <a:extLst>
            <a:ext uri="{FF2B5EF4-FFF2-40B4-BE49-F238E27FC236}">
              <a16:creationId xmlns:a16="http://schemas.microsoft.com/office/drawing/2014/main" id="{00000000-0008-0000-0500-00000B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596" name="Object -1021" hidden="1">
          <a:extLst>
            <a:ext uri="{FF2B5EF4-FFF2-40B4-BE49-F238E27FC236}">
              <a16:creationId xmlns:a16="http://schemas.microsoft.com/office/drawing/2014/main" id="{00000000-0008-0000-0500-00000C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597" name="Object -1020" hidden="1">
          <a:extLst>
            <a:ext uri="{FF2B5EF4-FFF2-40B4-BE49-F238E27FC236}">
              <a16:creationId xmlns:a16="http://schemas.microsoft.com/office/drawing/2014/main" id="{00000000-0008-0000-0500-00000D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598" name="Object -1019" hidden="1">
          <a:extLst>
            <a:ext uri="{FF2B5EF4-FFF2-40B4-BE49-F238E27FC236}">
              <a16:creationId xmlns:a16="http://schemas.microsoft.com/office/drawing/2014/main" id="{00000000-0008-0000-0500-00000E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599" name="Object -1018" hidden="1">
          <a:extLst>
            <a:ext uri="{FF2B5EF4-FFF2-40B4-BE49-F238E27FC236}">
              <a16:creationId xmlns:a16="http://schemas.microsoft.com/office/drawing/2014/main" id="{00000000-0008-0000-0500-00000F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600" name="Object -1017" hidden="1">
          <a:extLst>
            <a:ext uri="{FF2B5EF4-FFF2-40B4-BE49-F238E27FC236}">
              <a16:creationId xmlns:a16="http://schemas.microsoft.com/office/drawing/2014/main" id="{00000000-0008-0000-0500-000010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601" name="Object -1016" hidden="1">
          <a:extLst>
            <a:ext uri="{FF2B5EF4-FFF2-40B4-BE49-F238E27FC236}">
              <a16:creationId xmlns:a16="http://schemas.microsoft.com/office/drawing/2014/main" id="{00000000-0008-0000-0500-000011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602" name="Object -1013" hidden="1">
          <a:extLst>
            <a:ext uri="{FF2B5EF4-FFF2-40B4-BE49-F238E27FC236}">
              <a16:creationId xmlns:a16="http://schemas.microsoft.com/office/drawing/2014/main" id="{00000000-0008-0000-0500-000012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963900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603" name="Object -1012" hidden="1">
          <a:extLst>
            <a:ext uri="{FF2B5EF4-FFF2-40B4-BE49-F238E27FC236}">
              <a16:creationId xmlns:a16="http://schemas.microsoft.com/office/drawing/2014/main" id="{00000000-0008-0000-0500-000013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963900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604" name="Object -1011" hidden="1">
          <a:extLst>
            <a:ext uri="{FF2B5EF4-FFF2-40B4-BE49-F238E27FC236}">
              <a16:creationId xmlns:a16="http://schemas.microsoft.com/office/drawing/2014/main" id="{00000000-0008-0000-0500-000014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963900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605" name="Object -1010" hidden="1">
          <a:extLst>
            <a:ext uri="{FF2B5EF4-FFF2-40B4-BE49-F238E27FC236}">
              <a16:creationId xmlns:a16="http://schemas.microsoft.com/office/drawing/2014/main" id="{00000000-0008-0000-0500-000015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963900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606" name="Object -1009" hidden="1">
          <a:extLst>
            <a:ext uri="{FF2B5EF4-FFF2-40B4-BE49-F238E27FC236}">
              <a16:creationId xmlns:a16="http://schemas.microsoft.com/office/drawing/2014/main" id="{00000000-0008-0000-0500-000016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963900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607" name="Object -1008" hidden="1">
          <a:extLst>
            <a:ext uri="{FF2B5EF4-FFF2-40B4-BE49-F238E27FC236}">
              <a16:creationId xmlns:a16="http://schemas.microsoft.com/office/drawing/2014/main" id="{00000000-0008-0000-0500-000017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963900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608" name="Object -1007" hidden="1">
          <a:extLst>
            <a:ext uri="{FF2B5EF4-FFF2-40B4-BE49-F238E27FC236}">
              <a16:creationId xmlns:a16="http://schemas.microsoft.com/office/drawing/2014/main" id="{00000000-0008-0000-0500-000018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963900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609" name="Object -1006" hidden="1">
          <a:extLst>
            <a:ext uri="{FF2B5EF4-FFF2-40B4-BE49-F238E27FC236}">
              <a16:creationId xmlns:a16="http://schemas.microsoft.com/office/drawing/2014/main" id="{00000000-0008-0000-0500-000019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963900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610" name="Object -1005" hidden="1">
          <a:extLst>
            <a:ext uri="{FF2B5EF4-FFF2-40B4-BE49-F238E27FC236}">
              <a16:creationId xmlns:a16="http://schemas.microsoft.com/office/drawing/2014/main" id="{00000000-0008-0000-0500-00001A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963900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611" name="Object -1022" hidden="1">
          <a:extLst>
            <a:ext uri="{FF2B5EF4-FFF2-40B4-BE49-F238E27FC236}">
              <a16:creationId xmlns:a16="http://schemas.microsoft.com/office/drawing/2014/main" id="{00000000-0008-0000-0500-00001B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612" name="Object -1021" hidden="1">
          <a:extLst>
            <a:ext uri="{FF2B5EF4-FFF2-40B4-BE49-F238E27FC236}">
              <a16:creationId xmlns:a16="http://schemas.microsoft.com/office/drawing/2014/main" id="{00000000-0008-0000-0500-00001C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613" name="Object -1020" hidden="1">
          <a:extLst>
            <a:ext uri="{FF2B5EF4-FFF2-40B4-BE49-F238E27FC236}">
              <a16:creationId xmlns:a16="http://schemas.microsoft.com/office/drawing/2014/main" id="{00000000-0008-0000-0500-00001D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614" name="Object -1019" hidden="1">
          <a:extLst>
            <a:ext uri="{FF2B5EF4-FFF2-40B4-BE49-F238E27FC236}">
              <a16:creationId xmlns:a16="http://schemas.microsoft.com/office/drawing/2014/main" id="{00000000-0008-0000-0500-00001E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615" name="Object -1018" hidden="1">
          <a:extLst>
            <a:ext uri="{FF2B5EF4-FFF2-40B4-BE49-F238E27FC236}">
              <a16:creationId xmlns:a16="http://schemas.microsoft.com/office/drawing/2014/main" id="{00000000-0008-0000-0500-00001F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616" name="Object -1017" hidden="1">
          <a:extLst>
            <a:ext uri="{FF2B5EF4-FFF2-40B4-BE49-F238E27FC236}">
              <a16:creationId xmlns:a16="http://schemas.microsoft.com/office/drawing/2014/main" id="{00000000-0008-0000-0500-000020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617" name="Object -1016" hidden="1">
          <a:extLst>
            <a:ext uri="{FF2B5EF4-FFF2-40B4-BE49-F238E27FC236}">
              <a16:creationId xmlns:a16="http://schemas.microsoft.com/office/drawing/2014/main" id="{00000000-0008-0000-0500-000021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618" name="Object -1013" hidden="1">
          <a:extLst>
            <a:ext uri="{FF2B5EF4-FFF2-40B4-BE49-F238E27FC236}">
              <a16:creationId xmlns:a16="http://schemas.microsoft.com/office/drawing/2014/main" id="{00000000-0008-0000-0500-000022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963900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619" name="Object -1012" hidden="1">
          <a:extLst>
            <a:ext uri="{FF2B5EF4-FFF2-40B4-BE49-F238E27FC236}">
              <a16:creationId xmlns:a16="http://schemas.microsoft.com/office/drawing/2014/main" id="{00000000-0008-0000-0500-000023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963900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620" name="Object -1011" hidden="1">
          <a:extLst>
            <a:ext uri="{FF2B5EF4-FFF2-40B4-BE49-F238E27FC236}">
              <a16:creationId xmlns:a16="http://schemas.microsoft.com/office/drawing/2014/main" id="{00000000-0008-0000-0500-000024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963900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621" name="Object -1010" hidden="1">
          <a:extLst>
            <a:ext uri="{FF2B5EF4-FFF2-40B4-BE49-F238E27FC236}">
              <a16:creationId xmlns:a16="http://schemas.microsoft.com/office/drawing/2014/main" id="{00000000-0008-0000-0500-000025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963900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622" name="Object -1009" hidden="1">
          <a:extLst>
            <a:ext uri="{FF2B5EF4-FFF2-40B4-BE49-F238E27FC236}">
              <a16:creationId xmlns:a16="http://schemas.microsoft.com/office/drawing/2014/main" id="{00000000-0008-0000-0500-000026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963900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623" name="Object -1008" hidden="1">
          <a:extLst>
            <a:ext uri="{FF2B5EF4-FFF2-40B4-BE49-F238E27FC236}">
              <a16:creationId xmlns:a16="http://schemas.microsoft.com/office/drawing/2014/main" id="{00000000-0008-0000-0500-000027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963900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624" name="Object -1007" hidden="1">
          <a:extLst>
            <a:ext uri="{FF2B5EF4-FFF2-40B4-BE49-F238E27FC236}">
              <a16:creationId xmlns:a16="http://schemas.microsoft.com/office/drawing/2014/main" id="{00000000-0008-0000-0500-000028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963900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625" name="Object -1006" hidden="1">
          <a:extLst>
            <a:ext uri="{FF2B5EF4-FFF2-40B4-BE49-F238E27FC236}">
              <a16:creationId xmlns:a16="http://schemas.microsoft.com/office/drawing/2014/main" id="{00000000-0008-0000-0500-000029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963900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626" name="Object -1005" hidden="1">
          <a:extLst>
            <a:ext uri="{FF2B5EF4-FFF2-40B4-BE49-F238E27FC236}">
              <a16:creationId xmlns:a16="http://schemas.microsoft.com/office/drawing/2014/main" id="{00000000-0008-0000-0500-00002A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963900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627" name="Object -1022" hidden="1">
          <a:extLst>
            <a:ext uri="{FF2B5EF4-FFF2-40B4-BE49-F238E27FC236}">
              <a16:creationId xmlns:a16="http://schemas.microsoft.com/office/drawing/2014/main" id="{00000000-0008-0000-0500-00002B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628" name="Object -1021" hidden="1">
          <a:extLst>
            <a:ext uri="{FF2B5EF4-FFF2-40B4-BE49-F238E27FC236}">
              <a16:creationId xmlns:a16="http://schemas.microsoft.com/office/drawing/2014/main" id="{00000000-0008-0000-0500-00002C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629" name="Object -1020" hidden="1">
          <a:extLst>
            <a:ext uri="{FF2B5EF4-FFF2-40B4-BE49-F238E27FC236}">
              <a16:creationId xmlns:a16="http://schemas.microsoft.com/office/drawing/2014/main" id="{00000000-0008-0000-0500-00002D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630" name="Object -1019" hidden="1">
          <a:extLst>
            <a:ext uri="{FF2B5EF4-FFF2-40B4-BE49-F238E27FC236}">
              <a16:creationId xmlns:a16="http://schemas.microsoft.com/office/drawing/2014/main" id="{00000000-0008-0000-0500-00002E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631" name="Object -1018" hidden="1">
          <a:extLst>
            <a:ext uri="{FF2B5EF4-FFF2-40B4-BE49-F238E27FC236}">
              <a16:creationId xmlns:a16="http://schemas.microsoft.com/office/drawing/2014/main" id="{00000000-0008-0000-0500-00002F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632" name="Object -1017" hidden="1">
          <a:extLst>
            <a:ext uri="{FF2B5EF4-FFF2-40B4-BE49-F238E27FC236}">
              <a16:creationId xmlns:a16="http://schemas.microsoft.com/office/drawing/2014/main" id="{00000000-0008-0000-0500-000030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633" name="Object -1016" hidden="1">
          <a:extLst>
            <a:ext uri="{FF2B5EF4-FFF2-40B4-BE49-F238E27FC236}">
              <a16:creationId xmlns:a16="http://schemas.microsoft.com/office/drawing/2014/main" id="{00000000-0008-0000-0500-000031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634" name="Object -1013" hidden="1">
          <a:extLst>
            <a:ext uri="{FF2B5EF4-FFF2-40B4-BE49-F238E27FC236}">
              <a16:creationId xmlns:a16="http://schemas.microsoft.com/office/drawing/2014/main" id="{00000000-0008-0000-0500-000032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963900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635" name="Object -1012" hidden="1">
          <a:extLst>
            <a:ext uri="{FF2B5EF4-FFF2-40B4-BE49-F238E27FC236}">
              <a16:creationId xmlns:a16="http://schemas.microsoft.com/office/drawing/2014/main" id="{00000000-0008-0000-0500-000033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963900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636" name="Object -1011" hidden="1">
          <a:extLst>
            <a:ext uri="{FF2B5EF4-FFF2-40B4-BE49-F238E27FC236}">
              <a16:creationId xmlns:a16="http://schemas.microsoft.com/office/drawing/2014/main" id="{00000000-0008-0000-0500-000034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963900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637" name="Object -1010" hidden="1">
          <a:extLst>
            <a:ext uri="{FF2B5EF4-FFF2-40B4-BE49-F238E27FC236}">
              <a16:creationId xmlns:a16="http://schemas.microsoft.com/office/drawing/2014/main" id="{00000000-0008-0000-0500-000035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963900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638" name="Object -1009" hidden="1">
          <a:extLst>
            <a:ext uri="{FF2B5EF4-FFF2-40B4-BE49-F238E27FC236}">
              <a16:creationId xmlns:a16="http://schemas.microsoft.com/office/drawing/2014/main" id="{00000000-0008-0000-0500-000036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963900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639" name="Object -1008" hidden="1">
          <a:extLst>
            <a:ext uri="{FF2B5EF4-FFF2-40B4-BE49-F238E27FC236}">
              <a16:creationId xmlns:a16="http://schemas.microsoft.com/office/drawing/2014/main" id="{00000000-0008-0000-0500-000037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963900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640" name="Object -1007" hidden="1">
          <a:extLst>
            <a:ext uri="{FF2B5EF4-FFF2-40B4-BE49-F238E27FC236}">
              <a16:creationId xmlns:a16="http://schemas.microsoft.com/office/drawing/2014/main" id="{00000000-0008-0000-0500-000038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963900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641" name="Object -1006" hidden="1">
          <a:extLst>
            <a:ext uri="{FF2B5EF4-FFF2-40B4-BE49-F238E27FC236}">
              <a16:creationId xmlns:a16="http://schemas.microsoft.com/office/drawing/2014/main" id="{00000000-0008-0000-0500-000039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963900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642" name="Object -1005" hidden="1">
          <a:extLst>
            <a:ext uri="{FF2B5EF4-FFF2-40B4-BE49-F238E27FC236}">
              <a16:creationId xmlns:a16="http://schemas.microsoft.com/office/drawing/2014/main" id="{00000000-0008-0000-0500-00003A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963900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643" name="Object -1022" hidden="1">
          <a:extLst>
            <a:ext uri="{FF2B5EF4-FFF2-40B4-BE49-F238E27FC236}">
              <a16:creationId xmlns:a16="http://schemas.microsoft.com/office/drawing/2014/main" id="{00000000-0008-0000-0500-00003B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644" name="Object -1021" hidden="1">
          <a:extLst>
            <a:ext uri="{FF2B5EF4-FFF2-40B4-BE49-F238E27FC236}">
              <a16:creationId xmlns:a16="http://schemas.microsoft.com/office/drawing/2014/main" id="{00000000-0008-0000-0500-00003C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645" name="Object -1020" hidden="1">
          <a:extLst>
            <a:ext uri="{FF2B5EF4-FFF2-40B4-BE49-F238E27FC236}">
              <a16:creationId xmlns:a16="http://schemas.microsoft.com/office/drawing/2014/main" id="{00000000-0008-0000-0500-00003D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646" name="Object -1019" hidden="1">
          <a:extLst>
            <a:ext uri="{FF2B5EF4-FFF2-40B4-BE49-F238E27FC236}">
              <a16:creationId xmlns:a16="http://schemas.microsoft.com/office/drawing/2014/main" id="{00000000-0008-0000-0500-00003E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647" name="Object -1018" hidden="1">
          <a:extLst>
            <a:ext uri="{FF2B5EF4-FFF2-40B4-BE49-F238E27FC236}">
              <a16:creationId xmlns:a16="http://schemas.microsoft.com/office/drawing/2014/main" id="{00000000-0008-0000-0500-00003F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648" name="Object -1017" hidden="1">
          <a:extLst>
            <a:ext uri="{FF2B5EF4-FFF2-40B4-BE49-F238E27FC236}">
              <a16:creationId xmlns:a16="http://schemas.microsoft.com/office/drawing/2014/main" id="{00000000-0008-0000-0500-000040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649" name="Object -1016" hidden="1">
          <a:extLst>
            <a:ext uri="{FF2B5EF4-FFF2-40B4-BE49-F238E27FC236}">
              <a16:creationId xmlns:a16="http://schemas.microsoft.com/office/drawing/2014/main" id="{00000000-0008-0000-0500-000041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650" name="Object -1013" hidden="1">
          <a:extLst>
            <a:ext uri="{FF2B5EF4-FFF2-40B4-BE49-F238E27FC236}">
              <a16:creationId xmlns:a16="http://schemas.microsoft.com/office/drawing/2014/main" id="{00000000-0008-0000-0500-000042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963900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651" name="Object -1012" hidden="1">
          <a:extLst>
            <a:ext uri="{FF2B5EF4-FFF2-40B4-BE49-F238E27FC236}">
              <a16:creationId xmlns:a16="http://schemas.microsoft.com/office/drawing/2014/main" id="{00000000-0008-0000-0500-000043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963900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652" name="Object -1011" hidden="1">
          <a:extLst>
            <a:ext uri="{FF2B5EF4-FFF2-40B4-BE49-F238E27FC236}">
              <a16:creationId xmlns:a16="http://schemas.microsoft.com/office/drawing/2014/main" id="{00000000-0008-0000-0500-000044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963900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653" name="Object -1010" hidden="1">
          <a:extLst>
            <a:ext uri="{FF2B5EF4-FFF2-40B4-BE49-F238E27FC236}">
              <a16:creationId xmlns:a16="http://schemas.microsoft.com/office/drawing/2014/main" id="{00000000-0008-0000-0500-000045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963900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654" name="Object -1009" hidden="1">
          <a:extLst>
            <a:ext uri="{FF2B5EF4-FFF2-40B4-BE49-F238E27FC236}">
              <a16:creationId xmlns:a16="http://schemas.microsoft.com/office/drawing/2014/main" id="{00000000-0008-0000-0500-000046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963900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655" name="Object -1008" hidden="1">
          <a:extLst>
            <a:ext uri="{FF2B5EF4-FFF2-40B4-BE49-F238E27FC236}">
              <a16:creationId xmlns:a16="http://schemas.microsoft.com/office/drawing/2014/main" id="{00000000-0008-0000-0500-000047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963900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656" name="Object -1007" hidden="1">
          <a:extLst>
            <a:ext uri="{FF2B5EF4-FFF2-40B4-BE49-F238E27FC236}">
              <a16:creationId xmlns:a16="http://schemas.microsoft.com/office/drawing/2014/main" id="{00000000-0008-0000-0500-000048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963900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657" name="Object -1006" hidden="1">
          <a:extLst>
            <a:ext uri="{FF2B5EF4-FFF2-40B4-BE49-F238E27FC236}">
              <a16:creationId xmlns:a16="http://schemas.microsoft.com/office/drawing/2014/main" id="{00000000-0008-0000-0500-000049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963900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658" name="Object -1005" hidden="1">
          <a:extLst>
            <a:ext uri="{FF2B5EF4-FFF2-40B4-BE49-F238E27FC236}">
              <a16:creationId xmlns:a16="http://schemas.microsoft.com/office/drawing/2014/main" id="{00000000-0008-0000-0500-00004A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963900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659" name="Object -1022" hidden="1">
          <a:extLst>
            <a:ext uri="{FF2B5EF4-FFF2-40B4-BE49-F238E27FC236}">
              <a16:creationId xmlns:a16="http://schemas.microsoft.com/office/drawing/2014/main" id="{00000000-0008-0000-0500-00004B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660" name="Object -1021" hidden="1">
          <a:extLst>
            <a:ext uri="{FF2B5EF4-FFF2-40B4-BE49-F238E27FC236}">
              <a16:creationId xmlns:a16="http://schemas.microsoft.com/office/drawing/2014/main" id="{00000000-0008-0000-0500-00004C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661" name="Object -1020" hidden="1">
          <a:extLst>
            <a:ext uri="{FF2B5EF4-FFF2-40B4-BE49-F238E27FC236}">
              <a16:creationId xmlns:a16="http://schemas.microsoft.com/office/drawing/2014/main" id="{00000000-0008-0000-0500-00004D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662" name="Object -1019" hidden="1">
          <a:extLst>
            <a:ext uri="{FF2B5EF4-FFF2-40B4-BE49-F238E27FC236}">
              <a16:creationId xmlns:a16="http://schemas.microsoft.com/office/drawing/2014/main" id="{00000000-0008-0000-0500-00004E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663" name="Object -1018" hidden="1">
          <a:extLst>
            <a:ext uri="{FF2B5EF4-FFF2-40B4-BE49-F238E27FC236}">
              <a16:creationId xmlns:a16="http://schemas.microsoft.com/office/drawing/2014/main" id="{00000000-0008-0000-0500-00004F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664" name="Object -1017" hidden="1">
          <a:extLst>
            <a:ext uri="{FF2B5EF4-FFF2-40B4-BE49-F238E27FC236}">
              <a16:creationId xmlns:a16="http://schemas.microsoft.com/office/drawing/2014/main" id="{00000000-0008-0000-0500-000050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665" name="Object -1016" hidden="1">
          <a:extLst>
            <a:ext uri="{FF2B5EF4-FFF2-40B4-BE49-F238E27FC236}">
              <a16:creationId xmlns:a16="http://schemas.microsoft.com/office/drawing/2014/main" id="{00000000-0008-0000-0500-000051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666" name="Object -1013" hidden="1">
          <a:extLst>
            <a:ext uri="{FF2B5EF4-FFF2-40B4-BE49-F238E27FC236}">
              <a16:creationId xmlns:a16="http://schemas.microsoft.com/office/drawing/2014/main" id="{00000000-0008-0000-0500-000052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963900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667" name="Object -1012" hidden="1">
          <a:extLst>
            <a:ext uri="{FF2B5EF4-FFF2-40B4-BE49-F238E27FC236}">
              <a16:creationId xmlns:a16="http://schemas.microsoft.com/office/drawing/2014/main" id="{00000000-0008-0000-0500-000053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963900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668" name="Object -1011" hidden="1">
          <a:extLst>
            <a:ext uri="{FF2B5EF4-FFF2-40B4-BE49-F238E27FC236}">
              <a16:creationId xmlns:a16="http://schemas.microsoft.com/office/drawing/2014/main" id="{00000000-0008-0000-0500-000054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963900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669" name="Object -1010" hidden="1">
          <a:extLst>
            <a:ext uri="{FF2B5EF4-FFF2-40B4-BE49-F238E27FC236}">
              <a16:creationId xmlns:a16="http://schemas.microsoft.com/office/drawing/2014/main" id="{00000000-0008-0000-0500-000055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963900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670" name="Object -1009" hidden="1">
          <a:extLst>
            <a:ext uri="{FF2B5EF4-FFF2-40B4-BE49-F238E27FC236}">
              <a16:creationId xmlns:a16="http://schemas.microsoft.com/office/drawing/2014/main" id="{00000000-0008-0000-0500-000056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963900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671" name="Object -1008" hidden="1">
          <a:extLst>
            <a:ext uri="{FF2B5EF4-FFF2-40B4-BE49-F238E27FC236}">
              <a16:creationId xmlns:a16="http://schemas.microsoft.com/office/drawing/2014/main" id="{00000000-0008-0000-0500-000057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963900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672" name="Object -1007" hidden="1">
          <a:extLst>
            <a:ext uri="{FF2B5EF4-FFF2-40B4-BE49-F238E27FC236}">
              <a16:creationId xmlns:a16="http://schemas.microsoft.com/office/drawing/2014/main" id="{00000000-0008-0000-0500-000058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963900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673" name="Object -1006" hidden="1">
          <a:extLst>
            <a:ext uri="{FF2B5EF4-FFF2-40B4-BE49-F238E27FC236}">
              <a16:creationId xmlns:a16="http://schemas.microsoft.com/office/drawing/2014/main" id="{00000000-0008-0000-0500-000059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963900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674" name="Object -1005" hidden="1">
          <a:extLst>
            <a:ext uri="{FF2B5EF4-FFF2-40B4-BE49-F238E27FC236}">
              <a16:creationId xmlns:a16="http://schemas.microsoft.com/office/drawing/2014/main" id="{00000000-0008-0000-0500-00005A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5963900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675" name="Object -1022" hidden="1">
          <a:extLst>
            <a:ext uri="{FF2B5EF4-FFF2-40B4-BE49-F238E27FC236}">
              <a16:creationId xmlns:a16="http://schemas.microsoft.com/office/drawing/2014/main" id="{00000000-0008-0000-0500-00005B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676" name="Object -1021" hidden="1">
          <a:extLst>
            <a:ext uri="{FF2B5EF4-FFF2-40B4-BE49-F238E27FC236}">
              <a16:creationId xmlns:a16="http://schemas.microsoft.com/office/drawing/2014/main" id="{00000000-0008-0000-0500-00005C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677" name="Object -1020" hidden="1">
          <a:extLst>
            <a:ext uri="{FF2B5EF4-FFF2-40B4-BE49-F238E27FC236}">
              <a16:creationId xmlns:a16="http://schemas.microsoft.com/office/drawing/2014/main" id="{00000000-0008-0000-0500-00005D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678" name="Object -1019" hidden="1">
          <a:extLst>
            <a:ext uri="{FF2B5EF4-FFF2-40B4-BE49-F238E27FC236}">
              <a16:creationId xmlns:a16="http://schemas.microsoft.com/office/drawing/2014/main" id="{00000000-0008-0000-0500-00005E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679" name="Object -1018" hidden="1">
          <a:extLst>
            <a:ext uri="{FF2B5EF4-FFF2-40B4-BE49-F238E27FC236}">
              <a16:creationId xmlns:a16="http://schemas.microsoft.com/office/drawing/2014/main" id="{00000000-0008-0000-0500-00005F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680" name="Object -1017" hidden="1">
          <a:extLst>
            <a:ext uri="{FF2B5EF4-FFF2-40B4-BE49-F238E27FC236}">
              <a16:creationId xmlns:a16="http://schemas.microsoft.com/office/drawing/2014/main" id="{00000000-0008-0000-0500-000060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681" name="Object -1016" hidden="1">
          <a:extLst>
            <a:ext uri="{FF2B5EF4-FFF2-40B4-BE49-F238E27FC236}">
              <a16:creationId xmlns:a16="http://schemas.microsoft.com/office/drawing/2014/main" id="{00000000-0008-0000-0500-000061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682" name="Object -1013" hidden="1">
          <a:extLst>
            <a:ext uri="{FF2B5EF4-FFF2-40B4-BE49-F238E27FC236}">
              <a16:creationId xmlns:a16="http://schemas.microsoft.com/office/drawing/2014/main" id="{00000000-0008-0000-0500-000062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135350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683" name="Object -1012" hidden="1">
          <a:extLst>
            <a:ext uri="{FF2B5EF4-FFF2-40B4-BE49-F238E27FC236}">
              <a16:creationId xmlns:a16="http://schemas.microsoft.com/office/drawing/2014/main" id="{00000000-0008-0000-0500-000063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135350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684" name="Object -1011" hidden="1">
          <a:extLst>
            <a:ext uri="{FF2B5EF4-FFF2-40B4-BE49-F238E27FC236}">
              <a16:creationId xmlns:a16="http://schemas.microsoft.com/office/drawing/2014/main" id="{00000000-0008-0000-0500-000064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135350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685" name="Object -1010" hidden="1">
          <a:extLst>
            <a:ext uri="{FF2B5EF4-FFF2-40B4-BE49-F238E27FC236}">
              <a16:creationId xmlns:a16="http://schemas.microsoft.com/office/drawing/2014/main" id="{00000000-0008-0000-0500-000065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135350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686" name="Object -1009" hidden="1">
          <a:extLst>
            <a:ext uri="{FF2B5EF4-FFF2-40B4-BE49-F238E27FC236}">
              <a16:creationId xmlns:a16="http://schemas.microsoft.com/office/drawing/2014/main" id="{00000000-0008-0000-0500-000066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135350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687" name="Object -1008" hidden="1">
          <a:extLst>
            <a:ext uri="{FF2B5EF4-FFF2-40B4-BE49-F238E27FC236}">
              <a16:creationId xmlns:a16="http://schemas.microsoft.com/office/drawing/2014/main" id="{00000000-0008-0000-0500-000067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135350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688" name="Object -1007" hidden="1">
          <a:extLst>
            <a:ext uri="{FF2B5EF4-FFF2-40B4-BE49-F238E27FC236}">
              <a16:creationId xmlns:a16="http://schemas.microsoft.com/office/drawing/2014/main" id="{00000000-0008-0000-0500-000068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135350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689" name="Object -1006" hidden="1">
          <a:extLst>
            <a:ext uri="{FF2B5EF4-FFF2-40B4-BE49-F238E27FC236}">
              <a16:creationId xmlns:a16="http://schemas.microsoft.com/office/drawing/2014/main" id="{00000000-0008-0000-0500-000069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135350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690" name="Object -1005" hidden="1">
          <a:extLst>
            <a:ext uri="{FF2B5EF4-FFF2-40B4-BE49-F238E27FC236}">
              <a16:creationId xmlns:a16="http://schemas.microsoft.com/office/drawing/2014/main" id="{00000000-0008-0000-0500-00006A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135350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691" name="Object -1022" hidden="1">
          <a:extLst>
            <a:ext uri="{FF2B5EF4-FFF2-40B4-BE49-F238E27FC236}">
              <a16:creationId xmlns:a16="http://schemas.microsoft.com/office/drawing/2014/main" id="{00000000-0008-0000-0500-00006B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692" name="Object -1021" hidden="1">
          <a:extLst>
            <a:ext uri="{FF2B5EF4-FFF2-40B4-BE49-F238E27FC236}">
              <a16:creationId xmlns:a16="http://schemas.microsoft.com/office/drawing/2014/main" id="{00000000-0008-0000-0500-00006C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693" name="Object -1020" hidden="1">
          <a:extLst>
            <a:ext uri="{FF2B5EF4-FFF2-40B4-BE49-F238E27FC236}">
              <a16:creationId xmlns:a16="http://schemas.microsoft.com/office/drawing/2014/main" id="{00000000-0008-0000-0500-00006D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694" name="Object -1019" hidden="1">
          <a:extLst>
            <a:ext uri="{FF2B5EF4-FFF2-40B4-BE49-F238E27FC236}">
              <a16:creationId xmlns:a16="http://schemas.microsoft.com/office/drawing/2014/main" id="{00000000-0008-0000-0500-00006E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695" name="Object -1018" hidden="1">
          <a:extLst>
            <a:ext uri="{FF2B5EF4-FFF2-40B4-BE49-F238E27FC236}">
              <a16:creationId xmlns:a16="http://schemas.microsoft.com/office/drawing/2014/main" id="{00000000-0008-0000-0500-00006F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696" name="Object -1017" hidden="1">
          <a:extLst>
            <a:ext uri="{FF2B5EF4-FFF2-40B4-BE49-F238E27FC236}">
              <a16:creationId xmlns:a16="http://schemas.microsoft.com/office/drawing/2014/main" id="{00000000-0008-0000-0500-000070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697" name="Object -1016" hidden="1">
          <a:extLst>
            <a:ext uri="{FF2B5EF4-FFF2-40B4-BE49-F238E27FC236}">
              <a16:creationId xmlns:a16="http://schemas.microsoft.com/office/drawing/2014/main" id="{00000000-0008-0000-0500-000071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698" name="Object -1013" hidden="1">
          <a:extLst>
            <a:ext uri="{FF2B5EF4-FFF2-40B4-BE49-F238E27FC236}">
              <a16:creationId xmlns:a16="http://schemas.microsoft.com/office/drawing/2014/main" id="{00000000-0008-0000-0500-000072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135350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699" name="Object -1012" hidden="1">
          <a:extLst>
            <a:ext uri="{FF2B5EF4-FFF2-40B4-BE49-F238E27FC236}">
              <a16:creationId xmlns:a16="http://schemas.microsoft.com/office/drawing/2014/main" id="{00000000-0008-0000-0500-000073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135350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700" name="Object -1011" hidden="1">
          <a:extLst>
            <a:ext uri="{FF2B5EF4-FFF2-40B4-BE49-F238E27FC236}">
              <a16:creationId xmlns:a16="http://schemas.microsoft.com/office/drawing/2014/main" id="{00000000-0008-0000-0500-000074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135350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701" name="Object -1010" hidden="1">
          <a:extLst>
            <a:ext uri="{FF2B5EF4-FFF2-40B4-BE49-F238E27FC236}">
              <a16:creationId xmlns:a16="http://schemas.microsoft.com/office/drawing/2014/main" id="{00000000-0008-0000-0500-000075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135350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702" name="Object -1009" hidden="1">
          <a:extLst>
            <a:ext uri="{FF2B5EF4-FFF2-40B4-BE49-F238E27FC236}">
              <a16:creationId xmlns:a16="http://schemas.microsoft.com/office/drawing/2014/main" id="{00000000-0008-0000-0500-000076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135350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703" name="Object -1008" hidden="1">
          <a:extLst>
            <a:ext uri="{FF2B5EF4-FFF2-40B4-BE49-F238E27FC236}">
              <a16:creationId xmlns:a16="http://schemas.microsoft.com/office/drawing/2014/main" id="{00000000-0008-0000-0500-000077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135350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704" name="Object -1007" hidden="1">
          <a:extLst>
            <a:ext uri="{FF2B5EF4-FFF2-40B4-BE49-F238E27FC236}">
              <a16:creationId xmlns:a16="http://schemas.microsoft.com/office/drawing/2014/main" id="{00000000-0008-0000-0500-000078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135350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705" name="Object -1006" hidden="1">
          <a:extLst>
            <a:ext uri="{FF2B5EF4-FFF2-40B4-BE49-F238E27FC236}">
              <a16:creationId xmlns:a16="http://schemas.microsoft.com/office/drawing/2014/main" id="{00000000-0008-0000-0500-000079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135350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706" name="Object -1005" hidden="1">
          <a:extLst>
            <a:ext uri="{FF2B5EF4-FFF2-40B4-BE49-F238E27FC236}">
              <a16:creationId xmlns:a16="http://schemas.microsoft.com/office/drawing/2014/main" id="{00000000-0008-0000-0500-00007A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135350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707" name="Object -1022" hidden="1">
          <a:extLst>
            <a:ext uri="{FF2B5EF4-FFF2-40B4-BE49-F238E27FC236}">
              <a16:creationId xmlns:a16="http://schemas.microsoft.com/office/drawing/2014/main" id="{00000000-0008-0000-0500-00007B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708" name="Object -1021" hidden="1">
          <a:extLst>
            <a:ext uri="{FF2B5EF4-FFF2-40B4-BE49-F238E27FC236}">
              <a16:creationId xmlns:a16="http://schemas.microsoft.com/office/drawing/2014/main" id="{00000000-0008-0000-0500-00007C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709" name="Object -1020" hidden="1">
          <a:extLst>
            <a:ext uri="{FF2B5EF4-FFF2-40B4-BE49-F238E27FC236}">
              <a16:creationId xmlns:a16="http://schemas.microsoft.com/office/drawing/2014/main" id="{00000000-0008-0000-0500-00007D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710" name="Object -1019" hidden="1">
          <a:extLst>
            <a:ext uri="{FF2B5EF4-FFF2-40B4-BE49-F238E27FC236}">
              <a16:creationId xmlns:a16="http://schemas.microsoft.com/office/drawing/2014/main" id="{00000000-0008-0000-0500-00007E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711" name="Object -1018" hidden="1">
          <a:extLst>
            <a:ext uri="{FF2B5EF4-FFF2-40B4-BE49-F238E27FC236}">
              <a16:creationId xmlns:a16="http://schemas.microsoft.com/office/drawing/2014/main" id="{00000000-0008-0000-0500-00007F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712" name="Object -1017" hidden="1">
          <a:extLst>
            <a:ext uri="{FF2B5EF4-FFF2-40B4-BE49-F238E27FC236}">
              <a16:creationId xmlns:a16="http://schemas.microsoft.com/office/drawing/2014/main" id="{00000000-0008-0000-0500-000080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713" name="Object -1016" hidden="1">
          <a:extLst>
            <a:ext uri="{FF2B5EF4-FFF2-40B4-BE49-F238E27FC236}">
              <a16:creationId xmlns:a16="http://schemas.microsoft.com/office/drawing/2014/main" id="{00000000-0008-0000-0500-000081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714" name="Object -1013" hidden="1">
          <a:extLst>
            <a:ext uri="{FF2B5EF4-FFF2-40B4-BE49-F238E27FC236}">
              <a16:creationId xmlns:a16="http://schemas.microsoft.com/office/drawing/2014/main" id="{00000000-0008-0000-0500-000082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135350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715" name="Object -1012" hidden="1">
          <a:extLst>
            <a:ext uri="{FF2B5EF4-FFF2-40B4-BE49-F238E27FC236}">
              <a16:creationId xmlns:a16="http://schemas.microsoft.com/office/drawing/2014/main" id="{00000000-0008-0000-0500-000083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135350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716" name="Object -1011" hidden="1">
          <a:extLst>
            <a:ext uri="{FF2B5EF4-FFF2-40B4-BE49-F238E27FC236}">
              <a16:creationId xmlns:a16="http://schemas.microsoft.com/office/drawing/2014/main" id="{00000000-0008-0000-0500-000084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135350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717" name="Object -1010" hidden="1">
          <a:extLst>
            <a:ext uri="{FF2B5EF4-FFF2-40B4-BE49-F238E27FC236}">
              <a16:creationId xmlns:a16="http://schemas.microsoft.com/office/drawing/2014/main" id="{00000000-0008-0000-0500-000085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135350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718" name="Object -1009" hidden="1">
          <a:extLst>
            <a:ext uri="{FF2B5EF4-FFF2-40B4-BE49-F238E27FC236}">
              <a16:creationId xmlns:a16="http://schemas.microsoft.com/office/drawing/2014/main" id="{00000000-0008-0000-0500-000086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135350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719" name="Object -1008" hidden="1">
          <a:extLst>
            <a:ext uri="{FF2B5EF4-FFF2-40B4-BE49-F238E27FC236}">
              <a16:creationId xmlns:a16="http://schemas.microsoft.com/office/drawing/2014/main" id="{00000000-0008-0000-0500-000087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135350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720" name="Object -1007" hidden="1">
          <a:extLst>
            <a:ext uri="{FF2B5EF4-FFF2-40B4-BE49-F238E27FC236}">
              <a16:creationId xmlns:a16="http://schemas.microsoft.com/office/drawing/2014/main" id="{00000000-0008-0000-0500-000088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135350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721" name="Object -1006" hidden="1">
          <a:extLst>
            <a:ext uri="{FF2B5EF4-FFF2-40B4-BE49-F238E27FC236}">
              <a16:creationId xmlns:a16="http://schemas.microsoft.com/office/drawing/2014/main" id="{00000000-0008-0000-0500-000089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135350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722" name="Object -1005" hidden="1">
          <a:extLst>
            <a:ext uri="{FF2B5EF4-FFF2-40B4-BE49-F238E27FC236}">
              <a16:creationId xmlns:a16="http://schemas.microsoft.com/office/drawing/2014/main" id="{00000000-0008-0000-0500-00008A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135350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723" name="Object -1022" hidden="1">
          <a:extLst>
            <a:ext uri="{FF2B5EF4-FFF2-40B4-BE49-F238E27FC236}">
              <a16:creationId xmlns:a16="http://schemas.microsoft.com/office/drawing/2014/main" id="{00000000-0008-0000-0500-00008B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724" name="Object -1021" hidden="1">
          <a:extLst>
            <a:ext uri="{FF2B5EF4-FFF2-40B4-BE49-F238E27FC236}">
              <a16:creationId xmlns:a16="http://schemas.microsoft.com/office/drawing/2014/main" id="{00000000-0008-0000-0500-00008C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725" name="Object -1020" hidden="1">
          <a:extLst>
            <a:ext uri="{FF2B5EF4-FFF2-40B4-BE49-F238E27FC236}">
              <a16:creationId xmlns:a16="http://schemas.microsoft.com/office/drawing/2014/main" id="{00000000-0008-0000-0500-00008D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726" name="Object -1019" hidden="1">
          <a:extLst>
            <a:ext uri="{FF2B5EF4-FFF2-40B4-BE49-F238E27FC236}">
              <a16:creationId xmlns:a16="http://schemas.microsoft.com/office/drawing/2014/main" id="{00000000-0008-0000-0500-00008E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727" name="Object -1018" hidden="1">
          <a:extLst>
            <a:ext uri="{FF2B5EF4-FFF2-40B4-BE49-F238E27FC236}">
              <a16:creationId xmlns:a16="http://schemas.microsoft.com/office/drawing/2014/main" id="{00000000-0008-0000-0500-00008F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728" name="Object -1017" hidden="1">
          <a:extLst>
            <a:ext uri="{FF2B5EF4-FFF2-40B4-BE49-F238E27FC236}">
              <a16:creationId xmlns:a16="http://schemas.microsoft.com/office/drawing/2014/main" id="{00000000-0008-0000-0500-000090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729" name="Object -1016" hidden="1">
          <a:extLst>
            <a:ext uri="{FF2B5EF4-FFF2-40B4-BE49-F238E27FC236}">
              <a16:creationId xmlns:a16="http://schemas.microsoft.com/office/drawing/2014/main" id="{00000000-0008-0000-0500-000091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730" name="Object -1013" hidden="1">
          <a:extLst>
            <a:ext uri="{FF2B5EF4-FFF2-40B4-BE49-F238E27FC236}">
              <a16:creationId xmlns:a16="http://schemas.microsoft.com/office/drawing/2014/main" id="{00000000-0008-0000-0500-000092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535400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731" name="Object -1012" hidden="1">
          <a:extLst>
            <a:ext uri="{FF2B5EF4-FFF2-40B4-BE49-F238E27FC236}">
              <a16:creationId xmlns:a16="http://schemas.microsoft.com/office/drawing/2014/main" id="{00000000-0008-0000-0500-000093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535400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732" name="Object -1011" hidden="1">
          <a:extLst>
            <a:ext uri="{FF2B5EF4-FFF2-40B4-BE49-F238E27FC236}">
              <a16:creationId xmlns:a16="http://schemas.microsoft.com/office/drawing/2014/main" id="{00000000-0008-0000-0500-000094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535400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733" name="Object -1010" hidden="1">
          <a:extLst>
            <a:ext uri="{FF2B5EF4-FFF2-40B4-BE49-F238E27FC236}">
              <a16:creationId xmlns:a16="http://schemas.microsoft.com/office/drawing/2014/main" id="{00000000-0008-0000-0500-000095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535400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734" name="Object -1009" hidden="1">
          <a:extLst>
            <a:ext uri="{FF2B5EF4-FFF2-40B4-BE49-F238E27FC236}">
              <a16:creationId xmlns:a16="http://schemas.microsoft.com/office/drawing/2014/main" id="{00000000-0008-0000-0500-000096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535400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735" name="Object -1008" hidden="1">
          <a:extLst>
            <a:ext uri="{FF2B5EF4-FFF2-40B4-BE49-F238E27FC236}">
              <a16:creationId xmlns:a16="http://schemas.microsoft.com/office/drawing/2014/main" id="{00000000-0008-0000-0500-000097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535400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736" name="Object -1007" hidden="1">
          <a:extLst>
            <a:ext uri="{FF2B5EF4-FFF2-40B4-BE49-F238E27FC236}">
              <a16:creationId xmlns:a16="http://schemas.microsoft.com/office/drawing/2014/main" id="{00000000-0008-0000-0500-000098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535400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737" name="Object -1006" hidden="1">
          <a:extLst>
            <a:ext uri="{FF2B5EF4-FFF2-40B4-BE49-F238E27FC236}">
              <a16:creationId xmlns:a16="http://schemas.microsoft.com/office/drawing/2014/main" id="{00000000-0008-0000-0500-000099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535400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738" name="Object -1005" hidden="1">
          <a:extLst>
            <a:ext uri="{FF2B5EF4-FFF2-40B4-BE49-F238E27FC236}">
              <a16:creationId xmlns:a16="http://schemas.microsoft.com/office/drawing/2014/main" id="{00000000-0008-0000-0500-00009A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535400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739" name="Object -1022" hidden="1">
          <a:extLst>
            <a:ext uri="{FF2B5EF4-FFF2-40B4-BE49-F238E27FC236}">
              <a16:creationId xmlns:a16="http://schemas.microsoft.com/office/drawing/2014/main" id="{00000000-0008-0000-0500-00009B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740" name="Object -1021" hidden="1">
          <a:extLst>
            <a:ext uri="{FF2B5EF4-FFF2-40B4-BE49-F238E27FC236}">
              <a16:creationId xmlns:a16="http://schemas.microsoft.com/office/drawing/2014/main" id="{00000000-0008-0000-0500-00009C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741" name="Object -1020" hidden="1">
          <a:extLst>
            <a:ext uri="{FF2B5EF4-FFF2-40B4-BE49-F238E27FC236}">
              <a16:creationId xmlns:a16="http://schemas.microsoft.com/office/drawing/2014/main" id="{00000000-0008-0000-0500-00009D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742" name="Object -1019" hidden="1">
          <a:extLst>
            <a:ext uri="{FF2B5EF4-FFF2-40B4-BE49-F238E27FC236}">
              <a16:creationId xmlns:a16="http://schemas.microsoft.com/office/drawing/2014/main" id="{00000000-0008-0000-0500-00009E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743" name="Object -1018" hidden="1">
          <a:extLst>
            <a:ext uri="{FF2B5EF4-FFF2-40B4-BE49-F238E27FC236}">
              <a16:creationId xmlns:a16="http://schemas.microsoft.com/office/drawing/2014/main" id="{00000000-0008-0000-0500-00009F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744" name="Object -1017" hidden="1">
          <a:extLst>
            <a:ext uri="{FF2B5EF4-FFF2-40B4-BE49-F238E27FC236}">
              <a16:creationId xmlns:a16="http://schemas.microsoft.com/office/drawing/2014/main" id="{00000000-0008-0000-0500-0000A0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745" name="Object -1016" hidden="1">
          <a:extLst>
            <a:ext uri="{FF2B5EF4-FFF2-40B4-BE49-F238E27FC236}">
              <a16:creationId xmlns:a16="http://schemas.microsoft.com/office/drawing/2014/main" id="{00000000-0008-0000-0500-0000A1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746" name="Object -1013" hidden="1">
          <a:extLst>
            <a:ext uri="{FF2B5EF4-FFF2-40B4-BE49-F238E27FC236}">
              <a16:creationId xmlns:a16="http://schemas.microsoft.com/office/drawing/2014/main" id="{00000000-0008-0000-0500-0000A2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535400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747" name="Object -1012" hidden="1">
          <a:extLst>
            <a:ext uri="{FF2B5EF4-FFF2-40B4-BE49-F238E27FC236}">
              <a16:creationId xmlns:a16="http://schemas.microsoft.com/office/drawing/2014/main" id="{00000000-0008-0000-0500-0000A3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535400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748" name="Object -1011" hidden="1">
          <a:extLst>
            <a:ext uri="{FF2B5EF4-FFF2-40B4-BE49-F238E27FC236}">
              <a16:creationId xmlns:a16="http://schemas.microsoft.com/office/drawing/2014/main" id="{00000000-0008-0000-0500-0000A4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535400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749" name="Object -1010" hidden="1">
          <a:extLst>
            <a:ext uri="{FF2B5EF4-FFF2-40B4-BE49-F238E27FC236}">
              <a16:creationId xmlns:a16="http://schemas.microsoft.com/office/drawing/2014/main" id="{00000000-0008-0000-0500-0000A5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535400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750" name="Object -1009" hidden="1">
          <a:extLst>
            <a:ext uri="{FF2B5EF4-FFF2-40B4-BE49-F238E27FC236}">
              <a16:creationId xmlns:a16="http://schemas.microsoft.com/office/drawing/2014/main" id="{00000000-0008-0000-0500-0000A6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535400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751" name="Object -1008" hidden="1">
          <a:extLst>
            <a:ext uri="{FF2B5EF4-FFF2-40B4-BE49-F238E27FC236}">
              <a16:creationId xmlns:a16="http://schemas.microsoft.com/office/drawing/2014/main" id="{00000000-0008-0000-0500-0000A7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535400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752" name="Object -1007" hidden="1">
          <a:extLst>
            <a:ext uri="{FF2B5EF4-FFF2-40B4-BE49-F238E27FC236}">
              <a16:creationId xmlns:a16="http://schemas.microsoft.com/office/drawing/2014/main" id="{00000000-0008-0000-0500-0000A8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535400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753" name="Object -1006" hidden="1">
          <a:extLst>
            <a:ext uri="{FF2B5EF4-FFF2-40B4-BE49-F238E27FC236}">
              <a16:creationId xmlns:a16="http://schemas.microsoft.com/office/drawing/2014/main" id="{00000000-0008-0000-0500-0000A9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535400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754" name="Object -1005" hidden="1">
          <a:extLst>
            <a:ext uri="{FF2B5EF4-FFF2-40B4-BE49-F238E27FC236}">
              <a16:creationId xmlns:a16="http://schemas.microsoft.com/office/drawing/2014/main" id="{00000000-0008-0000-0500-0000AA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535400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755" name="Object -1022" hidden="1">
          <a:extLst>
            <a:ext uri="{FF2B5EF4-FFF2-40B4-BE49-F238E27FC236}">
              <a16:creationId xmlns:a16="http://schemas.microsoft.com/office/drawing/2014/main" id="{00000000-0008-0000-0500-0000AB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756" name="Object -1021" hidden="1">
          <a:extLst>
            <a:ext uri="{FF2B5EF4-FFF2-40B4-BE49-F238E27FC236}">
              <a16:creationId xmlns:a16="http://schemas.microsoft.com/office/drawing/2014/main" id="{00000000-0008-0000-0500-0000AC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757" name="Object -1020" hidden="1">
          <a:extLst>
            <a:ext uri="{FF2B5EF4-FFF2-40B4-BE49-F238E27FC236}">
              <a16:creationId xmlns:a16="http://schemas.microsoft.com/office/drawing/2014/main" id="{00000000-0008-0000-0500-0000AD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758" name="Object -1019" hidden="1">
          <a:extLst>
            <a:ext uri="{FF2B5EF4-FFF2-40B4-BE49-F238E27FC236}">
              <a16:creationId xmlns:a16="http://schemas.microsoft.com/office/drawing/2014/main" id="{00000000-0008-0000-0500-0000AE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759" name="Object -1018" hidden="1">
          <a:extLst>
            <a:ext uri="{FF2B5EF4-FFF2-40B4-BE49-F238E27FC236}">
              <a16:creationId xmlns:a16="http://schemas.microsoft.com/office/drawing/2014/main" id="{00000000-0008-0000-0500-0000AF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760" name="Object -1017" hidden="1">
          <a:extLst>
            <a:ext uri="{FF2B5EF4-FFF2-40B4-BE49-F238E27FC236}">
              <a16:creationId xmlns:a16="http://schemas.microsoft.com/office/drawing/2014/main" id="{00000000-0008-0000-0500-0000B0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761" name="Object -1016" hidden="1">
          <a:extLst>
            <a:ext uri="{FF2B5EF4-FFF2-40B4-BE49-F238E27FC236}">
              <a16:creationId xmlns:a16="http://schemas.microsoft.com/office/drawing/2014/main" id="{00000000-0008-0000-0500-0000B1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762" name="Object -1013" hidden="1">
          <a:extLst>
            <a:ext uri="{FF2B5EF4-FFF2-40B4-BE49-F238E27FC236}">
              <a16:creationId xmlns:a16="http://schemas.microsoft.com/office/drawing/2014/main" id="{00000000-0008-0000-0500-0000B2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535400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763" name="Object -1012" hidden="1">
          <a:extLst>
            <a:ext uri="{FF2B5EF4-FFF2-40B4-BE49-F238E27FC236}">
              <a16:creationId xmlns:a16="http://schemas.microsoft.com/office/drawing/2014/main" id="{00000000-0008-0000-0500-0000B3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535400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764" name="Object -1011" hidden="1">
          <a:extLst>
            <a:ext uri="{FF2B5EF4-FFF2-40B4-BE49-F238E27FC236}">
              <a16:creationId xmlns:a16="http://schemas.microsoft.com/office/drawing/2014/main" id="{00000000-0008-0000-0500-0000B4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535400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765" name="Object -1010" hidden="1">
          <a:extLst>
            <a:ext uri="{FF2B5EF4-FFF2-40B4-BE49-F238E27FC236}">
              <a16:creationId xmlns:a16="http://schemas.microsoft.com/office/drawing/2014/main" id="{00000000-0008-0000-0500-0000B5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535400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766" name="Object -1009" hidden="1">
          <a:extLst>
            <a:ext uri="{FF2B5EF4-FFF2-40B4-BE49-F238E27FC236}">
              <a16:creationId xmlns:a16="http://schemas.microsoft.com/office/drawing/2014/main" id="{00000000-0008-0000-0500-0000B6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535400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767" name="Object -1008" hidden="1">
          <a:extLst>
            <a:ext uri="{FF2B5EF4-FFF2-40B4-BE49-F238E27FC236}">
              <a16:creationId xmlns:a16="http://schemas.microsoft.com/office/drawing/2014/main" id="{00000000-0008-0000-0500-0000B7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535400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768" name="Object -1007" hidden="1">
          <a:extLst>
            <a:ext uri="{FF2B5EF4-FFF2-40B4-BE49-F238E27FC236}">
              <a16:creationId xmlns:a16="http://schemas.microsoft.com/office/drawing/2014/main" id="{00000000-0008-0000-0500-0000B8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535400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769" name="Object -1006" hidden="1">
          <a:extLst>
            <a:ext uri="{FF2B5EF4-FFF2-40B4-BE49-F238E27FC236}">
              <a16:creationId xmlns:a16="http://schemas.microsoft.com/office/drawing/2014/main" id="{00000000-0008-0000-0500-0000B9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535400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770" name="Object -1005" hidden="1">
          <a:extLst>
            <a:ext uri="{FF2B5EF4-FFF2-40B4-BE49-F238E27FC236}">
              <a16:creationId xmlns:a16="http://schemas.microsoft.com/office/drawing/2014/main" id="{00000000-0008-0000-0500-0000BA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535400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771" name="Object -1022" hidden="1">
          <a:extLst>
            <a:ext uri="{FF2B5EF4-FFF2-40B4-BE49-F238E27FC236}">
              <a16:creationId xmlns:a16="http://schemas.microsoft.com/office/drawing/2014/main" id="{00000000-0008-0000-0500-0000BB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772" name="Object -1021" hidden="1">
          <a:extLst>
            <a:ext uri="{FF2B5EF4-FFF2-40B4-BE49-F238E27FC236}">
              <a16:creationId xmlns:a16="http://schemas.microsoft.com/office/drawing/2014/main" id="{00000000-0008-0000-0500-0000BC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773" name="Object -1020" hidden="1">
          <a:extLst>
            <a:ext uri="{FF2B5EF4-FFF2-40B4-BE49-F238E27FC236}">
              <a16:creationId xmlns:a16="http://schemas.microsoft.com/office/drawing/2014/main" id="{00000000-0008-0000-0500-0000BD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774" name="Object -1019" hidden="1">
          <a:extLst>
            <a:ext uri="{FF2B5EF4-FFF2-40B4-BE49-F238E27FC236}">
              <a16:creationId xmlns:a16="http://schemas.microsoft.com/office/drawing/2014/main" id="{00000000-0008-0000-0500-0000BE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775" name="Object -1018" hidden="1">
          <a:extLst>
            <a:ext uri="{FF2B5EF4-FFF2-40B4-BE49-F238E27FC236}">
              <a16:creationId xmlns:a16="http://schemas.microsoft.com/office/drawing/2014/main" id="{00000000-0008-0000-0500-0000BF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776" name="Object -1017" hidden="1">
          <a:extLst>
            <a:ext uri="{FF2B5EF4-FFF2-40B4-BE49-F238E27FC236}">
              <a16:creationId xmlns:a16="http://schemas.microsoft.com/office/drawing/2014/main" id="{00000000-0008-0000-0500-0000C0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777" name="Object -1016" hidden="1">
          <a:extLst>
            <a:ext uri="{FF2B5EF4-FFF2-40B4-BE49-F238E27FC236}">
              <a16:creationId xmlns:a16="http://schemas.microsoft.com/office/drawing/2014/main" id="{00000000-0008-0000-0500-0000C1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778" name="Object -1013" hidden="1">
          <a:extLst>
            <a:ext uri="{FF2B5EF4-FFF2-40B4-BE49-F238E27FC236}">
              <a16:creationId xmlns:a16="http://schemas.microsoft.com/office/drawing/2014/main" id="{00000000-0008-0000-0500-0000C2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440150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779" name="Object -1012" hidden="1">
          <a:extLst>
            <a:ext uri="{FF2B5EF4-FFF2-40B4-BE49-F238E27FC236}">
              <a16:creationId xmlns:a16="http://schemas.microsoft.com/office/drawing/2014/main" id="{00000000-0008-0000-0500-0000C3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440150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780" name="Object -1011" hidden="1">
          <a:extLst>
            <a:ext uri="{FF2B5EF4-FFF2-40B4-BE49-F238E27FC236}">
              <a16:creationId xmlns:a16="http://schemas.microsoft.com/office/drawing/2014/main" id="{00000000-0008-0000-0500-0000C4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440150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781" name="Object -1010" hidden="1">
          <a:extLst>
            <a:ext uri="{FF2B5EF4-FFF2-40B4-BE49-F238E27FC236}">
              <a16:creationId xmlns:a16="http://schemas.microsoft.com/office/drawing/2014/main" id="{00000000-0008-0000-0500-0000C5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440150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782" name="Object -1009" hidden="1">
          <a:extLst>
            <a:ext uri="{FF2B5EF4-FFF2-40B4-BE49-F238E27FC236}">
              <a16:creationId xmlns:a16="http://schemas.microsoft.com/office/drawing/2014/main" id="{00000000-0008-0000-0500-0000C6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440150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783" name="Object -1008" hidden="1">
          <a:extLst>
            <a:ext uri="{FF2B5EF4-FFF2-40B4-BE49-F238E27FC236}">
              <a16:creationId xmlns:a16="http://schemas.microsoft.com/office/drawing/2014/main" id="{00000000-0008-0000-0500-0000C7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440150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784" name="Object -1007" hidden="1">
          <a:extLst>
            <a:ext uri="{FF2B5EF4-FFF2-40B4-BE49-F238E27FC236}">
              <a16:creationId xmlns:a16="http://schemas.microsoft.com/office/drawing/2014/main" id="{00000000-0008-0000-0500-0000C8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440150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785" name="Object -1006" hidden="1">
          <a:extLst>
            <a:ext uri="{FF2B5EF4-FFF2-40B4-BE49-F238E27FC236}">
              <a16:creationId xmlns:a16="http://schemas.microsoft.com/office/drawing/2014/main" id="{00000000-0008-0000-0500-0000C9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440150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786" name="Object -1005" hidden="1">
          <a:extLst>
            <a:ext uri="{FF2B5EF4-FFF2-40B4-BE49-F238E27FC236}">
              <a16:creationId xmlns:a16="http://schemas.microsoft.com/office/drawing/2014/main" id="{00000000-0008-0000-0500-0000CA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440150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3810</xdr:colOff>
      <xdr:row>28</xdr:row>
      <xdr:rowOff>0</xdr:rowOff>
    </xdr:from>
    <xdr:to>
      <xdr:col>12</xdr:col>
      <xdr:colOff>163830</xdr:colOff>
      <xdr:row>28</xdr:row>
      <xdr:rowOff>0</xdr:rowOff>
    </xdr:to>
    <xdr:pic>
      <xdr:nvPicPr>
        <xdr:cNvPr id="3787" name="Object -1022" hidden="1">
          <a:extLst>
            <a:ext uri="{FF2B5EF4-FFF2-40B4-BE49-F238E27FC236}">
              <a16:creationId xmlns:a16="http://schemas.microsoft.com/office/drawing/2014/main" id="{00000000-0008-0000-0500-0000CB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2960" y="5245100"/>
          <a:ext cx="16002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3810</xdr:colOff>
      <xdr:row>28</xdr:row>
      <xdr:rowOff>0</xdr:rowOff>
    </xdr:from>
    <xdr:to>
      <xdr:col>12</xdr:col>
      <xdr:colOff>163830</xdr:colOff>
      <xdr:row>28</xdr:row>
      <xdr:rowOff>0</xdr:rowOff>
    </xdr:to>
    <xdr:pic>
      <xdr:nvPicPr>
        <xdr:cNvPr id="3788" name="Object -1021" hidden="1">
          <a:extLst>
            <a:ext uri="{FF2B5EF4-FFF2-40B4-BE49-F238E27FC236}">
              <a16:creationId xmlns:a16="http://schemas.microsoft.com/office/drawing/2014/main" id="{00000000-0008-0000-0500-0000CC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2960" y="5245100"/>
          <a:ext cx="16002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3810</xdr:colOff>
      <xdr:row>28</xdr:row>
      <xdr:rowOff>0</xdr:rowOff>
    </xdr:from>
    <xdr:to>
      <xdr:col>12</xdr:col>
      <xdr:colOff>163830</xdr:colOff>
      <xdr:row>28</xdr:row>
      <xdr:rowOff>0</xdr:rowOff>
    </xdr:to>
    <xdr:pic>
      <xdr:nvPicPr>
        <xdr:cNvPr id="3789" name="Object -1020" hidden="1">
          <a:extLst>
            <a:ext uri="{FF2B5EF4-FFF2-40B4-BE49-F238E27FC236}">
              <a16:creationId xmlns:a16="http://schemas.microsoft.com/office/drawing/2014/main" id="{00000000-0008-0000-0500-0000CD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2960" y="5245100"/>
          <a:ext cx="16002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3810</xdr:colOff>
      <xdr:row>28</xdr:row>
      <xdr:rowOff>0</xdr:rowOff>
    </xdr:from>
    <xdr:to>
      <xdr:col>12</xdr:col>
      <xdr:colOff>163830</xdr:colOff>
      <xdr:row>28</xdr:row>
      <xdr:rowOff>0</xdr:rowOff>
    </xdr:to>
    <xdr:pic>
      <xdr:nvPicPr>
        <xdr:cNvPr id="3790" name="Object -1019" hidden="1">
          <a:extLst>
            <a:ext uri="{FF2B5EF4-FFF2-40B4-BE49-F238E27FC236}">
              <a16:creationId xmlns:a16="http://schemas.microsoft.com/office/drawing/2014/main" id="{00000000-0008-0000-0500-0000CE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2960" y="5245100"/>
          <a:ext cx="16002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3810</xdr:colOff>
      <xdr:row>28</xdr:row>
      <xdr:rowOff>0</xdr:rowOff>
    </xdr:from>
    <xdr:to>
      <xdr:col>12</xdr:col>
      <xdr:colOff>163830</xdr:colOff>
      <xdr:row>28</xdr:row>
      <xdr:rowOff>0</xdr:rowOff>
    </xdr:to>
    <xdr:pic>
      <xdr:nvPicPr>
        <xdr:cNvPr id="3791" name="Object -1018" hidden="1">
          <a:extLst>
            <a:ext uri="{FF2B5EF4-FFF2-40B4-BE49-F238E27FC236}">
              <a16:creationId xmlns:a16="http://schemas.microsoft.com/office/drawing/2014/main" id="{00000000-0008-0000-0500-0000CF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2960" y="5245100"/>
          <a:ext cx="16002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3810</xdr:colOff>
      <xdr:row>28</xdr:row>
      <xdr:rowOff>0</xdr:rowOff>
    </xdr:from>
    <xdr:to>
      <xdr:col>12</xdr:col>
      <xdr:colOff>163830</xdr:colOff>
      <xdr:row>28</xdr:row>
      <xdr:rowOff>0</xdr:rowOff>
    </xdr:to>
    <xdr:pic>
      <xdr:nvPicPr>
        <xdr:cNvPr id="3792" name="Object -1017" hidden="1">
          <a:extLst>
            <a:ext uri="{FF2B5EF4-FFF2-40B4-BE49-F238E27FC236}">
              <a16:creationId xmlns:a16="http://schemas.microsoft.com/office/drawing/2014/main" id="{00000000-0008-0000-0500-0000D0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2960" y="5245100"/>
          <a:ext cx="16002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3810</xdr:colOff>
      <xdr:row>28</xdr:row>
      <xdr:rowOff>0</xdr:rowOff>
    </xdr:from>
    <xdr:to>
      <xdr:col>12</xdr:col>
      <xdr:colOff>163830</xdr:colOff>
      <xdr:row>28</xdr:row>
      <xdr:rowOff>0</xdr:rowOff>
    </xdr:to>
    <xdr:pic>
      <xdr:nvPicPr>
        <xdr:cNvPr id="3793" name="Object -1016" hidden="1">
          <a:extLst>
            <a:ext uri="{FF2B5EF4-FFF2-40B4-BE49-F238E27FC236}">
              <a16:creationId xmlns:a16="http://schemas.microsoft.com/office/drawing/2014/main" id="{00000000-0008-0000-0500-0000D1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2960" y="5245100"/>
          <a:ext cx="16002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3810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794" name="Object -1013" hidden="1">
          <a:extLst>
            <a:ext uri="{FF2B5EF4-FFF2-40B4-BE49-F238E27FC236}">
              <a16:creationId xmlns:a16="http://schemas.microsoft.com/office/drawing/2014/main" id="{00000000-0008-0000-0500-0000D2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54980" y="16302990"/>
          <a:ext cx="42672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3810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795" name="Object -1012" hidden="1">
          <a:extLst>
            <a:ext uri="{FF2B5EF4-FFF2-40B4-BE49-F238E27FC236}">
              <a16:creationId xmlns:a16="http://schemas.microsoft.com/office/drawing/2014/main" id="{00000000-0008-0000-0500-0000D3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54980" y="16302990"/>
          <a:ext cx="42672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3810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796" name="Object -1011" hidden="1">
          <a:extLst>
            <a:ext uri="{FF2B5EF4-FFF2-40B4-BE49-F238E27FC236}">
              <a16:creationId xmlns:a16="http://schemas.microsoft.com/office/drawing/2014/main" id="{00000000-0008-0000-0500-0000D4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54980" y="16302990"/>
          <a:ext cx="42672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3810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797" name="Object -1010" hidden="1">
          <a:extLst>
            <a:ext uri="{FF2B5EF4-FFF2-40B4-BE49-F238E27FC236}">
              <a16:creationId xmlns:a16="http://schemas.microsoft.com/office/drawing/2014/main" id="{00000000-0008-0000-0500-0000D5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54980" y="16302990"/>
          <a:ext cx="42672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3810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798" name="Object -1009" hidden="1">
          <a:extLst>
            <a:ext uri="{FF2B5EF4-FFF2-40B4-BE49-F238E27FC236}">
              <a16:creationId xmlns:a16="http://schemas.microsoft.com/office/drawing/2014/main" id="{00000000-0008-0000-0500-0000D6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54980" y="16302990"/>
          <a:ext cx="42672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3810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799" name="Object -1008" hidden="1">
          <a:extLst>
            <a:ext uri="{FF2B5EF4-FFF2-40B4-BE49-F238E27FC236}">
              <a16:creationId xmlns:a16="http://schemas.microsoft.com/office/drawing/2014/main" id="{00000000-0008-0000-0500-0000D7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54980" y="16302990"/>
          <a:ext cx="42672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3810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800" name="Object -1007" hidden="1">
          <a:extLst>
            <a:ext uri="{FF2B5EF4-FFF2-40B4-BE49-F238E27FC236}">
              <a16:creationId xmlns:a16="http://schemas.microsoft.com/office/drawing/2014/main" id="{00000000-0008-0000-0500-0000D8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54980" y="16302990"/>
          <a:ext cx="42672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3810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801" name="Object -1006" hidden="1">
          <a:extLst>
            <a:ext uri="{FF2B5EF4-FFF2-40B4-BE49-F238E27FC236}">
              <a16:creationId xmlns:a16="http://schemas.microsoft.com/office/drawing/2014/main" id="{00000000-0008-0000-0500-0000D9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54980" y="16302990"/>
          <a:ext cx="42672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3810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802" name="Object -1005" hidden="1">
          <a:extLst>
            <a:ext uri="{FF2B5EF4-FFF2-40B4-BE49-F238E27FC236}">
              <a16:creationId xmlns:a16="http://schemas.microsoft.com/office/drawing/2014/main" id="{00000000-0008-0000-0500-0000DA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54980" y="16302990"/>
          <a:ext cx="42672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11430</xdr:colOff>
      <xdr:row>28</xdr:row>
      <xdr:rowOff>0</xdr:rowOff>
    </xdr:from>
    <xdr:to>
      <xdr:col>12</xdr:col>
      <xdr:colOff>411480</xdr:colOff>
      <xdr:row>28</xdr:row>
      <xdr:rowOff>0</xdr:rowOff>
    </xdr:to>
    <xdr:pic>
      <xdr:nvPicPr>
        <xdr:cNvPr id="3803" name="Picture 16">
          <a:extLst>
            <a:ext uri="{FF2B5EF4-FFF2-40B4-BE49-F238E27FC236}">
              <a16:creationId xmlns:a16="http://schemas.microsoft.com/office/drawing/2014/main" id="{00000000-0008-0000-0500-0000DB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50580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11430</xdr:colOff>
      <xdr:row>28</xdr:row>
      <xdr:rowOff>0</xdr:rowOff>
    </xdr:from>
    <xdr:to>
      <xdr:col>12</xdr:col>
      <xdr:colOff>411480</xdr:colOff>
      <xdr:row>28</xdr:row>
      <xdr:rowOff>0</xdr:rowOff>
    </xdr:to>
    <xdr:pic>
      <xdr:nvPicPr>
        <xdr:cNvPr id="3804" name="Picture 15">
          <a:extLst>
            <a:ext uri="{FF2B5EF4-FFF2-40B4-BE49-F238E27FC236}">
              <a16:creationId xmlns:a16="http://schemas.microsoft.com/office/drawing/2014/main" id="{00000000-0008-0000-0500-0000DC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50580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11430</xdr:colOff>
      <xdr:row>28</xdr:row>
      <xdr:rowOff>0</xdr:rowOff>
    </xdr:from>
    <xdr:to>
      <xdr:col>12</xdr:col>
      <xdr:colOff>411480</xdr:colOff>
      <xdr:row>28</xdr:row>
      <xdr:rowOff>0</xdr:rowOff>
    </xdr:to>
    <xdr:pic>
      <xdr:nvPicPr>
        <xdr:cNvPr id="3805" name="Picture 14">
          <a:extLst>
            <a:ext uri="{FF2B5EF4-FFF2-40B4-BE49-F238E27FC236}">
              <a16:creationId xmlns:a16="http://schemas.microsoft.com/office/drawing/2014/main" id="{00000000-0008-0000-0500-0000DD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50580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11430</xdr:colOff>
      <xdr:row>28</xdr:row>
      <xdr:rowOff>0</xdr:rowOff>
    </xdr:from>
    <xdr:to>
      <xdr:col>12</xdr:col>
      <xdr:colOff>411480</xdr:colOff>
      <xdr:row>28</xdr:row>
      <xdr:rowOff>0</xdr:rowOff>
    </xdr:to>
    <xdr:pic>
      <xdr:nvPicPr>
        <xdr:cNvPr id="3806" name="Picture 13">
          <a:extLst>
            <a:ext uri="{FF2B5EF4-FFF2-40B4-BE49-F238E27FC236}">
              <a16:creationId xmlns:a16="http://schemas.microsoft.com/office/drawing/2014/main" id="{00000000-0008-0000-0500-0000DE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50580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11430</xdr:colOff>
      <xdr:row>28</xdr:row>
      <xdr:rowOff>0</xdr:rowOff>
    </xdr:from>
    <xdr:to>
      <xdr:col>12</xdr:col>
      <xdr:colOff>411480</xdr:colOff>
      <xdr:row>28</xdr:row>
      <xdr:rowOff>0</xdr:rowOff>
    </xdr:to>
    <xdr:pic>
      <xdr:nvPicPr>
        <xdr:cNvPr id="3807" name="Picture 12">
          <a:extLst>
            <a:ext uri="{FF2B5EF4-FFF2-40B4-BE49-F238E27FC236}">
              <a16:creationId xmlns:a16="http://schemas.microsoft.com/office/drawing/2014/main" id="{00000000-0008-0000-0500-0000DF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50580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11430</xdr:colOff>
      <xdr:row>28</xdr:row>
      <xdr:rowOff>0</xdr:rowOff>
    </xdr:from>
    <xdr:to>
      <xdr:col>12</xdr:col>
      <xdr:colOff>411480</xdr:colOff>
      <xdr:row>28</xdr:row>
      <xdr:rowOff>0</xdr:rowOff>
    </xdr:to>
    <xdr:pic>
      <xdr:nvPicPr>
        <xdr:cNvPr id="3808" name="Picture 11">
          <a:extLst>
            <a:ext uri="{FF2B5EF4-FFF2-40B4-BE49-F238E27FC236}">
              <a16:creationId xmlns:a16="http://schemas.microsoft.com/office/drawing/2014/main" id="{00000000-0008-0000-0500-0000E0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50580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11430</xdr:colOff>
      <xdr:row>28</xdr:row>
      <xdr:rowOff>0</xdr:rowOff>
    </xdr:from>
    <xdr:to>
      <xdr:col>12</xdr:col>
      <xdr:colOff>411480</xdr:colOff>
      <xdr:row>28</xdr:row>
      <xdr:rowOff>0</xdr:rowOff>
    </xdr:to>
    <xdr:pic>
      <xdr:nvPicPr>
        <xdr:cNvPr id="3809" name="Picture 10">
          <a:extLst>
            <a:ext uri="{FF2B5EF4-FFF2-40B4-BE49-F238E27FC236}">
              <a16:creationId xmlns:a16="http://schemas.microsoft.com/office/drawing/2014/main" id="{00000000-0008-0000-0500-0000E1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50580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11430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810" name="Picture 9">
          <a:extLst>
            <a:ext uri="{FF2B5EF4-FFF2-40B4-BE49-F238E27FC236}">
              <a16:creationId xmlns:a16="http://schemas.microsoft.com/office/drawing/2014/main" id="{00000000-0008-0000-0500-0000E2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62600" y="16302990"/>
          <a:ext cx="419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11430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811" name="Picture 8">
          <a:extLst>
            <a:ext uri="{FF2B5EF4-FFF2-40B4-BE49-F238E27FC236}">
              <a16:creationId xmlns:a16="http://schemas.microsoft.com/office/drawing/2014/main" id="{00000000-0008-0000-0500-0000E3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62600" y="16302990"/>
          <a:ext cx="419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11430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812" name="Picture 7">
          <a:extLst>
            <a:ext uri="{FF2B5EF4-FFF2-40B4-BE49-F238E27FC236}">
              <a16:creationId xmlns:a16="http://schemas.microsoft.com/office/drawing/2014/main" id="{00000000-0008-0000-0500-0000E4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62600" y="16302990"/>
          <a:ext cx="419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11430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813" name="Picture 6">
          <a:extLst>
            <a:ext uri="{FF2B5EF4-FFF2-40B4-BE49-F238E27FC236}">
              <a16:creationId xmlns:a16="http://schemas.microsoft.com/office/drawing/2014/main" id="{00000000-0008-0000-0500-0000E5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62600" y="16302990"/>
          <a:ext cx="419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11430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814" name="Picture 5">
          <a:extLst>
            <a:ext uri="{FF2B5EF4-FFF2-40B4-BE49-F238E27FC236}">
              <a16:creationId xmlns:a16="http://schemas.microsoft.com/office/drawing/2014/main" id="{00000000-0008-0000-0500-0000E6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62600" y="16302990"/>
          <a:ext cx="419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11430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815" name="Picture 4">
          <a:extLst>
            <a:ext uri="{FF2B5EF4-FFF2-40B4-BE49-F238E27FC236}">
              <a16:creationId xmlns:a16="http://schemas.microsoft.com/office/drawing/2014/main" id="{00000000-0008-0000-0500-0000E7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62600" y="16302990"/>
          <a:ext cx="419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11430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816" name="Picture 3">
          <a:extLst>
            <a:ext uri="{FF2B5EF4-FFF2-40B4-BE49-F238E27FC236}">
              <a16:creationId xmlns:a16="http://schemas.microsoft.com/office/drawing/2014/main" id="{00000000-0008-0000-0500-0000E8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62600" y="16302990"/>
          <a:ext cx="419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11430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817" name="Picture 2">
          <a:extLst>
            <a:ext uri="{FF2B5EF4-FFF2-40B4-BE49-F238E27FC236}">
              <a16:creationId xmlns:a16="http://schemas.microsoft.com/office/drawing/2014/main" id="{00000000-0008-0000-0500-0000E9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62600" y="16302990"/>
          <a:ext cx="419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11430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818" name="Picture 1">
          <a:extLst>
            <a:ext uri="{FF2B5EF4-FFF2-40B4-BE49-F238E27FC236}">
              <a16:creationId xmlns:a16="http://schemas.microsoft.com/office/drawing/2014/main" id="{00000000-0008-0000-0500-0000EA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62600" y="16302990"/>
          <a:ext cx="419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28575</xdr:colOff>
      <xdr:row>28</xdr:row>
      <xdr:rowOff>0</xdr:rowOff>
    </xdr:from>
    <xdr:to>
      <xdr:col>12</xdr:col>
      <xdr:colOff>1028700</xdr:colOff>
      <xdr:row>28</xdr:row>
      <xdr:rowOff>0</xdr:rowOff>
    </xdr:to>
    <xdr:pic>
      <xdr:nvPicPr>
        <xdr:cNvPr id="3819" name="Picture 16">
          <a:extLst>
            <a:ext uri="{FF2B5EF4-FFF2-40B4-BE49-F238E27FC236}">
              <a16:creationId xmlns:a16="http://schemas.microsoft.com/office/drawing/2014/main" id="{00000000-0008-0000-0500-0000EB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67725" y="5245100"/>
          <a:ext cx="100012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28575</xdr:colOff>
      <xdr:row>28</xdr:row>
      <xdr:rowOff>0</xdr:rowOff>
    </xdr:from>
    <xdr:to>
      <xdr:col>12</xdr:col>
      <xdr:colOff>1028700</xdr:colOff>
      <xdr:row>28</xdr:row>
      <xdr:rowOff>0</xdr:rowOff>
    </xdr:to>
    <xdr:pic>
      <xdr:nvPicPr>
        <xdr:cNvPr id="3820" name="Picture 15">
          <a:extLst>
            <a:ext uri="{FF2B5EF4-FFF2-40B4-BE49-F238E27FC236}">
              <a16:creationId xmlns:a16="http://schemas.microsoft.com/office/drawing/2014/main" id="{00000000-0008-0000-0500-0000EC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67725" y="5245100"/>
          <a:ext cx="100012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28575</xdr:colOff>
      <xdr:row>28</xdr:row>
      <xdr:rowOff>0</xdr:rowOff>
    </xdr:from>
    <xdr:to>
      <xdr:col>12</xdr:col>
      <xdr:colOff>1028700</xdr:colOff>
      <xdr:row>28</xdr:row>
      <xdr:rowOff>0</xdr:rowOff>
    </xdr:to>
    <xdr:pic>
      <xdr:nvPicPr>
        <xdr:cNvPr id="3821" name="Picture 14">
          <a:extLst>
            <a:ext uri="{FF2B5EF4-FFF2-40B4-BE49-F238E27FC236}">
              <a16:creationId xmlns:a16="http://schemas.microsoft.com/office/drawing/2014/main" id="{00000000-0008-0000-0500-0000ED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67725" y="5245100"/>
          <a:ext cx="100012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28575</xdr:colOff>
      <xdr:row>28</xdr:row>
      <xdr:rowOff>0</xdr:rowOff>
    </xdr:from>
    <xdr:to>
      <xdr:col>12</xdr:col>
      <xdr:colOff>1028700</xdr:colOff>
      <xdr:row>28</xdr:row>
      <xdr:rowOff>0</xdr:rowOff>
    </xdr:to>
    <xdr:pic>
      <xdr:nvPicPr>
        <xdr:cNvPr id="3822" name="Picture 13">
          <a:extLst>
            <a:ext uri="{FF2B5EF4-FFF2-40B4-BE49-F238E27FC236}">
              <a16:creationId xmlns:a16="http://schemas.microsoft.com/office/drawing/2014/main" id="{00000000-0008-0000-0500-0000EE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67725" y="5245100"/>
          <a:ext cx="100012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28575</xdr:colOff>
      <xdr:row>28</xdr:row>
      <xdr:rowOff>0</xdr:rowOff>
    </xdr:from>
    <xdr:to>
      <xdr:col>12</xdr:col>
      <xdr:colOff>1028700</xdr:colOff>
      <xdr:row>28</xdr:row>
      <xdr:rowOff>0</xdr:rowOff>
    </xdr:to>
    <xdr:pic>
      <xdr:nvPicPr>
        <xdr:cNvPr id="3823" name="Picture 12">
          <a:extLst>
            <a:ext uri="{FF2B5EF4-FFF2-40B4-BE49-F238E27FC236}">
              <a16:creationId xmlns:a16="http://schemas.microsoft.com/office/drawing/2014/main" id="{00000000-0008-0000-0500-0000EF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67725" y="5245100"/>
          <a:ext cx="100012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28575</xdr:colOff>
      <xdr:row>28</xdr:row>
      <xdr:rowOff>0</xdr:rowOff>
    </xdr:from>
    <xdr:to>
      <xdr:col>12</xdr:col>
      <xdr:colOff>1028700</xdr:colOff>
      <xdr:row>28</xdr:row>
      <xdr:rowOff>0</xdr:rowOff>
    </xdr:to>
    <xdr:pic>
      <xdr:nvPicPr>
        <xdr:cNvPr id="3824" name="Picture 11">
          <a:extLst>
            <a:ext uri="{FF2B5EF4-FFF2-40B4-BE49-F238E27FC236}">
              <a16:creationId xmlns:a16="http://schemas.microsoft.com/office/drawing/2014/main" id="{00000000-0008-0000-0500-0000F0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67725" y="5245100"/>
          <a:ext cx="100012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28575</xdr:colOff>
      <xdr:row>28</xdr:row>
      <xdr:rowOff>0</xdr:rowOff>
    </xdr:from>
    <xdr:to>
      <xdr:col>12</xdr:col>
      <xdr:colOff>1028700</xdr:colOff>
      <xdr:row>28</xdr:row>
      <xdr:rowOff>0</xdr:rowOff>
    </xdr:to>
    <xdr:pic>
      <xdr:nvPicPr>
        <xdr:cNvPr id="3825" name="Picture 10">
          <a:extLst>
            <a:ext uri="{FF2B5EF4-FFF2-40B4-BE49-F238E27FC236}">
              <a16:creationId xmlns:a16="http://schemas.microsoft.com/office/drawing/2014/main" id="{00000000-0008-0000-0500-0000F1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67725" y="5245100"/>
          <a:ext cx="100012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28575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826" name="Picture 9">
          <a:extLst>
            <a:ext uri="{FF2B5EF4-FFF2-40B4-BE49-F238E27FC236}">
              <a16:creationId xmlns:a16="http://schemas.microsoft.com/office/drawing/2014/main" id="{00000000-0008-0000-0500-0000F2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29250" y="16440150"/>
          <a:ext cx="39052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39399</xdr:colOff>
      <xdr:row>86</xdr:row>
      <xdr:rowOff>147926</xdr:rowOff>
    </xdr:from>
    <xdr:to>
      <xdr:col>12</xdr:col>
      <xdr:colOff>447386</xdr:colOff>
      <xdr:row>86</xdr:row>
      <xdr:rowOff>147926</xdr:rowOff>
    </xdr:to>
    <xdr:pic>
      <xdr:nvPicPr>
        <xdr:cNvPr id="3827" name="Picture 8">
          <a:extLst>
            <a:ext uri="{FF2B5EF4-FFF2-40B4-BE49-F238E27FC236}">
              <a16:creationId xmlns:a16="http://schemas.microsoft.com/office/drawing/2014/main" id="{00000000-0008-0000-0500-0000F3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8549" y="17000826"/>
          <a:ext cx="407987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158462</xdr:colOff>
      <xdr:row>86</xdr:row>
      <xdr:rowOff>104631</xdr:rowOff>
    </xdr:from>
    <xdr:to>
      <xdr:col>12</xdr:col>
      <xdr:colOff>566449</xdr:colOff>
      <xdr:row>86</xdr:row>
      <xdr:rowOff>104631</xdr:rowOff>
    </xdr:to>
    <xdr:pic>
      <xdr:nvPicPr>
        <xdr:cNvPr id="3829" name="Picture 6">
          <a:extLst>
            <a:ext uri="{FF2B5EF4-FFF2-40B4-BE49-F238E27FC236}">
              <a16:creationId xmlns:a16="http://schemas.microsoft.com/office/drawing/2014/main" id="{00000000-0008-0000-0500-0000F5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97612" y="16957531"/>
          <a:ext cx="407987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421843</xdr:colOff>
      <xdr:row>85</xdr:row>
      <xdr:rowOff>97415</xdr:rowOff>
    </xdr:from>
    <xdr:to>
      <xdr:col>12</xdr:col>
      <xdr:colOff>93807</xdr:colOff>
      <xdr:row>85</xdr:row>
      <xdr:rowOff>97415</xdr:rowOff>
    </xdr:to>
    <xdr:pic>
      <xdr:nvPicPr>
        <xdr:cNvPr id="3830" name="Picture 5">
          <a:extLst>
            <a:ext uri="{FF2B5EF4-FFF2-40B4-BE49-F238E27FC236}">
              <a16:creationId xmlns:a16="http://schemas.microsoft.com/office/drawing/2014/main" id="{00000000-0008-0000-0500-0000F6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12070" y="16787813"/>
          <a:ext cx="407987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835" name="Object -1022" hidden="1">
          <a:extLst>
            <a:ext uri="{FF2B5EF4-FFF2-40B4-BE49-F238E27FC236}">
              <a16:creationId xmlns:a16="http://schemas.microsoft.com/office/drawing/2014/main" id="{00000000-0008-0000-0500-0000FB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836" name="Object -1021" hidden="1">
          <a:extLst>
            <a:ext uri="{FF2B5EF4-FFF2-40B4-BE49-F238E27FC236}">
              <a16:creationId xmlns:a16="http://schemas.microsoft.com/office/drawing/2014/main" id="{00000000-0008-0000-0500-0000FC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837" name="Object -1020" hidden="1">
          <a:extLst>
            <a:ext uri="{FF2B5EF4-FFF2-40B4-BE49-F238E27FC236}">
              <a16:creationId xmlns:a16="http://schemas.microsoft.com/office/drawing/2014/main" id="{00000000-0008-0000-0500-0000FD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838" name="Object -1019" hidden="1">
          <a:extLst>
            <a:ext uri="{FF2B5EF4-FFF2-40B4-BE49-F238E27FC236}">
              <a16:creationId xmlns:a16="http://schemas.microsoft.com/office/drawing/2014/main" id="{00000000-0008-0000-0500-0000FE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839" name="Object -1018" hidden="1">
          <a:extLst>
            <a:ext uri="{FF2B5EF4-FFF2-40B4-BE49-F238E27FC236}">
              <a16:creationId xmlns:a16="http://schemas.microsoft.com/office/drawing/2014/main" id="{00000000-0008-0000-0500-0000FF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840" name="Object -1017" hidden="1">
          <a:extLst>
            <a:ext uri="{FF2B5EF4-FFF2-40B4-BE49-F238E27FC236}">
              <a16:creationId xmlns:a16="http://schemas.microsoft.com/office/drawing/2014/main" id="{00000000-0008-0000-0500-000000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841" name="Object -1016" hidden="1">
          <a:extLst>
            <a:ext uri="{FF2B5EF4-FFF2-40B4-BE49-F238E27FC236}">
              <a16:creationId xmlns:a16="http://schemas.microsoft.com/office/drawing/2014/main" id="{00000000-0008-0000-0500-000001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842" name="Object -1013" hidden="1">
          <a:extLst>
            <a:ext uri="{FF2B5EF4-FFF2-40B4-BE49-F238E27FC236}">
              <a16:creationId xmlns:a16="http://schemas.microsoft.com/office/drawing/2014/main" id="{00000000-0008-0000-0500-000002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440150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843" name="Object -1012" hidden="1">
          <a:extLst>
            <a:ext uri="{FF2B5EF4-FFF2-40B4-BE49-F238E27FC236}">
              <a16:creationId xmlns:a16="http://schemas.microsoft.com/office/drawing/2014/main" id="{00000000-0008-0000-0500-000003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440150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844" name="Object -1011" hidden="1">
          <a:extLst>
            <a:ext uri="{FF2B5EF4-FFF2-40B4-BE49-F238E27FC236}">
              <a16:creationId xmlns:a16="http://schemas.microsoft.com/office/drawing/2014/main" id="{00000000-0008-0000-0500-000004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440150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845" name="Object -1010" hidden="1">
          <a:extLst>
            <a:ext uri="{FF2B5EF4-FFF2-40B4-BE49-F238E27FC236}">
              <a16:creationId xmlns:a16="http://schemas.microsoft.com/office/drawing/2014/main" id="{00000000-0008-0000-0500-000005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440150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846" name="Object -1009" hidden="1">
          <a:extLst>
            <a:ext uri="{FF2B5EF4-FFF2-40B4-BE49-F238E27FC236}">
              <a16:creationId xmlns:a16="http://schemas.microsoft.com/office/drawing/2014/main" id="{00000000-0008-0000-0500-000006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440150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847" name="Object -1008" hidden="1">
          <a:extLst>
            <a:ext uri="{FF2B5EF4-FFF2-40B4-BE49-F238E27FC236}">
              <a16:creationId xmlns:a16="http://schemas.microsoft.com/office/drawing/2014/main" id="{00000000-0008-0000-0500-000007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440150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848" name="Object -1007" hidden="1">
          <a:extLst>
            <a:ext uri="{FF2B5EF4-FFF2-40B4-BE49-F238E27FC236}">
              <a16:creationId xmlns:a16="http://schemas.microsoft.com/office/drawing/2014/main" id="{00000000-0008-0000-0500-000008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440150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849" name="Object -1006" hidden="1">
          <a:extLst>
            <a:ext uri="{FF2B5EF4-FFF2-40B4-BE49-F238E27FC236}">
              <a16:creationId xmlns:a16="http://schemas.microsoft.com/office/drawing/2014/main" id="{00000000-0008-0000-0500-000009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440150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850" name="Object -1005" hidden="1">
          <a:extLst>
            <a:ext uri="{FF2B5EF4-FFF2-40B4-BE49-F238E27FC236}">
              <a16:creationId xmlns:a16="http://schemas.microsoft.com/office/drawing/2014/main" id="{00000000-0008-0000-0500-00000A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440150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851" name="Object -1022" hidden="1">
          <a:extLst>
            <a:ext uri="{FF2B5EF4-FFF2-40B4-BE49-F238E27FC236}">
              <a16:creationId xmlns:a16="http://schemas.microsoft.com/office/drawing/2014/main" id="{00000000-0008-0000-0500-00000B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852" name="Object -1021" hidden="1">
          <a:extLst>
            <a:ext uri="{FF2B5EF4-FFF2-40B4-BE49-F238E27FC236}">
              <a16:creationId xmlns:a16="http://schemas.microsoft.com/office/drawing/2014/main" id="{00000000-0008-0000-0500-00000C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853" name="Object -1020" hidden="1">
          <a:extLst>
            <a:ext uri="{FF2B5EF4-FFF2-40B4-BE49-F238E27FC236}">
              <a16:creationId xmlns:a16="http://schemas.microsoft.com/office/drawing/2014/main" id="{00000000-0008-0000-0500-00000D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854" name="Object -1019" hidden="1">
          <a:extLst>
            <a:ext uri="{FF2B5EF4-FFF2-40B4-BE49-F238E27FC236}">
              <a16:creationId xmlns:a16="http://schemas.microsoft.com/office/drawing/2014/main" id="{00000000-0008-0000-0500-00000E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855" name="Object -1018" hidden="1">
          <a:extLst>
            <a:ext uri="{FF2B5EF4-FFF2-40B4-BE49-F238E27FC236}">
              <a16:creationId xmlns:a16="http://schemas.microsoft.com/office/drawing/2014/main" id="{00000000-0008-0000-0500-00000F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856" name="Object -1017" hidden="1">
          <a:extLst>
            <a:ext uri="{FF2B5EF4-FFF2-40B4-BE49-F238E27FC236}">
              <a16:creationId xmlns:a16="http://schemas.microsoft.com/office/drawing/2014/main" id="{00000000-0008-0000-0500-000010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857" name="Object -1016" hidden="1">
          <a:extLst>
            <a:ext uri="{FF2B5EF4-FFF2-40B4-BE49-F238E27FC236}">
              <a16:creationId xmlns:a16="http://schemas.microsoft.com/office/drawing/2014/main" id="{00000000-0008-0000-0500-000011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858" name="Object -1013" hidden="1">
          <a:extLst>
            <a:ext uri="{FF2B5EF4-FFF2-40B4-BE49-F238E27FC236}">
              <a16:creationId xmlns:a16="http://schemas.microsoft.com/office/drawing/2014/main" id="{00000000-0008-0000-0500-000012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440150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859" name="Object -1012" hidden="1">
          <a:extLst>
            <a:ext uri="{FF2B5EF4-FFF2-40B4-BE49-F238E27FC236}">
              <a16:creationId xmlns:a16="http://schemas.microsoft.com/office/drawing/2014/main" id="{00000000-0008-0000-0500-000013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440150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860" name="Object -1011" hidden="1">
          <a:extLst>
            <a:ext uri="{FF2B5EF4-FFF2-40B4-BE49-F238E27FC236}">
              <a16:creationId xmlns:a16="http://schemas.microsoft.com/office/drawing/2014/main" id="{00000000-0008-0000-0500-000014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440150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861" name="Object -1010" hidden="1">
          <a:extLst>
            <a:ext uri="{FF2B5EF4-FFF2-40B4-BE49-F238E27FC236}">
              <a16:creationId xmlns:a16="http://schemas.microsoft.com/office/drawing/2014/main" id="{00000000-0008-0000-0500-000015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440150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862" name="Object -1009" hidden="1">
          <a:extLst>
            <a:ext uri="{FF2B5EF4-FFF2-40B4-BE49-F238E27FC236}">
              <a16:creationId xmlns:a16="http://schemas.microsoft.com/office/drawing/2014/main" id="{00000000-0008-0000-0500-000016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440150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863" name="Object -1008" hidden="1">
          <a:extLst>
            <a:ext uri="{FF2B5EF4-FFF2-40B4-BE49-F238E27FC236}">
              <a16:creationId xmlns:a16="http://schemas.microsoft.com/office/drawing/2014/main" id="{00000000-0008-0000-0500-000017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440150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864" name="Object -1007" hidden="1">
          <a:extLst>
            <a:ext uri="{FF2B5EF4-FFF2-40B4-BE49-F238E27FC236}">
              <a16:creationId xmlns:a16="http://schemas.microsoft.com/office/drawing/2014/main" id="{00000000-0008-0000-0500-000018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440150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865" name="Object -1006" hidden="1">
          <a:extLst>
            <a:ext uri="{FF2B5EF4-FFF2-40B4-BE49-F238E27FC236}">
              <a16:creationId xmlns:a16="http://schemas.microsoft.com/office/drawing/2014/main" id="{00000000-0008-0000-0500-000019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440150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866" name="Object -1005" hidden="1">
          <a:extLst>
            <a:ext uri="{FF2B5EF4-FFF2-40B4-BE49-F238E27FC236}">
              <a16:creationId xmlns:a16="http://schemas.microsoft.com/office/drawing/2014/main" id="{00000000-0008-0000-0500-00001A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440150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867" name="Object -1022" hidden="1">
          <a:extLst>
            <a:ext uri="{FF2B5EF4-FFF2-40B4-BE49-F238E27FC236}">
              <a16:creationId xmlns:a16="http://schemas.microsoft.com/office/drawing/2014/main" id="{00000000-0008-0000-0500-00001B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868" name="Object -1021" hidden="1">
          <a:extLst>
            <a:ext uri="{FF2B5EF4-FFF2-40B4-BE49-F238E27FC236}">
              <a16:creationId xmlns:a16="http://schemas.microsoft.com/office/drawing/2014/main" id="{00000000-0008-0000-0500-00001C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869" name="Object -1020" hidden="1">
          <a:extLst>
            <a:ext uri="{FF2B5EF4-FFF2-40B4-BE49-F238E27FC236}">
              <a16:creationId xmlns:a16="http://schemas.microsoft.com/office/drawing/2014/main" id="{00000000-0008-0000-0500-00001D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870" name="Object -1019" hidden="1">
          <a:extLst>
            <a:ext uri="{FF2B5EF4-FFF2-40B4-BE49-F238E27FC236}">
              <a16:creationId xmlns:a16="http://schemas.microsoft.com/office/drawing/2014/main" id="{00000000-0008-0000-0500-00001E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871" name="Object -1018" hidden="1">
          <a:extLst>
            <a:ext uri="{FF2B5EF4-FFF2-40B4-BE49-F238E27FC236}">
              <a16:creationId xmlns:a16="http://schemas.microsoft.com/office/drawing/2014/main" id="{00000000-0008-0000-0500-00001F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872" name="Object -1017" hidden="1">
          <a:extLst>
            <a:ext uri="{FF2B5EF4-FFF2-40B4-BE49-F238E27FC236}">
              <a16:creationId xmlns:a16="http://schemas.microsoft.com/office/drawing/2014/main" id="{00000000-0008-0000-0500-000020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873" name="Object -1016" hidden="1">
          <a:extLst>
            <a:ext uri="{FF2B5EF4-FFF2-40B4-BE49-F238E27FC236}">
              <a16:creationId xmlns:a16="http://schemas.microsoft.com/office/drawing/2014/main" id="{00000000-0008-0000-0500-000021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874" name="Object -1013" hidden="1">
          <a:extLst>
            <a:ext uri="{FF2B5EF4-FFF2-40B4-BE49-F238E27FC236}">
              <a16:creationId xmlns:a16="http://schemas.microsoft.com/office/drawing/2014/main" id="{00000000-0008-0000-0500-000022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440150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875" name="Object -1012" hidden="1">
          <a:extLst>
            <a:ext uri="{FF2B5EF4-FFF2-40B4-BE49-F238E27FC236}">
              <a16:creationId xmlns:a16="http://schemas.microsoft.com/office/drawing/2014/main" id="{00000000-0008-0000-0500-000023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440150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876" name="Object -1011" hidden="1">
          <a:extLst>
            <a:ext uri="{FF2B5EF4-FFF2-40B4-BE49-F238E27FC236}">
              <a16:creationId xmlns:a16="http://schemas.microsoft.com/office/drawing/2014/main" id="{00000000-0008-0000-0500-000024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440150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877" name="Object -1010" hidden="1">
          <a:extLst>
            <a:ext uri="{FF2B5EF4-FFF2-40B4-BE49-F238E27FC236}">
              <a16:creationId xmlns:a16="http://schemas.microsoft.com/office/drawing/2014/main" id="{00000000-0008-0000-0500-000025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440150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878" name="Object -1009" hidden="1">
          <a:extLst>
            <a:ext uri="{FF2B5EF4-FFF2-40B4-BE49-F238E27FC236}">
              <a16:creationId xmlns:a16="http://schemas.microsoft.com/office/drawing/2014/main" id="{00000000-0008-0000-0500-000026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440150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879" name="Object -1008" hidden="1">
          <a:extLst>
            <a:ext uri="{FF2B5EF4-FFF2-40B4-BE49-F238E27FC236}">
              <a16:creationId xmlns:a16="http://schemas.microsoft.com/office/drawing/2014/main" id="{00000000-0008-0000-0500-000027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440150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880" name="Object -1007" hidden="1">
          <a:extLst>
            <a:ext uri="{FF2B5EF4-FFF2-40B4-BE49-F238E27FC236}">
              <a16:creationId xmlns:a16="http://schemas.microsoft.com/office/drawing/2014/main" id="{00000000-0008-0000-0500-000028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440150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881" name="Object -1006" hidden="1">
          <a:extLst>
            <a:ext uri="{FF2B5EF4-FFF2-40B4-BE49-F238E27FC236}">
              <a16:creationId xmlns:a16="http://schemas.microsoft.com/office/drawing/2014/main" id="{00000000-0008-0000-0500-000029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440150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882" name="Object -1005" hidden="1">
          <a:extLst>
            <a:ext uri="{FF2B5EF4-FFF2-40B4-BE49-F238E27FC236}">
              <a16:creationId xmlns:a16="http://schemas.microsoft.com/office/drawing/2014/main" id="{00000000-0008-0000-0500-00002A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440150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883" name="Object -1022" hidden="1">
          <a:extLst>
            <a:ext uri="{FF2B5EF4-FFF2-40B4-BE49-F238E27FC236}">
              <a16:creationId xmlns:a16="http://schemas.microsoft.com/office/drawing/2014/main" id="{00000000-0008-0000-0500-00002B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884" name="Object -1021" hidden="1">
          <a:extLst>
            <a:ext uri="{FF2B5EF4-FFF2-40B4-BE49-F238E27FC236}">
              <a16:creationId xmlns:a16="http://schemas.microsoft.com/office/drawing/2014/main" id="{00000000-0008-0000-0500-00002C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885" name="Object -1020" hidden="1">
          <a:extLst>
            <a:ext uri="{FF2B5EF4-FFF2-40B4-BE49-F238E27FC236}">
              <a16:creationId xmlns:a16="http://schemas.microsoft.com/office/drawing/2014/main" id="{00000000-0008-0000-0500-00002D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886" name="Object -1019" hidden="1">
          <a:extLst>
            <a:ext uri="{FF2B5EF4-FFF2-40B4-BE49-F238E27FC236}">
              <a16:creationId xmlns:a16="http://schemas.microsoft.com/office/drawing/2014/main" id="{00000000-0008-0000-0500-00002E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887" name="Object -1018" hidden="1">
          <a:extLst>
            <a:ext uri="{FF2B5EF4-FFF2-40B4-BE49-F238E27FC236}">
              <a16:creationId xmlns:a16="http://schemas.microsoft.com/office/drawing/2014/main" id="{00000000-0008-0000-0500-00002F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888" name="Object -1017" hidden="1">
          <a:extLst>
            <a:ext uri="{FF2B5EF4-FFF2-40B4-BE49-F238E27FC236}">
              <a16:creationId xmlns:a16="http://schemas.microsoft.com/office/drawing/2014/main" id="{00000000-0008-0000-0500-000030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889" name="Object -1016" hidden="1">
          <a:extLst>
            <a:ext uri="{FF2B5EF4-FFF2-40B4-BE49-F238E27FC236}">
              <a16:creationId xmlns:a16="http://schemas.microsoft.com/office/drawing/2014/main" id="{00000000-0008-0000-0500-000031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890" name="Object -1013" hidden="1">
          <a:extLst>
            <a:ext uri="{FF2B5EF4-FFF2-40B4-BE49-F238E27FC236}">
              <a16:creationId xmlns:a16="http://schemas.microsoft.com/office/drawing/2014/main" id="{00000000-0008-0000-0500-000032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440150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891" name="Object -1012" hidden="1">
          <a:extLst>
            <a:ext uri="{FF2B5EF4-FFF2-40B4-BE49-F238E27FC236}">
              <a16:creationId xmlns:a16="http://schemas.microsoft.com/office/drawing/2014/main" id="{00000000-0008-0000-0500-000033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440150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892" name="Object -1011" hidden="1">
          <a:extLst>
            <a:ext uri="{FF2B5EF4-FFF2-40B4-BE49-F238E27FC236}">
              <a16:creationId xmlns:a16="http://schemas.microsoft.com/office/drawing/2014/main" id="{00000000-0008-0000-0500-000034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440150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893" name="Object -1010" hidden="1">
          <a:extLst>
            <a:ext uri="{FF2B5EF4-FFF2-40B4-BE49-F238E27FC236}">
              <a16:creationId xmlns:a16="http://schemas.microsoft.com/office/drawing/2014/main" id="{00000000-0008-0000-0500-000035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440150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894" name="Object -1009" hidden="1">
          <a:extLst>
            <a:ext uri="{FF2B5EF4-FFF2-40B4-BE49-F238E27FC236}">
              <a16:creationId xmlns:a16="http://schemas.microsoft.com/office/drawing/2014/main" id="{00000000-0008-0000-0500-000036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440150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895" name="Object -1008" hidden="1">
          <a:extLst>
            <a:ext uri="{FF2B5EF4-FFF2-40B4-BE49-F238E27FC236}">
              <a16:creationId xmlns:a16="http://schemas.microsoft.com/office/drawing/2014/main" id="{00000000-0008-0000-0500-000037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440150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896" name="Object -1007" hidden="1">
          <a:extLst>
            <a:ext uri="{FF2B5EF4-FFF2-40B4-BE49-F238E27FC236}">
              <a16:creationId xmlns:a16="http://schemas.microsoft.com/office/drawing/2014/main" id="{00000000-0008-0000-0500-000038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440150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897" name="Object -1006" hidden="1">
          <a:extLst>
            <a:ext uri="{FF2B5EF4-FFF2-40B4-BE49-F238E27FC236}">
              <a16:creationId xmlns:a16="http://schemas.microsoft.com/office/drawing/2014/main" id="{00000000-0008-0000-0500-000039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440150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898" name="Object -1005" hidden="1">
          <a:extLst>
            <a:ext uri="{FF2B5EF4-FFF2-40B4-BE49-F238E27FC236}">
              <a16:creationId xmlns:a16="http://schemas.microsoft.com/office/drawing/2014/main" id="{00000000-0008-0000-0500-00003A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440150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899" name="Object -1022" hidden="1">
          <a:extLst>
            <a:ext uri="{FF2B5EF4-FFF2-40B4-BE49-F238E27FC236}">
              <a16:creationId xmlns:a16="http://schemas.microsoft.com/office/drawing/2014/main" id="{00000000-0008-0000-0500-00003B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900" name="Object -1021" hidden="1">
          <a:extLst>
            <a:ext uri="{FF2B5EF4-FFF2-40B4-BE49-F238E27FC236}">
              <a16:creationId xmlns:a16="http://schemas.microsoft.com/office/drawing/2014/main" id="{00000000-0008-0000-0500-00003C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901" name="Object -1020" hidden="1">
          <a:extLst>
            <a:ext uri="{FF2B5EF4-FFF2-40B4-BE49-F238E27FC236}">
              <a16:creationId xmlns:a16="http://schemas.microsoft.com/office/drawing/2014/main" id="{00000000-0008-0000-0500-00003D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902" name="Object -1019" hidden="1">
          <a:extLst>
            <a:ext uri="{FF2B5EF4-FFF2-40B4-BE49-F238E27FC236}">
              <a16:creationId xmlns:a16="http://schemas.microsoft.com/office/drawing/2014/main" id="{00000000-0008-0000-0500-00003E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903" name="Object -1018" hidden="1">
          <a:extLst>
            <a:ext uri="{FF2B5EF4-FFF2-40B4-BE49-F238E27FC236}">
              <a16:creationId xmlns:a16="http://schemas.microsoft.com/office/drawing/2014/main" id="{00000000-0008-0000-0500-00003F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904" name="Object -1017" hidden="1">
          <a:extLst>
            <a:ext uri="{FF2B5EF4-FFF2-40B4-BE49-F238E27FC236}">
              <a16:creationId xmlns:a16="http://schemas.microsoft.com/office/drawing/2014/main" id="{00000000-0008-0000-0500-000040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905" name="Object -1016" hidden="1">
          <a:extLst>
            <a:ext uri="{FF2B5EF4-FFF2-40B4-BE49-F238E27FC236}">
              <a16:creationId xmlns:a16="http://schemas.microsoft.com/office/drawing/2014/main" id="{00000000-0008-0000-0500-000041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906" name="Object -1013" hidden="1">
          <a:extLst>
            <a:ext uri="{FF2B5EF4-FFF2-40B4-BE49-F238E27FC236}">
              <a16:creationId xmlns:a16="http://schemas.microsoft.com/office/drawing/2014/main" id="{00000000-0008-0000-0500-000042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440150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907" name="Object -1012" hidden="1">
          <a:extLst>
            <a:ext uri="{FF2B5EF4-FFF2-40B4-BE49-F238E27FC236}">
              <a16:creationId xmlns:a16="http://schemas.microsoft.com/office/drawing/2014/main" id="{00000000-0008-0000-0500-000043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440150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908" name="Object -1011" hidden="1">
          <a:extLst>
            <a:ext uri="{FF2B5EF4-FFF2-40B4-BE49-F238E27FC236}">
              <a16:creationId xmlns:a16="http://schemas.microsoft.com/office/drawing/2014/main" id="{00000000-0008-0000-0500-000044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440150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909" name="Object -1010" hidden="1">
          <a:extLst>
            <a:ext uri="{FF2B5EF4-FFF2-40B4-BE49-F238E27FC236}">
              <a16:creationId xmlns:a16="http://schemas.microsoft.com/office/drawing/2014/main" id="{00000000-0008-0000-0500-000045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440150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910" name="Object -1009" hidden="1">
          <a:extLst>
            <a:ext uri="{FF2B5EF4-FFF2-40B4-BE49-F238E27FC236}">
              <a16:creationId xmlns:a16="http://schemas.microsoft.com/office/drawing/2014/main" id="{00000000-0008-0000-0500-000046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440150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911" name="Object -1008" hidden="1">
          <a:extLst>
            <a:ext uri="{FF2B5EF4-FFF2-40B4-BE49-F238E27FC236}">
              <a16:creationId xmlns:a16="http://schemas.microsoft.com/office/drawing/2014/main" id="{00000000-0008-0000-0500-000047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440150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912" name="Object -1007" hidden="1">
          <a:extLst>
            <a:ext uri="{FF2B5EF4-FFF2-40B4-BE49-F238E27FC236}">
              <a16:creationId xmlns:a16="http://schemas.microsoft.com/office/drawing/2014/main" id="{00000000-0008-0000-0500-000048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440150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913" name="Object -1006" hidden="1">
          <a:extLst>
            <a:ext uri="{FF2B5EF4-FFF2-40B4-BE49-F238E27FC236}">
              <a16:creationId xmlns:a16="http://schemas.microsoft.com/office/drawing/2014/main" id="{00000000-0008-0000-0500-000049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440150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914" name="Object -1005" hidden="1">
          <a:extLst>
            <a:ext uri="{FF2B5EF4-FFF2-40B4-BE49-F238E27FC236}">
              <a16:creationId xmlns:a16="http://schemas.microsoft.com/office/drawing/2014/main" id="{00000000-0008-0000-0500-00004A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440150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915" name="Object -1022" hidden="1">
          <a:extLst>
            <a:ext uri="{FF2B5EF4-FFF2-40B4-BE49-F238E27FC236}">
              <a16:creationId xmlns:a16="http://schemas.microsoft.com/office/drawing/2014/main" id="{00000000-0008-0000-0500-00004B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916" name="Object -1021" hidden="1">
          <a:extLst>
            <a:ext uri="{FF2B5EF4-FFF2-40B4-BE49-F238E27FC236}">
              <a16:creationId xmlns:a16="http://schemas.microsoft.com/office/drawing/2014/main" id="{00000000-0008-0000-0500-00004C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917" name="Object -1020" hidden="1">
          <a:extLst>
            <a:ext uri="{FF2B5EF4-FFF2-40B4-BE49-F238E27FC236}">
              <a16:creationId xmlns:a16="http://schemas.microsoft.com/office/drawing/2014/main" id="{00000000-0008-0000-0500-00004D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918" name="Object -1019" hidden="1">
          <a:extLst>
            <a:ext uri="{FF2B5EF4-FFF2-40B4-BE49-F238E27FC236}">
              <a16:creationId xmlns:a16="http://schemas.microsoft.com/office/drawing/2014/main" id="{00000000-0008-0000-0500-00004E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919" name="Object -1018" hidden="1">
          <a:extLst>
            <a:ext uri="{FF2B5EF4-FFF2-40B4-BE49-F238E27FC236}">
              <a16:creationId xmlns:a16="http://schemas.microsoft.com/office/drawing/2014/main" id="{00000000-0008-0000-0500-00004F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920" name="Object -1017" hidden="1">
          <a:extLst>
            <a:ext uri="{FF2B5EF4-FFF2-40B4-BE49-F238E27FC236}">
              <a16:creationId xmlns:a16="http://schemas.microsoft.com/office/drawing/2014/main" id="{00000000-0008-0000-0500-000050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921" name="Object -1016" hidden="1">
          <a:extLst>
            <a:ext uri="{FF2B5EF4-FFF2-40B4-BE49-F238E27FC236}">
              <a16:creationId xmlns:a16="http://schemas.microsoft.com/office/drawing/2014/main" id="{00000000-0008-0000-0500-000051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922" name="Object -1013" hidden="1">
          <a:extLst>
            <a:ext uri="{FF2B5EF4-FFF2-40B4-BE49-F238E27FC236}">
              <a16:creationId xmlns:a16="http://schemas.microsoft.com/office/drawing/2014/main" id="{00000000-0008-0000-0500-000052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440150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923" name="Object -1012" hidden="1">
          <a:extLst>
            <a:ext uri="{FF2B5EF4-FFF2-40B4-BE49-F238E27FC236}">
              <a16:creationId xmlns:a16="http://schemas.microsoft.com/office/drawing/2014/main" id="{00000000-0008-0000-0500-000053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440150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924" name="Object -1011" hidden="1">
          <a:extLst>
            <a:ext uri="{FF2B5EF4-FFF2-40B4-BE49-F238E27FC236}">
              <a16:creationId xmlns:a16="http://schemas.microsoft.com/office/drawing/2014/main" id="{00000000-0008-0000-0500-000054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440150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925" name="Object -1010" hidden="1">
          <a:extLst>
            <a:ext uri="{FF2B5EF4-FFF2-40B4-BE49-F238E27FC236}">
              <a16:creationId xmlns:a16="http://schemas.microsoft.com/office/drawing/2014/main" id="{00000000-0008-0000-0500-000055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440150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926" name="Object -1009" hidden="1">
          <a:extLst>
            <a:ext uri="{FF2B5EF4-FFF2-40B4-BE49-F238E27FC236}">
              <a16:creationId xmlns:a16="http://schemas.microsoft.com/office/drawing/2014/main" id="{00000000-0008-0000-0500-000056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440150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927" name="Object -1008" hidden="1">
          <a:extLst>
            <a:ext uri="{FF2B5EF4-FFF2-40B4-BE49-F238E27FC236}">
              <a16:creationId xmlns:a16="http://schemas.microsoft.com/office/drawing/2014/main" id="{00000000-0008-0000-0500-000057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440150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928" name="Object -1007" hidden="1">
          <a:extLst>
            <a:ext uri="{FF2B5EF4-FFF2-40B4-BE49-F238E27FC236}">
              <a16:creationId xmlns:a16="http://schemas.microsoft.com/office/drawing/2014/main" id="{00000000-0008-0000-0500-000058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440150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929" name="Object -1006" hidden="1">
          <a:extLst>
            <a:ext uri="{FF2B5EF4-FFF2-40B4-BE49-F238E27FC236}">
              <a16:creationId xmlns:a16="http://schemas.microsoft.com/office/drawing/2014/main" id="{00000000-0008-0000-0500-000059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440150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930" name="Object -1005" hidden="1">
          <a:extLst>
            <a:ext uri="{FF2B5EF4-FFF2-40B4-BE49-F238E27FC236}">
              <a16:creationId xmlns:a16="http://schemas.microsoft.com/office/drawing/2014/main" id="{00000000-0008-0000-0500-00005A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440150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931" name="Object -1022" hidden="1">
          <a:extLst>
            <a:ext uri="{FF2B5EF4-FFF2-40B4-BE49-F238E27FC236}">
              <a16:creationId xmlns:a16="http://schemas.microsoft.com/office/drawing/2014/main" id="{00000000-0008-0000-0500-00005B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932" name="Object -1021" hidden="1">
          <a:extLst>
            <a:ext uri="{FF2B5EF4-FFF2-40B4-BE49-F238E27FC236}">
              <a16:creationId xmlns:a16="http://schemas.microsoft.com/office/drawing/2014/main" id="{00000000-0008-0000-0500-00005C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933" name="Object -1020" hidden="1">
          <a:extLst>
            <a:ext uri="{FF2B5EF4-FFF2-40B4-BE49-F238E27FC236}">
              <a16:creationId xmlns:a16="http://schemas.microsoft.com/office/drawing/2014/main" id="{00000000-0008-0000-0500-00005D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934" name="Object -1019" hidden="1">
          <a:extLst>
            <a:ext uri="{FF2B5EF4-FFF2-40B4-BE49-F238E27FC236}">
              <a16:creationId xmlns:a16="http://schemas.microsoft.com/office/drawing/2014/main" id="{00000000-0008-0000-0500-00005E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935" name="Object -1018" hidden="1">
          <a:extLst>
            <a:ext uri="{FF2B5EF4-FFF2-40B4-BE49-F238E27FC236}">
              <a16:creationId xmlns:a16="http://schemas.microsoft.com/office/drawing/2014/main" id="{00000000-0008-0000-0500-00005F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936" name="Object -1017" hidden="1">
          <a:extLst>
            <a:ext uri="{FF2B5EF4-FFF2-40B4-BE49-F238E27FC236}">
              <a16:creationId xmlns:a16="http://schemas.microsoft.com/office/drawing/2014/main" id="{00000000-0008-0000-0500-000060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937" name="Object -1016" hidden="1">
          <a:extLst>
            <a:ext uri="{FF2B5EF4-FFF2-40B4-BE49-F238E27FC236}">
              <a16:creationId xmlns:a16="http://schemas.microsoft.com/office/drawing/2014/main" id="{00000000-0008-0000-0500-000061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938" name="Object -1013" hidden="1">
          <a:extLst>
            <a:ext uri="{FF2B5EF4-FFF2-40B4-BE49-F238E27FC236}">
              <a16:creationId xmlns:a16="http://schemas.microsoft.com/office/drawing/2014/main" id="{00000000-0008-0000-0500-000062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440150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939" name="Object -1012" hidden="1">
          <a:extLst>
            <a:ext uri="{FF2B5EF4-FFF2-40B4-BE49-F238E27FC236}">
              <a16:creationId xmlns:a16="http://schemas.microsoft.com/office/drawing/2014/main" id="{00000000-0008-0000-0500-000063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440150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940" name="Object -1011" hidden="1">
          <a:extLst>
            <a:ext uri="{FF2B5EF4-FFF2-40B4-BE49-F238E27FC236}">
              <a16:creationId xmlns:a16="http://schemas.microsoft.com/office/drawing/2014/main" id="{00000000-0008-0000-0500-000064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440150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941" name="Object -1010" hidden="1">
          <a:extLst>
            <a:ext uri="{FF2B5EF4-FFF2-40B4-BE49-F238E27FC236}">
              <a16:creationId xmlns:a16="http://schemas.microsoft.com/office/drawing/2014/main" id="{00000000-0008-0000-0500-000065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440150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942" name="Object -1009" hidden="1">
          <a:extLst>
            <a:ext uri="{FF2B5EF4-FFF2-40B4-BE49-F238E27FC236}">
              <a16:creationId xmlns:a16="http://schemas.microsoft.com/office/drawing/2014/main" id="{00000000-0008-0000-0500-000066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440150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943" name="Object -1008" hidden="1">
          <a:extLst>
            <a:ext uri="{FF2B5EF4-FFF2-40B4-BE49-F238E27FC236}">
              <a16:creationId xmlns:a16="http://schemas.microsoft.com/office/drawing/2014/main" id="{00000000-0008-0000-0500-000067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440150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944" name="Object -1007" hidden="1">
          <a:extLst>
            <a:ext uri="{FF2B5EF4-FFF2-40B4-BE49-F238E27FC236}">
              <a16:creationId xmlns:a16="http://schemas.microsoft.com/office/drawing/2014/main" id="{00000000-0008-0000-0500-000068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440150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945" name="Object -1006" hidden="1">
          <a:extLst>
            <a:ext uri="{FF2B5EF4-FFF2-40B4-BE49-F238E27FC236}">
              <a16:creationId xmlns:a16="http://schemas.microsoft.com/office/drawing/2014/main" id="{00000000-0008-0000-0500-000069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440150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946" name="Object -1005" hidden="1">
          <a:extLst>
            <a:ext uri="{FF2B5EF4-FFF2-40B4-BE49-F238E27FC236}">
              <a16:creationId xmlns:a16="http://schemas.microsoft.com/office/drawing/2014/main" id="{00000000-0008-0000-0500-00006A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440150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947" name="Object -1022" hidden="1">
          <a:extLst>
            <a:ext uri="{FF2B5EF4-FFF2-40B4-BE49-F238E27FC236}">
              <a16:creationId xmlns:a16="http://schemas.microsoft.com/office/drawing/2014/main" id="{00000000-0008-0000-0500-00006B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948" name="Object -1021" hidden="1">
          <a:extLst>
            <a:ext uri="{FF2B5EF4-FFF2-40B4-BE49-F238E27FC236}">
              <a16:creationId xmlns:a16="http://schemas.microsoft.com/office/drawing/2014/main" id="{00000000-0008-0000-0500-00006C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949" name="Object -1020" hidden="1">
          <a:extLst>
            <a:ext uri="{FF2B5EF4-FFF2-40B4-BE49-F238E27FC236}">
              <a16:creationId xmlns:a16="http://schemas.microsoft.com/office/drawing/2014/main" id="{00000000-0008-0000-0500-00006D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950" name="Object -1019" hidden="1">
          <a:extLst>
            <a:ext uri="{FF2B5EF4-FFF2-40B4-BE49-F238E27FC236}">
              <a16:creationId xmlns:a16="http://schemas.microsoft.com/office/drawing/2014/main" id="{00000000-0008-0000-0500-00006E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951" name="Object -1018" hidden="1">
          <a:extLst>
            <a:ext uri="{FF2B5EF4-FFF2-40B4-BE49-F238E27FC236}">
              <a16:creationId xmlns:a16="http://schemas.microsoft.com/office/drawing/2014/main" id="{00000000-0008-0000-0500-00006F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952" name="Object -1017" hidden="1">
          <a:extLst>
            <a:ext uri="{FF2B5EF4-FFF2-40B4-BE49-F238E27FC236}">
              <a16:creationId xmlns:a16="http://schemas.microsoft.com/office/drawing/2014/main" id="{00000000-0008-0000-0500-000070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953" name="Object -1016" hidden="1">
          <a:extLst>
            <a:ext uri="{FF2B5EF4-FFF2-40B4-BE49-F238E27FC236}">
              <a16:creationId xmlns:a16="http://schemas.microsoft.com/office/drawing/2014/main" id="{00000000-0008-0000-0500-000071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954" name="Object -1013" hidden="1">
          <a:extLst>
            <a:ext uri="{FF2B5EF4-FFF2-40B4-BE49-F238E27FC236}">
              <a16:creationId xmlns:a16="http://schemas.microsoft.com/office/drawing/2014/main" id="{00000000-0008-0000-0500-000072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440150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955" name="Object -1012" hidden="1">
          <a:extLst>
            <a:ext uri="{FF2B5EF4-FFF2-40B4-BE49-F238E27FC236}">
              <a16:creationId xmlns:a16="http://schemas.microsoft.com/office/drawing/2014/main" id="{00000000-0008-0000-0500-000073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440150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956" name="Object -1011" hidden="1">
          <a:extLst>
            <a:ext uri="{FF2B5EF4-FFF2-40B4-BE49-F238E27FC236}">
              <a16:creationId xmlns:a16="http://schemas.microsoft.com/office/drawing/2014/main" id="{00000000-0008-0000-0500-000074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440150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957" name="Object -1010" hidden="1">
          <a:extLst>
            <a:ext uri="{FF2B5EF4-FFF2-40B4-BE49-F238E27FC236}">
              <a16:creationId xmlns:a16="http://schemas.microsoft.com/office/drawing/2014/main" id="{00000000-0008-0000-0500-000075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440150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958" name="Object -1009" hidden="1">
          <a:extLst>
            <a:ext uri="{FF2B5EF4-FFF2-40B4-BE49-F238E27FC236}">
              <a16:creationId xmlns:a16="http://schemas.microsoft.com/office/drawing/2014/main" id="{00000000-0008-0000-0500-000076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440150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959" name="Object -1008" hidden="1">
          <a:extLst>
            <a:ext uri="{FF2B5EF4-FFF2-40B4-BE49-F238E27FC236}">
              <a16:creationId xmlns:a16="http://schemas.microsoft.com/office/drawing/2014/main" id="{00000000-0008-0000-0500-000077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440150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960" name="Object -1007" hidden="1">
          <a:extLst>
            <a:ext uri="{FF2B5EF4-FFF2-40B4-BE49-F238E27FC236}">
              <a16:creationId xmlns:a16="http://schemas.microsoft.com/office/drawing/2014/main" id="{00000000-0008-0000-0500-000078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440150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961" name="Object -1006" hidden="1">
          <a:extLst>
            <a:ext uri="{FF2B5EF4-FFF2-40B4-BE49-F238E27FC236}">
              <a16:creationId xmlns:a16="http://schemas.microsoft.com/office/drawing/2014/main" id="{00000000-0008-0000-0500-000079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440150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962" name="Object -1005" hidden="1">
          <a:extLst>
            <a:ext uri="{FF2B5EF4-FFF2-40B4-BE49-F238E27FC236}">
              <a16:creationId xmlns:a16="http://schemas.microsoft.com/office/drawing/2014/main" id="{00000000-0008-0000-0500-00007A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440150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963" name="Object -1022" hidden="1">
          <a:extLst>
            <a:ext uri="{FF2B5EF4-FFF2-40B4-BE49-F238E27FC236}">
              <a16:creationId xmlns:a16="http://schemas.microsoft.com/office/drawing/2014/main" id="{00000000-0008-0000-0500-00007B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964" name="Object -1021" hidden="1">
          <a:extLst>
            <a:ext uri="{FF2B5EF4-FFF2-40B4-BE49-F238E27FC236}">
              <a16:creationId xmlns:a16="http://schemas.microsoft.com/office/drawing/2014/main" id="{00000000-0008-0000-0500-00007C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965" name="Object -1020" hidden="1">
          <a:extLst>
            <a:ext uri="{FF2B5EF4-FFF2-40B4-BE49-F238E27FC236}">
              <a16:creationId xmlns:a16="http://schemas.microsoft.com/office/drawing/2014/main" id="{00000000-0008-0000-0500-00007D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966" name="Object -1019" hidden="1">
          <a:extLst>
            <a:ext uri="{FF2B5EF4-FFF2-40B4-BE49-F238E27FC236}">
              <a16:creationId xmlns:a16="http://schemas.microsoft.com/office/drawing/2014/main" id="{00000000-0008-0000-0500-00007E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967" name="Object -1018" hidden="1">
          <a:extLst>
            <a:ext uri="{FF2B5EF4-FFF2-40B4-BE49-F238E27FC236}">
              <a16:creationId xmlns:a16="http://schemas.microsoft.com/office/drawing/2014/main" id="{00000000-0008-0000-0500-00007F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968" name="Object -1017" hidden="1">
          <a:extLst>
            <a:ext uri="{FF2B5EF4-FFF2-40B4-BE49-F238E27FC236}">
              <a16:creationId xmlns:a16="http://schemas.microsoft.com/office/drawing/2014/main" id="{00000000-0008-0000-0500-000080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969" name="Object -1016" hidden="1">
          <a:extLst>
            <a:ext uri="{FF2B5EF4-FFF2-40B4-BE49-F238E27FC236}">
              <a16:creationId xmlns:a16="http://schemas.microsoft.com/office/drawing/2014/main" id="{00000000-0008-0000-0500-000081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970" name="Object -1013" hidden="1">
          <a:extLst>
            <a:ext uri="{FF2B5EF4-FFF2-40B4-BE49-F238E27FC236}">
              <a16:creationId xmlns:a16="http://schemas.microsoft.com/office/drawing/2014/main" id="{00000000-0008-0000-0500-000082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440150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971" name="Object -1012" hidden="1">
          <a:extLst>
            <a:ext uri="{FF2B5EF4-FFF2-40B4-BE49-F238E27FC236}">
              <a16:creationId xmlns:a16="http://schemas.microsoft.com/office/drawing/2014/main" id="{00000000-0008-0000-0500-000083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440150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972" name="Object -1011" hidden="1">
          <a:extLst>
            <a:ext uri="{FF2B5EF4-FFF2-40B4-BE49-F238E27FC236}">
              <a16:creationId xmlns:a16="http://schemas.microsoft.com/office/drawing/2014/main" id="{00000000-0008-0000-0500-000084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440150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973" name="Object -1010" hidden="1">
          <a:extLst>
            <a:ext uri="{FF2B5EF4-FFF2-40B4-BE49-F238E27FC236}">
              <a16:creationId xmlns:a16="http://schemas.microsoft.com/office/drawing/2014/main" id="{00000000-0008-0000-0500-000085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440150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974" name="Object -1009" hidden="1">
          <a:extLst>
            <a:ext uri="{FF2B5EF4-FFF2-40B4-BE49-F238E27FC236}">
              <a16:creationId xmlns:a16="http://schemas.microsoft.com/office/drawing/2014/main" id="{00000000-0008-0000-0500-000086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440150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975" name="Object -1008" hidden="1">
          <a:extLst>
            <a:ext uri="{FF2B5EF4-FFF2-40B4-BE49-F238E27FC236}">
              <a16:creationId xmlns:a16="http://schemas.microsoft.com/office/drawing/2014/main" id="{00000000-0008-0000-0500-000087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440150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976" name="Object -1007" hidden="1">
          <a:extLst>
            <a:ext uri="{FF2B5EF4-FFF2-40B4-BE49-F238E27FC236}">
              <a16:creationId xmlns:a16="http://schemas.microsoft.com/office/drawing/2014/main" id="{00000000-0008-0000-0500-000088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440150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977" name="Object -1006" hidden="1">
          <a:extLst>
            <a:ext uri="{FF2B5EF4-FFF2-40B4-BE49-F238E27FC236}">
              <a16:creationId xmlns:a16="http://schemas.microsoft.com/office/drawing/2014/main" id="{00000000-0008-0000-0500-000089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440150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978" name="Object -1005" hidden="1">
          <a:extLst>
            <a:ext uri="{FF2B5EF4-FFF2-40B4-BE49-F238E27FC236}">
              <a16:creationId xmlns:a16="http://schemas.microsoft.com/office/drawing/2014/main" id="{00000000-0008-0000-0500-00008A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440150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979" name="Object -1022" hidden="1">
          <a:extLst>
            <a:ext uri="{FF2B5EF4-FFF2-40B4-BE49-F238E27FC236}">
              <a16:creationId xmlns:a16="http://schemas.microsoft.com/office/drawing/2014/main" id="{00000000-0008-0000-0500-00008B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980" name="Object -1021" hidden="1">
          <a:extLst>
            <a:ext uri="{FF2B5EF4-FFF2-40B4-BE49-F238E27FC236}">
              <a16:creationId xmlns:a16="http://schemas.microsoft.com/office/drawing/2014/main" id="{00000000-0008-0000-0500-00008C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981" name="Object -1020" hidden="1">
          <a:extLst>
            <a:ext uri="{FF2B5EF4-FFF2-40B4-BE49-F238E27FC236}">
              <a16:creationId xmlns:a16="http://schemas.microsoft.com/office/drawing/2014/main" id="{00000000-0008-0000-0500-00008D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982" name="Object -1019" hidden="1">
          <a:extLst>
            <a:ext uri="{FF2B5EF4-FFF2-40B4-BE49-F238E27FC236}">
              <a16:creationId xmlns:a16="http://schemas.microsoft.com/office/drawing/2014/main" id="{00000000-0008-0000-0500-00008E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983" name="Object -1018" hidden="1">
          <a:extLst>
            <a:ext uri="{FF2B5EF4-FFF2-40B4-BE49-F238E27FC236}">
              <a16:creationId xmlns:a16="http://schemas.microsoft.com/office/drawing/2014/main" id="{00000000-0008-0000-0500-00008F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984" name="Object -1017" hidden="1">
          <a:extLst>
            <a:ext uri="{FF2B5EF4-FFF2-40B4-BE49-F238E27FC236}">
              <a16:creationId xmlns:a16="http://schemas.microsoft.com/office/drawing/2014/main" id="{00000000-0008-0000-0500-000090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985" name="Object -1016" hidden="1">
          <a:extLst>
            <a:ext uri="{FF2B5EF4-FFF2-40B4-BE49-F238E27FC236}">
              <a16:creationId xmlns:a16="http://schemas.microsoft.com/office/drawing/2014/main" id="{00000000-0008-0000-0500-000091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986" name="Object -1013" hidden="1">
          <a:extLst>
            <a:ext uri="{FF2B5EF4-FFF2-40B4-BE49-F238E27FC236}">
              <a16:creationId xmlns:a16="http://schemas.microsoft.com/office/drawing/2014/main" id="{00000000-0008-0000-0500-000092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6401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987" name="Object -1012" hidden="1">
          <a:extLst>
            <a:ext uri="{FF2B5EF4-FFF2-40B4-BE49-F238E27FC236}">
              <a16:creationId xmlns:a16="http://schemas.microsoft.com/office/drawing/2014/main" id="{00000000-0008-0000-0500-000093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6401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988" name="Object -1011" hidden="1">
          <a:extLst>
            <a:ext uri="{FF2B5EF4-FFF2-40B4-BE49-F238E27FC236}">
              <a16:creationId xmlns:a16="http://schemas.microsoft.com/office/drawing/2014/main" id="{00000000-0008-0000-0500-000094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6401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989" name="Object -1010" hidden="1">
          <a:extLst>
            <a:ext uri="{FF2B5EF4-FFF2-40B4-BE49-F238E27FC236}">
              <a16:creationId xmlns:a16="http://schemas.microsoft.com/office/drawing/2014/main" id="{00000000-0008-0000-0500-000095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6401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990" name="Object -1009" hidden="1">
          <a:extLst>
            <a:ext uri="{FF2B5EF4-FFF2-40B4-BE49-F238E27FC236}">
              <a16:creationId xmlns:a16="http://schemas.microsoft.com/office/drawing/2014/main" id="{00000000-0008-0000-0500-000096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6401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991" name="Object -1008" hidden="1">
          <a:extLst>
            <a:ext uri="{FF2B5EF4-FFF2-40B4-BE49-F238E27FC236}">
              <a16:creationId xmlns:a16="http://schemas.microsoft.com/office/drawing/2014/main" id="{00000000-0008-0000-0500-000097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6401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992" name="Object -1007" hidden="1">
          <a:extLst>
            <a:ext uri="{FF2B5EF4-FFF2-40B4-BE49-F238E27FC236}">
              <a16:creationId xmlns:a16="http://schemas.microsoft.com/office/drawing/2014/main" id="{00000000-0008-0000-0500-000098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6401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993" name="Object -1006" hidden="1">
          <a:extLst>
            <a:ext uri="{FF2B5EF4-FFF2-40B4-BE49-F238E27FC236}">
              <a16:creationId xmlns:a16="http://schemas.microsoft.com/office/drawing/2014/main" id="{00000000-0008-0000-0500-000099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6401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3994" name="Object -1005" hidden="1">
          <a:extLst>
            <a:ext uri="{FF2B5EF4-FFF2-40B4-BE49-F238E27FC236}">
              <a16:creationId xmlns:a16="http://schemas.microsoft.com/office/drawing/2014/main" id="{00000000-0008-0000-0500-00009A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6401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995" name="Object -1022" hidden="1">
          <a:extLst>
            <a:ext uri="{FF2B5EF4-FFF2-40B4-BE49-F238E27FC236}">
              <a16:creationId xmlns:a16="http://schemas.microsoft.com/office/drawing/2014/main" id="{00000000-0008-0000-0500-00009B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996" name="Object -1021" hidden="1">
          <a:extLst>
            <a:ext uri="{FF2B5EF4-FFF2-40B4-BE49-F238E27FC236}">
              <a16:creationId xmlns:a16="http://schemas.microsoft.com/office/drawing/2014/main" id="{00000000-0008-0000-0500-00009C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997" name="Object -1020" hidden="1">
          <a:extLst>
            <a:ext uri="{FF2B5EF4-FFF2-40B4-BE49-F238E27FC236}">
              <a16:creationId xmlns:a16="http://schemas.microsoft.com/office/drawing/2014/main" id="{00000000-0008-0000-0500-00009D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998" name="Object -1019" hidden="1">
          <a:extLst>
            <a:ext uri="{FF2B5EF4-FFF2-40B4-BE49-F238E27FC236}">
              <a16:creationId xmlns:a16="http://schemas.microsoft.com/office/drawing/2014/main" id="{00000000-0008-0000-0500-00009E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3999" name="Object -1018" hidden="1">
          <a:extLst>
            <a:ext uri="{FF2B5EF4-FFF2-40B4-BE49-F238E27FC236}">
              <a16:creationId xmlns:a16="http://schemas.microsoft.com/office/drawing/2014/main" id="{00000000-0008-0000-0500-00009F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4000" name="Object -1017" hidden="1">
          <a:extLst>
            <a:ext uri="{FF2B5EF4-FFF2-40B4-BE49-F238E27FC236}">
              <a16:creationId xmlns:a16="http://schemas.microsoft.com/office/drawing/2014/main" id="{00000000-0008-0000-0500-0000A0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4001" name="Object -1016" hidden="1">
          <a:extLst>
            <a:ext uri="{FF2B5EF4-FFF2-40B4-BE49-F238E27FC236}">
              <a16:creationId xmlns:a16="http://schemas.microsoft.com/office/drawing/2014/main" id="{00000000-0008-0000-0500-0000A1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002" name="Object -1013" hidden="1">
          <a:extLst>
            <a:ext uri="{FF2B5EF4-FFF2-40B4-BE49-F238E27FC236}">
              <a16:creationId xmlns:a16="http://schemas.microsoft.com/office/drawing/2014/main" id="{00000000-0008-0000-0500-0000A2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6401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003" name="Object -1012" hidden="1">
          <a:extLst>
            <a:ext uri="{FF2B5EF4-FFF2-40B4-BE49-F238E27FC236}">
              <a16:creationId xmlns:a16="http://schemas.microsoft.com/office/drawing/2014/main" id="{00000000-0008-0000-0500-0000A3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6401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004" name="Object -1011" hidden="1">
          <a:extLst>
            <a:ext uri="{FF2B5EF4-FFF2-40B4-BE49-F238E27FC236}">
              <a16:creationId xmlns:a16="http://schemas.microsoft.com/office/drawing/2014/main" id="{00000000-0008-0000-0500-0000A4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6401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005" name="Object -1010" hidden="1">
          <a:extLst>
            <a:ext uri="{FF2B5EF4-FFF2-40B4-BE49-F238E27FC236}">
              <a16:creationId xmlns:a16="http://schemas.microsoft.com/office/drawing/2014/main" id="{00000000-0008-0000-0500-0000A5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6401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006" name="Object -1009" hidden="1">
          <a:extLst>
            <a:ext uri="{FF2B5EF4-FFF2-40B4-BE49-F238E27FC236}">
              <a16:creationId xmlns:a16="http://schemas.microsoft.com/office/drawing/2014/main" id="{00000000-0008-0000-0500-0000A6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6401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007" name="Object -1008" hidden="1">
          <a:extLst>
            <a:ext uri="{FF2B5EF4-FFF2-40B4-BE49-F238E27FC236}">
              <a16:creationId xmlns:a16="http://schemas.microsoft.com/office/drawing/2014/main" id="{00000000-0008-0000-0500-0000A7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6401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008" name="Object -1007" hidden="1">
          <a:extLst>
            <a:ext uri="{FF2B5EF4-FFF2-40B4-BE49-F238E27FC236}">
              <a16:creationId xmlns:a16="http://schemas.microsoft.com/office/drawing/2014/main" id="{00000000-0008-0000-0500-0000A8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6401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009" name="Object -1006" hidden="1">
          <a:extLst>
            <a:ext uri="{FF2B5EF4-FFF2-40B4-BE49-F238E27FC236}">
              <a16:creationId xmlns:a16="http://schemas.microsoft.com/office/drawing/2014/main" id="{00000000-0008-0000-0500-0000A9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6401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010" name="Object -1005" hidden="1">
          <a:extLst>
            <a:ext uri="{FF2B5EF4-FFF2-40B4-BE49-F238E27FC236}">
              <a16:creationId xmlns:a16="http://schemas.microsoft.com/office/drawing/2014/main" id="{00000000-0008-0000-0500-0000AA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6401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4011" name="Object -1022" hidden="1">
          <a:extLst>
            <a:ext uri="{FF2B5EF4-FFF2-40B4-BE49-F238E27FC236}">
              <a16:creationId xmlns:a16="http://schemas.microsoft.com/office/drawing/2014/main" id="{00000000-0008-0000-0500-0000AB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4012" name="Object -1021" hidden="1">
          <a:extLst>
            <a:ext uri="{FF2B5EF4-FFF2-40B4-BE49-F238E27FC236}">
              <a16:creationId xmlns:a16="http://schemas.microsoft.com/office/drawing/2014/main" id="{00000000-0008-0000-0500-0000AC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4013" name="Object -1020" hidden="1">
          <a:extLst>
            <a:ext uri="{FF2B5EF4-FFF2-40B4-BE49-F238E27FC236}">
              <a16:creationId xmlns:a16="http://schemas.microsoft.com/office/drawing/2014/main" id="{00000000-0008-0000-0500-0000AD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4014" name="Object -1019" hidden="1">
          <a:extLst>
            <a:ext uri="{FF2B5EF4-FFF2-40B4-BE49-F238E27FC236}">
              <a16:creationId xmlns:a16="http://schemas.microsoft.com/office/drawing/2014/main" id="{00000000-0008-0000-0500-0000AE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4015" name="Object -1018" hidden="1">
          <a:extLst>
            <a:ext uri="{FF2B5EF4-FFF2-40B4-BE49-F238E27FC236}">
              <a16:creationId xmlns:a16="http://schemas.microsoft.com/office/drawing/2014/main" id="{00000000-0008-0000-0500-0000AF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4016" name="Object -1017" hidden="1">
          <a:extLst>
            <a:ext uri="{FF2B5EF4-FFF2-40B4-BE49-F238E27FC236}">
              <a16:creationId xmlns:a16="http://schemas.microsoft.com/office/drawing/2014/main" id="{00000000-0008-0000-0500-0000B0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4017" name="Object -1016" hidden="1">
          <a:extLst>
            <a:ext uri="{FF2B5EF4-FFF2-40B4-BE49-F238E27FC236}">
              <a16:creationId xmlns:a16="http://schemas.microsoft.com/office/drawing/2014/main" id="{00000000-0008-0000-0500-0000B1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018" name="Object -1013" hidden="1">
          <a:extLst>
            <a:ext uri="{FF2B5EF4-FFF2-40B4-BE49-F238E27FC236}">
              <a16:creationId xmlns:a16="http://schemas.microsoft.com/office/drawing/2014/main" id="{00000000-0008-0000-0500-0000B2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6401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019" name="Object -1012" hidden="1">
          <a:extLst>
            <a:ext uri="{FF2B5EF4-FFF2-40B4-BE49-F238E27FC236}">
              <a16:creationId xmlns:a16="http://schemas.microsoft.com/office/drawing/2014/main" id="{00000000-0008-0000-0500-0000B3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6401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020" name="Object -1011" hidden="1">
          <a:extLst>
            <a:ext uri="{FF2B5EF4-FFF2-40B4-BE49-F238E27FC236}">
              <a16:creationId xmlns:a16="http://schemas.microsoft.com/office/drawing/2014/main" id="{00000000-0008-0000-0500-0000B4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6401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021" name="Object -1010" hidden="1">
          <a:extLst>
            <a:ext uri="{FF2B5EF4-FFF2-40B4-BE49-F238E27FC236}">
              <a16:creationId xmlns:a16="http://schemas.microsoft.com/office/drawing/2014/main" id="{00000000-0008-0000-0500-0000B5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6401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022" name="Object -1009" hidden="1">
          <a:extLst>
            <a:ext uri="{FF2B5EF4-FFF2-40B4-BE49-F238E27FC236}">
              <a16:creationId xmlns:a16="http://schemas.microsoft.com/office/drawing/2014/main" id="{00000000-0008-0000-0500-0000B6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6401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023" name="Object -1008" hidden="1">
          <a:extLst>
            <a:ext uri="{FF2B5EF4-FFF2-40B4-BE49-F238E27FC236}">
              <a16:creationId xmlns:a16="http://schemas.microsoft.com/office/drawing/2014/main" id="{00000000-0008-0000-0500-0000B7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6401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024" name="Object -1007" hidden="1">
          <a:extLst>
            <a:ext uri="{FF2B5EF4-FFF2-40B4-BE49-F238E27FC236}">
              <a16:creationId xmlns:a16="http://schemas.microsoft.com/office/drawing/2014/main" id="{00000000-0008-0000-0500-0000B8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6401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025" name="Object -1006" hidden="1">
          <a:extLst>
            <a:ext uri="{FF2B5EF4-FFF2-40B4-BE49-F238E27FC236}">
              <a16:creationId xmlns:a16="http://schemas.microsoft.com/office/drawing/2014/main" id="{00000000-0008-0000-0500-0000B9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6401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026" name="Object -1005" hidden="1">
          <a:extLst>
            <a:ext uri="{FF2B5EF4-FFF2-40B4-BE49-F238E27FC236}">
              <a16:creationId xmlns:a16="http://schemas.microsoft.com/office/drawing/2014/main" id="{00000000-0008-0000-0500-0000BA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6401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4027" name="Object -1022" hidden="1">
          <a:extLst>
            <a:ext uri="{FF2B5EF4-FFF2-40B4-BE49-F238E27FC236}">
              <a16:creationId xmlns:a16="http://schemas.microsoft.com/office/drawing/2014/main" id="{00000000-0008-0000-0500-0000BB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4028" name="Object -1021" hidden="1">
          <a:extLst>
            <a:ext uri="{FF2B5EF4-FFF2-40B4-BE49-F238E27FC236}">
              <a16:creationId xmlns:a16="http://schemas.microsoft.com/office/drawing/2014/main" id="{00000000-0008-0000-0500-0000BC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4029" name="Object -1020" hidden="1">
          <a:extLst>
            <a:ext uri="{FF2B5EF4-FFF2-40B4-BE49-F238E27FC236}">
              <a16:creationId xmlns:a16="http://schemas.microsoft.com/office/drawing/2014/main" id="{00000000-0008-0000-0500-0000BD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4030" name="Object -1019" hidden="1">
          <a:extLst>
            <a:ext uri="{FF2B5EF4-FFF2-40B4-BE49-F238E27FC236}">
              <a16:creationId xmlns:a16="http://schemas.microsoft.com/office/drawing/2014/main" id="{00000000-0008-0000-0500-0000BE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4031" name="Object -1018" hidden="1">
          <a:extLst>
            <a:ext uri="{FF2B5EF4-FFF2-40B4-BE49-F238E27FC236}">
              <a16:creationId xmlns:a16="http://schemas.microsoft.com/office/drawing/2014/main" id="{00000000-0008-0000-0500-0000BF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4032" name="Object -1017" hidden="1">
          <a:extLst>
            <a:ext uri="{FF2B5EF4-FFF2-40B4-BE49-F238E27FC236}">
              <a16:creationId xmlns:a16="http://schemas.microsoft.com/office/drawing/2014/main" id="{00000000-0008-0000-0500-0000C0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4033" name="Object -1016" hidden="1">
          <a:extLst>
            <a:ext uri="{FF2B5EF4-FFF2-40B4-BE49-F238E27FC236}">
              <a16:creationId xmlns:a16="http://schemas.microsoft.com/office/drawing/2014/main" id="{00000000-0008-0000-0500-0000C1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034" name="Object -1013" hidden="1">
          <a:extLst>
            <a:ext uri="{FF2B5EF4-FFF2-40B4-BE49-F238E27FC236}">
              <a16:creationId xmlns:a16="http://schemas.microsoft.com/office/drawing/2014/main" id="{00000000-0008-0000-0500-0000C2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6401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035" name="Object -1012" hidden="1">
          <a:extLst>
            <a:ext uri="{FF2B5EF4-FFF2-40B4-BE49-F238E27FC236}">
              <a16:creationId xmlns:a16="http://schemas.microsoft.com/office/drawing/2014/main" id="{00000000-0008-0000-0500-0000C3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6401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036" name="Object -1011" hidden="1">
          <a:extLst>
            <a:ext uri="{FF2B5EF4-FFF2-40B4-BE49-F238E27FC236}">
              <a16:creationId xmlns:a16="http://schemas.microsoft.com/office/drawing/2014/main" id="{00000000-0008-0000-0500-0000C4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6401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037" name="Object -1010" hidden="1">
          <a:extLst>
            <a:ext uri="{FF2B5EF4-FFF2-40B4-BE49-F238E27FC236}">
              <a16:creationId xmlns:a16="http://schemas.microsoft.com/office/drawing/2014/main" id="{00000000-0008-0000-0500-0000C5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6401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038" name="Object -1009" hidden="1">
          <a:extLst>
            <a:ext uri="{FF2B5EF4-FFF2-40B4-BE49-F238E27FC236}">
              <a16:creationId xmlns:a16="http://schemas.microsoft.com/office/drawing/2014/main" id="{00000000-0008-0000-0500-0000C6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6401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039" name="Object -1008" hidden="1">
          <a:extLst>
            <a:ext uri="{FF2B5EF4-FFF2-40B4-BE49-F238E27FC236}">
              <a16:creationId xmlns:a16="http://schemas.microsoft.com/office/drawing/2014/main" id="{00000000-0008-0000-0500-0000C7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6401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040" name="Object -1007" hidden="1">
          <a:extLst>
            <a:ext uri="{FF2B5EF4-FFF2-40B4-BE49-F238E27FC236}">
              <a16:creationId xmlns:a16="http://schemas.microsoft.com/office/drawing/2014/main" id="{00000000-0008-0000-0500-0000C8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6401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041" name="Object -1006" hidden="1">
          <a:extLst>
            <a:ext uri="{FF2B5EF4-FFF2-40B4-BE49-F238E27FC236}">
              <a16:creationId xmlns:a16="http://schemas.microsoft.com/office/drawing/2014/main" id="{00000000-0008-0000-0500-0000C9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6401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042" name="Object -1005" hidden="1">
          <a:extLst>
            <a:ext uri="{FF2B5EF4-FFF2-40B4-BE49-F238E27FC236}">
              <a16:creationId xmlns:a16="http://schemas.microsoft.com/office/drawing/2014/main" id="{00000000-0008-0000-0500-0000CA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6401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6350</xdr:colOff>
      <xdr:row>28</xdr:row>
      <xdr:rowOff>0</xdr:rowOff>
    </xdr:from>
    <xdr:to>
      <xdr:col>12</xdr:col>
      <xdr:colOff>273050</xdr:colOff>
      <xdr:row>28</xdr:row>
      <xdr:rowOff>0</xdr:rowOff>
    </xdr:to>
    <xdr:pic>
      <xdr:nvPicPr>
        <xdr:cNvPr id="4043" name="Object -1022" hidden="1">
          <a:extLst>
            <a:ext uri="{FF2B5EF4-FFF2-40B4-BE49-F238E27FC236}">
              <a16:creationId xmlns:a16="http://schemas.microsoft.com/office/drawing/2014/main" id="{00000000-0008-0000-0500-0000CB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5500" y="5245100"/>
          <a:ext cx="266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6350</xdr:colOff>
      <xdr:row>28</xdr:row>
      <xdr:rowOff>0</xdr:rowOff>
    </xdr:from>
    <xdr:to>
      <xdr:col>12</xdr:col>
      <xdr:colOff>273050</xdr:colOff>
      <xdr:row>28</xdr:row>
      <xdr:rowOff>0</xdr:rowOff>
    </xdr:to>
    <xdr:pic>
      <xdr:nvPicPr>
        <xdr:cNvPr id="4044" name="Object -1021" hidden="1">
          <a:extLst>
            <a:ext uri="{FF2B5EF4-FFF2-40B4-BE49-F238E27FC236}">
              <a16:creationId xmlns:a16="http://schemas.microsoft.com/office/drawing/2014/main" id="{00000000-0008-0000-0500-0000CC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5500" y="5245100"/>
          <a:ext cx="266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6350</xdr:colOff>
      <xdr:row>28</xdr:row>
      <xdr:rowOff>0</xdr:rowOff>
    </xdr:from>
    <xdr:to>
      <xdr:col>12</xdr:col>
      <xdr:colOff>273050</xdr:colOff>
      <xdr:row>28</xdr:row>
      <xdr:rowOff>0</xdr:rowOff>
    </xdr:to>
    <xdr:pic>
      <xdr:nvPicPr>
        <xdr:cNvPr id="4045" name="Object -1020" hidden="1">
          <a:extLst>
            <a:ext uri="{FF2B5EF4-FFF2-40B4-BE49-F238E27FC236}">
              <a16:creationId xmlns:a16="http://schemas.microsoft.com/office/drawing/2014/main" id="{00000000-0008-0000-0500-0000CD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5500" y="5245100"/>
          <a:ext cx="266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6350</xdr:colOff>
      <xdr:row>28</xdr:row>
      <xdr:rowOff>0</xdr:rowOff>
    </xdr:from>
    <xdr:to>
      <xdr:col>12</xdr:col>
      <xdr:colOff>273050</xdr:colOff>
      <xdr:row>28</xdr:row>
      <xdr:rowOff>0</xdr:rowOff>
    </xdr:to>
    <xdr:pic>
      <xdr:nvPicPr>
        <xdr:cNvPr id="4046" name="Object -1019" hidden="1">
          <a:extLst>
            <a:ext uri="{FF2B5EF4-FFF2-40B4-BE49-F238E27FC236}">
              <a16:creationId xmlns:a16="http://schemas.microsoft.com/office/drawing/2014/main" id="{00000000-0008-0000-0500-0000CE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5500" y="5245100"/>
          <a:ext cx="266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6350</xdr:colOff>
      <xdr:row>28</xdr:row>
      <xdr:rowOff>0</xdr:rowOff>
    </xdr:from>
    <xdr:to>
      <xdr:col>12</xdr:col>
      <xdr:colOff>273050</xdr:colOff>
      <xdr:row>28</xdr:row>
      <xdr:rowOff>0</xdr:rowOff>
    </xdr:to>
    <xdr:pic>
      <xdr:nvPicPr>
        <xdr:cNvPr id="4047" name="Object -1018" hidden="1">
          <a:extLst>
            <a:ext uri="{FF2B5EF4-FFF2-40B4-BE49-F238E27FC236}">
              <a16:creationId xmlns:a16="http://schemas.microsoft.com/office/drawing/2014/main" id="{00000000-0008-0000-0500-0000CF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5500" y="5245100"/>
          <a:ext cx="266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6350</xdr:colOff>
      <xdr:row>28</xdr:row>
      <xdr:rowOff>0</xdr:rowOff>
    </xdr:from>
    <xdr:to>
      <xdr:col>12</xdr:col>
      <xdr:colOff>273050</xdr:colOff>
      <xdr:row>28</xdr:row>
      <xdr:rowOff>0</xdr:rowOff>
    </xdr:to>
    <xdr:pic>
      <xdr:nvPicPr>
        <xdr:cNvPr id="4048" name="Object -1017" hidden="1">
          <a:extLst>
            <a:ext uri="{FF2B5EF4-FFF2-40B4-BE49-F238E27FC236}">
              <a16:creationId xmlns:a16="http://schemas.microsoft.com/office/drawing/2014/main" id="{00000000-0008-0000-0500-0000D0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5500" y="5245100"/>
          <a:ext cx="266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6350</xdr:colOff>
      <xdr:row>28</xdr:row>
      <xdr:rowOff>0</xdr:rowOff>
    </xdr:from>
    <xdr:to>
      <xdr:col>12</xdr:col>
      <xdr:colOff>273050</xdr:colOff>
      <xdr:row>28</xdr:row>
      <xdr:rowOff>0</xdr:rowOff>
    </xdr:to>
    <xdr:pic>
      <xdr:nvPicPr>
        <xdr:cNvPr id="4049" name="Object -1016" hidden="1">
          <a:extLst>
            <a:ext uri="{FF2B5EF4-FFF2-40B4-BE49-F238E27FC236}">
              <a16:creationId xmlns:a16="http://schemas.microsoft.com/office/drawing/2014/main" id="{00000000-0008-0000-0500-0000D1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5500" y="5245100"/>
          <a:ext cx="266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6350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050" name="Object -1013" hidden="1">
          <a:extLst>
            <a:ext uri="{FF2B5EF4-FFF2-40B4-BE49-F238E27FC236}">
              <a16:creationId xmlns:a16="http://schemas.microsoft.com/office/drawing/2014/main" id="{00000000-0008-0000-0500-0000D2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16452850"/>
          <a:ext cx="4318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6350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051" name="Object -1012" hidden="1">
          <a:extLst>
            <a:ext uri="{FF2B5EF4-FFF2-40B4-BE49-F238E27FC236}">
              <a16:creationId xmlns:a16="http://schemas.microsoft.com/office/drawing/2014/main" id="{00000000-0008-0000-0500-0000D3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16452850"/>
          <a:ext cx="4318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6350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052" name="Object -1011" hidden="1">
          <a:extLst>
            <a:ext uri="{FF2B5EF4-FFF2-40B4-BE49-F238E27FC236}">
              <a16:creationId xmlns:a16="http://schemas.microsoft.com/office/drawing/2014/main" id="{00000000-0008-0000-0500-0000D4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16452850"/>
          <a:ext cx="4318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6350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053" name="Object -1010" hidden="1">
          <a:extLst>
            <a:ext uri="{FF2B5EF4-FFF2-40B4-BE49-F238E27FC236}">
              <a16:creationId xmlns:a16="http://schemas.microsoft.com/office/drawing/2014/main" id="{00000000-0008-0000-0500-0000D5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16452850"/>
          <a:ext cx="4318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6350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054" name="Object -1009" hidden="1">
          <a:extLst>
            <a:ext uri="{FF2B5EF4-FFF2-40B4-BE49-F238E27FC236}">
              <a16:creationId xmlns:a16="http://schemas.microsoft.com/office/drawing/2014/main" id="{00000000-0008-0000-0500-0000D6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16452850"/>
          <a:ext cx="4318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6350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055" name="Object -1008" hidden="1">
          <a:extLst>
            <a:ext uri="{FF2B5EF4-FFF2-40B4-BE49-F238E27FC236}">
              <a16:creationId xmlns:a16="http://schemas.microsoft.com/office/drawing/2014/main" id="{00000000-0008-0000-0500-0000D7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16452850"/>
          <a:ext cx="4318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6350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056" name="Object -1007" hidden="1">
          <a:extLst>
            <a:ext uri="{FF2B5EF4-FFF2-40B4-BE49-F238E27FC236}">
              <a16:creationId xmlns:a16="http://schemas.microsoft.com/office/drawing/2014/main" id="{00000000-0008-0000-0500-0000D8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16452850"/>
          <a:ext cx="4318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6350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057" name="Object -1006" hidden="1">
          <a:extLst>
            <a:ext uri="{FF2B5EF4-FFF2-40B4-BE49-F238E27FC236}">
              <a16:creationId xmlns:a16="http://schemas.microsoft.com/office/drawing/2014/main" id="{00000000-0008-0000-0500-0000D9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16452850"/>
          <a:ext cx="4318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6350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058" name="Object -1005" hidden="1">
          <a:extLst>
            <a:ext uri="{FF2B5EF4-FFF2-40B4-BE49-F238E27FC236}">
              <a16:creationId xmlns:a16="http://schemas.microsoft.com/office/drawing/2014/main" id="{00000000-0008-0000-0500-0000DA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16452850"/>
          <a:ext cx="4318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12700</xdr:colOff>
      <xdr:row>28</xdr:row>
      <xdr:rowOff>0</xdr:rowOff>
    </xdr:from>
    <xdr:to>
      <xdr:col>12</xdr:col>
      <xdr:colOff>412750</xdr:colOff>
      <xdr:row>28</xdr:row>
      <xdr:rowOff>0</xdr:rowOff>
    </xdr:to>
    <xdr:pic>
      <xdr:nvPicPr>
        <xdr:cNvPr id="3828" name="Object -1022" hidden="1">
          <a:extLst>
            <a:ext uri="{FF2B5EF4-FFF2-40B4-BE49-F238E27FC236}">
              <a16:creationId xmlns:a16="http://schemas.microsoft.com/office/drawing/2014/main" id="{00000000-0008-0000-0500-0000F4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51850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12700</xdr:colOff>
      <xdr:row>28</xdr:row>
      <xdr:rowOff>0</xdr:rowOff>
    </xdr:from>
    <xdr:to>
      <xdr:col>12</xdr:col>
      <xdr:colOff>412750</xdr:colOff>
      <xdr:row>28</xdr:row>
      <xdr:rowOff>0</xdr:rowOff>
    </xdr:to>
    <xdr:pic>
      <xdr:nvPicPr>
        <xdr:cNvPr id="3831" name="Object -1021" hidden="1">
          <a:extLst>
            <a:ext uri="{FF2B5EF4-FFF2-40B4-BE49-F238E27FC236}">
              <a16:creationId xmlns:a16="http://schemas.microsoft.com/office/drawing/2014/main" id="{00000000-0008-0000-0500-0000F7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51850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12700</xdr:colOff>
      <xdr:row>28</xdr:row>
      <xdr:rowOff>0</xdr:rowOff>
    </xdr:from>
    <xdr:to>
      <xdr:col>12</xdr:col>
      <xdr:colOff>412750</xdr:colOff>
      <xdr:row>28</xdr:row>
      <xdr:rowOff>0</xdr:rowOff>
    </xdr:to>
    <xdr:pic>
      <xdr:nvPicPr>
        <xdr:cNvPr id="3832" name="Object -1020" hidden="1">
          <a:extLst>
            <a:ext uri="{FF2B5EF4-FFF2-40B4-BE49-F238E27FC236}">
              <a16:creationId xmlns:a16="http://schemas.microsoft.com/office/drawing/2014/main" id="{00000000-0008-0000-0500-0000F8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51850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12700</xdr:colOff>
      <xdr:row>28</xdr:row>
      <xdr:rowOff>0</xdr:rowOff>
    </xdr:from>
    <xdr:to>
      <xdr:col>12</xdr:col>
      <xdr:colOff>412750</xdr:colOff>
      <xdr:row>28</xdr:row>
      <xdr:rowOff>0</xdr:rowOff>
    </xdr:to>
    <xdr:pic>
      <xdr:nvPicPr>
        <xdr:cNvPr id="3833" name="Object -1019" hidden="1">
          <a:extLst>
            <a:ext uri="{FF2B5EF4-FFF2-40B4-BE49-F238E27FC236}">
              <a16:creationId xmlns:a16="http://schemas.microsoft.com/office/drawing/2014/main" id="{00000000-0008-0000-0500-0000F9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51850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12700</xdr:colOff>
      <xdr:row>28</xdr:row>
      <xdr:rowOff>0</xdr:rowOff>
    </xdr:from>
    <xdr:to>
      <xdr:col>12</xdr:col>
      <xdr:colOff>412750</xdr:colOff>
      <xdr:row>28</xdr:row>
      <xdr:rowOff>0</xdr:rowOff>
    </xdr:to>
    <xdr:pic>
      <xdr:nvPicPr>
        <xdr:cNvPr id="3834" name="Object -1018" hidden="1">
          <a:extLst>
            <a:ext uri="{FF2B5EF4-FFF2-40B4-BE49-F238E27FC236}">
              <a16:creationId xmlns:a16="http://schemas.microsoft.com/office/drawing/2014/main" id="{00000000-0008-0000-0500-0000FA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51850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12700</xdr:colOff>
      <xdr:row>28</xdr:row>
      <xdr:rowOff>0</xdr:rowOff>
    </xdr:from>
    <xdr:to>
      <xdr:col>12</xdr:col>
      <xdr:colOff>412750</xdr:colOff>
      <xdr:row>28</xdr:row>
      <xdr:rowOff>0</xdr:rowOff>
    </xdr:to>
    <xdr:pic>
      <xdr:nvPicPr>
        <xdr:cNvPr id="4059" name="Object -1017" hidden="1">
          <a:extLst>
            <a:ext uri="{FF2B5EF4-FFF2-40B4-BE49-F238E27FC236}">
              <a16:creationId xmlns:a16="http://schemas.microsoft.com/office/drawing/2014/main" id="{00000000-0008-0000-0500-0000DB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51850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12700</xdr:colOff>
      <xdr:row>28</xdr:row>
      <xdr:rowOff>0</xdr:rowOff>
    </xdr:from>
    <xdr:to>
      <xdr:col>12</xdr:col>
      <xdr:colOff>412750</xdr:colOff>
      <xdr:row>28</xdr:row>
      <xdr:rowOff>0</xdr:rowOff>
    </xdr:to>
    <xdr:pic>
      <xdr:nvPicPr>
        <xdr:cNvPr id="4060" name="Object -1016" hidden="1">
          <a:extLst>
            <a:ext uri="{FF2B5EF4-FFF2-40B4-BE49-F238E27FC236}">
              <a16:creationId xmlns:a16="http://schemas.microsoft.com/office/drawing/2014/main" id="{00000000-0008-0000-0500-0000DC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51850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12700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061" name="Object -1013" hidden="1">
          <a:extLst>
            <a:ext uri="{FF2B5EF4-FFF2-40B4-BE49-F238E27FC236}">
              <a16:creationId xmlns:a16="http://schemas.microsoft.com/office/drawing/2014/main" id="{00000000-0008-0000-0500-0000DD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64200" y="16452850"/>
          <a:ext cx="4254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12700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062" name="Object -1012" hidden="1">
          <a:extLst>
            <a:ext uri="{FF2B5EF4-FFF2-40B4-BE49-F238E27FC236}">
              <a16:creationId xmlns:a16="http://schemas.microsoft.com/office/drawing/2014/main" id="{00000000-0008-0000-0500-0000DE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64200" y="16452850"/>
          <a:ext cx="4254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12700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063" name="Object -1011" hidden="1">
          <a:extLst>
            <a:ext uri="{FF2B5EF4-FFF2-40B4-BE49-F238E27FC236}">
              <a16:creationId xmlns:a16="http://schemas.microsoft.com/office/drawing/2014/main" id="{00000000-0008-0000-0500-0000DF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64200" y="16452850"/>
          <a:ext cx="4254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12700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064" name="Object -1010" hidden="1">
          <a:extLst>
            <a:ext uri="{FF2B5EF4-FFF2-40B4-BE49-F238E27FC236}">
              <a16:creationId xmlns:a16="http://schemas.microsoft.com/office/drawing/2014/main" id="{00000000-0008-0000-0500-0000E0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64200" y="16452850"/>
          <a:ext cx="4254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12700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065" name="Object -1009" hidden="1">
          <a:extLst>
            <a:ext uri="{FF2B5EF4-FFF2-40B4-BE49-F238E27FC236}">
              <a16:creationId xmlns:a16="http://schemas.microsoft.com/office/drawing/2014/main" id="{00000000-0008-0000-0500-0000E1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64200" y="16452850"/>
          <a:ext cx="4254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12700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066" name="Object -1008" hidden="1">
          <a:extLst>
            <a:ext uri="{FF2B5EF4-FFF2-40B4-BE49-F238E27FC236}">
              <a16:creationId xmlns:a16="http://schemas.microsoft.com/office/drawing/2014/main" id="{00000000-0008-0000-0500-0000E2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64200" y="16452850"/>
          <a:ext cx="4254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12700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067" name="Object -1007" hidden="1">
          <a:extLst>
            <a:ext uri="{FF2B5EF4-FFF2-40B4-BE49-F238E27FC236}">
              <a16:creationId xmlns:a16="http://schemas.microsoft.com/office/drawing/2014/main" id="{00000000-0008-0000-0500-0000E3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64200" y="16452850"/>
          <a:ext cx="4254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12700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068" name="Object -1006" hidden="1">
          <a:extLst>
            <a:ext uri="{FF2B5EF4-FFF2-40B4-BE49-F238E27FC236}">
              <a16:creationId xmlns:a16="http://schemas.microsoft.com/office/drawing/2014/main" id="{00000000-0008-0000-0500-0000E4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64200" y="16452850"/>
          <a:ext cx="4254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12700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069" name="Object -1005" hidden="1">
          <a:extLst>
            <a:ext uri="{FF2B5EF4-FFF2-40B4-BE49-F238E27FC236}">
              <a16:creationId xmlns:a16="http://schemas.microsoft.com/office/drawing/2014/main" id="{00000000-0008-0000-0500-0000E5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64200" y="16452850"/>
          <a:ext cx="4254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12700</xdr:colOff>
      <xdr:row>28</xdr:row>
      <xdr:rowOff>0</xdr:rowOff>
    </xdr:from>
    <xdr:to>
      <xdr:col>12</xdr:col>
      <xdr:colOff>412750</xdr:colOff>
      <xdr:row>28</xdr:row>
      <xdr:rowOff>0</xdr:rowOff>
    </xdr:to>
    <xdr:pic>
      <xdr:nvPicPr>
        <xdr:cNvPr id="4070" name="Object -1022" hidden="1">
          <a:extLst>
            <a:ext uri="{FF2B5EF4-FFF2-40B4-BE49-F238E27FC236}">
              <a16:creationId xmlns:a16="http://schemas.microsoft.com/office/drawing/2014/main" id="{00000000-0008-0000-0500-0000E6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51850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12700</xdr:colOff>
      <xdr:row>28</xdr:row>
      <xdr:rowOff>0</xdr:rowOff>
    </xdr:from>
    <xdr:to>
      <xdr:col>12</xdr:col>
      <xdr:colOff>412750</xdr:colOff>
      <xdr:row>28</xdr:row>
      <xdr:rowOff>0</xdr:rowOff>
    </xdr:to>
    <xdr:pic>
      <xdr:nvPicPr>
        <xdr:cNvPr id="4071" name="Object -1021" hidden="1">
          <a:extLst>
            <a:ext uri="{FF2B5EF4-FFF2-40B4-BE49-F238E27FC236}">
              <a16:creationId xmlns:a16="http://schemas.microsoft.com/office/drawing/2014/main" id="{00000000-0008-0000-0500-0000E7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51850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12700</xdr:colOff>
      <xdr:row>28</xdr:row>
      <xdr:rowOff>0</xdr:rowOff>
    </xdr:from>
    <xdr:to>
      <xdr:col>12</xdr:col>
      <xdr:colOff>412750</xdr:colOff>
      <xdr:row>28</xdr:row>
      <xdr:rowOff>0</xdr:rowOff>
    </xdr:to>
    <xdr:pic>
      <xdr:nvPicPr>
        <xdr:cNvPr id="4072" name="Object -1020" hidden="1">
          <a:extLst>
            <a:ext uri="{FF2B5EF4-FFF2-40B4-BE49-F238E27FC236}">
              <a16:creationId xmlns:a16="http://schemas.microsoft.com/office/drawing/2014/main" id="{00000000-0008-0000-0500-0000E8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51850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12700</xdr:colOff>
      <xdr:row>28</xdr:row>
      <xdr:rowOff>0</xdr:rowOff>
    </xdr:from>
    <xdr:to>
      <xdr:col>12</xdr:col>
      <xdr:colOff>412750</xdr:colOff>
      <xdr:row>28</xdr:row>
      <xdr:rowOff>0</xdr:rowOff>
    </xdr:to>
    <xdr:pic>
      <xdr:nvPicPr>
        <xdr:cNvPr id="4073" name="Object -1019" hidden="1">
          <a:extLst>
            <a:ext uri="{FF2B5EF4-FFF2-40B4-BE49-F238E27FC236}">
              <a16:creationId xmlns:a16="http://schemas.microsoft.com/office/drawing/2014/main" id="{00000000-0008-0000-0500-0000E9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51850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12700</xdr:colOff>
      <xdr:row>28</xdr:row>
      <xdr:rowOff>0</xdr:rowOff>
    </xdr:from>
    <xdr:to>
      <xdr:col>12</xdr:col>
      <xdr:colOff>412750</xdr:colOff>
      <xdr:row>28</xdr:row>
      <xdr:rowOff>0</xdr:rowOff>
    </xdr:to>
    <xdr:pic>
      <xdr:nvPicPr>
        <xdr:cNvPr id="4074" name="Object -1018" hidden="1">
          <a:extLst>
            <a:ext uri="{FF2B5EF4-FFF2-40B4-BE49-F238E27FC236}">
              <a16:creationId xmlns:a16="http://schemas.microsoft.com/office/drawing/2014/main" id="{00000000-0008-0000-0500-0000EA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51850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12700</xdr:colOff>
      <xdr:row>28</xdr:row>
      <xdr:rowOff>0</xdr:rowOff>
    </xdr:from>
    <xdr:to>
      <xdr:col>12</xdr:col>
      <xdr:colOff>412750</xdr:colOff>
      <xdr:row>28</xdr:row>
      <xdr:rowOff>0</xdr:rowOff>
    </xdr:to>
    <xdr:pic>
      <xdr:nvPicPr>
        <xdr:cNvPr id="4075" name="Object -1017" hidden="1">
          <a:extLst>
            <a:ext uri="{FF2B5EF4-FFF2-40B4-BE49-F238E27FC236}">
              <a16:creationId xmlns:a16="http://schemas.microsoft.com/office/drawing/2014/main" id="{00000000-0008-0000-0500-0000EB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51850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12700</xdr:colOff>
      <xdr:row>28</xdr:row>
      <xdr:rowOff>0</xdr:rowOff>
    </xdr:from>
    <xdr:to>
      <xdr:col>12</xdr:col>
      <xdr:colOff>412750</xdr:colOff>
      <xdr:row>28</xdr:row>
      <xdr:rowOff>0</xdr:rowOff>
    </xdr:to>
    <xdr:pic>
      <xdr:nvPicPr>
        <xdr:cNvPr id="4076" name="Object -1016" hidden="1">
          <a:extLst>
            <a:ext uri="{FF2B5EF4-FFF2-40B4-BE49-F238E27FC236}">
              <a16:creationId xmlns:a16="http://schemas.microsoft.com/office/drawing/2014/main" id="{00000000-0008-0000-0500-0000EC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51850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12700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077" name="Object -1013" hidden="1">
          <a:extLst>
            <a:ext uri="{FF2B5EF4-FFF2-40B4-BE49-F238E27FC236}">
              <a16:creationId xmlns:a16="http://schemas.microsoft.com/office/drawing/2014/main" id="{00000000-0008-0000-0500-0000ED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64200" y="16452850"/>
          <a:ext cx="4254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12700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078" name="Object -1012" hidden="1">
          <a:extLst>
            <a:ext uri="{FF2B5EF4-FFF2-40B4-BE49-F238E27FC236}">
              <a16:creationId xmlns:a16="http://schemas.microsoft.com/office/drawing/2014/main" id="{00000000-0008-0000-0500-0000EE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64200" y="16452850"/>
          <a:ext cx="4254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12700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079" name="Object -1011" hidden="1">
          <a:extLst>
            <a:ext uri="{FF2B5EF4-FFF2-40B4-BE49-F238E27FC236}">
              <a16:creationId xmlns:a16="http://schemas.microsoft.com/office/drawing/2014/main" id="{00000000-0008-0000-0500-0000EF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64200" y="16452850"/>
          <a:ext cx="4254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12700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080" name="Object -1010" hidden="1">
          <a:extLst>
            <a:ext uri="{FF2B5EF4-FFF2-40B4-BE49-F238E27FC236}">
              <a16:creationId xmlns:a16="http://schemas.microsoft.com/office/drawing/2014/main" id="{00000000-0008-0000-0500-0000F0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64200" y="16452850"/>
          <a:ext cx="4254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12700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081" name="Object -1009" hidden="1">
          <a:extLst>
            <a:ext uri="{FF2B5EF4-FFF2-40B4-BE49-F238E27FC236}">
              <a16:creationId xmlns:a16="http://schemas.microsoft.com/office/drawing/2014/main" id="{00000000-0008-0000-0500-0000F1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64200" y="16452850"/>
          <a:ext cx="4254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12700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082" name="Object -1008" hidden="1">
          <a:extLst>
            <a:ext uri="{FF2B5EF4-FFF2-40B4-BE49-F238E27FC236}">
              <a16:creationId xmlns:a16="http://schemas.microsoft.com/office/drawing/2014/main" id="{00000000-0008-0000-0500-0000F2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64200" y="16452850"/>
          <a:ext cx="4254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12700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083" name="Object -1007" hidden="1">
          <a:extLst>
            <a:ext uri="{FF2B5EF4-FFF2-40B4-BE49-F238E27FC236}">
              <a16:creationId xmlns:a16="http://schemas.microsoft.com/office/drawing/2014/main" id="{00000000-0008-0000-0500-0000F3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64200" y="16452850"/>
          <a:ext cx="4254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12700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084" name="Object -1006" hidden="1">
          <a:extLst>
            <a:ext uri="{FF2B5EF4-FFF2-40B4-BE49-F238E27FC236}">
              <a16:creationId xmlns:a16="http://schemas.microsoft.com/office/drawing/2014/main" id="{00000000-0008-0000-0500-0000F4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64200" y="16452850"/>
          <a:ext cx="4254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12700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085" name="Object -1005" hidden="1">
          <a:extLst>
            <a:ext uri="{FF2B5EF4-FFF2-40B4-BE49-F238E27FC236}">
              <a16:creationId xmlns:a16="http://schemas.microsoft.com/office/drawing/2014/main" id="{00000000-0008-0000-0500-0000F5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64200" y="16452850"/>
          <a:ext cx="4254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12700</xdr:colOff>
      <xdr:row>28</xdr:row>
      <xdr:rowOff>0</xdr:rowOff>
    </xdr:from>
    <xdr:to>
      <xdr:col>12</xdr:col>
      <xdr:colOff>412750</xdr:colOff>
      <xdr:row>28</xdr:row>
      <xdr:rowOff>0</xdr:rowOff>
    </xdr:to>
    <xdr:pic>
      <xdr:nvPicPr>
        <xdr:cNvPr id="4086" name="Object -1022" hidden="1">
          <a:extLst>
            <a:ext uri="{FF2B5EF4-FFF2-40B4-BE49-F238E27FC236}">
              <a16:creationId xmlns:a16="http://schemas.microsoft.com/office/drawing/2014/main" id="{00000000-0008-0000-0500-0000F6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51850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12700</xdr:colOff>
      <xdr:row>28</xdr:row>
      <xdr:rowOff>0</xdr:rowOff>
    </xdr:from>
    <xdr:to>
      <xdr:col>12</xdr:col>
      <xdr:colOff>412750</xdr:colOff>
      <xdr:row>28</xdr:row>
      <xdr:rowOff>0</xdr:rowOff>
    </xdr:to>
    <xdr:pic>
      <xdr:nvPicPr>
        <xdr:cNvPr id="4087" name="Object -1021" hidden="1">
          <a:extLst>
            <a:ext uri="{FF2B5EF4-FFF2-40B4-BE49-F238E27FC236}">
              <a16:creationId xmlns:a16="http://schemas.microsoft.com/office/drawing/2014/main" id="{00000000-0008-0000-0500-0000F7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51850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12700</xdr:colOff>
      <xdr:row>28</xdr:row>
      <xdr:rowOff>0</xdr:rowOff>
    </xdr:from>
    <xdr:to>
      <xdr:col>12</xdr:col>
      <xdr:colOff>412750</xdr:colOff>
      <xdr:row>28</xdr:row>
      <xdr:rowOff>0</xdr:rowOff>
    </xdr:to>
    <xdr:pic>
      <xdr:nvPicPr>
        <xdr:cNvPr id="4088" name="Object -1020" hidden="1">
          <a:extLst>
            <a:ext uri="{FF2B5EF4-FFF2-40B4-BE49-F238E27FC236}">
              <a16:creationId xmlns:a16="http://schemas.microsoft.com/office/drawing/2014/main" id="{00000000-0008-0000-0500-0000F8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51850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12700</xdr:colOff>
      <xdr:row>28</xdr:row>
      <xdr:rowOff>0</xdr:rowOff>
    </xdr:from>
    <xdr:to>
      <xdr:col>12</xdr:col>
      <xdr:colOff>412750</xdr:colOff>
      <xdr:row>28</xdr:row>
      <xdr:rowOff>0</xdr:rowOff>
    </xdr:to>
    <xdr:pic>
      <xdr:nvPicPr>
        <xdr:cNvPr id="4089" name="Object -1019" hidden="1">
          <a:extLst>
            <a:ext uri="{FF2B5EF4-FFF2-40B4-BE49-F238E27FC236}">
              <a16:creationId xmlns:a16="http://schemas.microsoft.com/office/drawing/2014/main" id="{00000000-0008-0000-0500-0000F9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51850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12700</xdr:colOff>
      <xdr:row>28</xdr:row>
      <xdr:rowOff>0</xdr:rowOff>
    </xdr:from>
    <xdr:to>
      <xdr:col>12</xdr:col>
      <xdr:colOff>412750</xdr:colOff>
      <xdr:row>28</xdr:row>
      <xdr:rowOff>0</xdr:rowOff>
    </xdr:to>
    <xdr:pic>
      <xdr:nvPicPr>
        <xdr:cNvPr id="4090" name="Object -1018" hidden="1">
          <a:extLst>
            <a:ext uri="{FF2B5EF4-FFF2-40B4-BE49-F238E27FC236}">
              <a16:creationId xmlns:a16="http://schemas.microsoft.com/office/drawing/2014/main" id="{00000000-0008-0000-0500-0000FA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51850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12700</xdr:colOff>
      <xdr:row>28</xdr:row>
      <xdr:rowOff>0</xdr:rowOff>
    </xdr:from>
    <xdr:to>
      <xdr:col>12</xdr:col>
      <xdr:colOff>412750</xdr:colOff>
      <xdr:row>28</xdr:row>
      <xdr:rowOff>0</xdr:rowOff>
    </xdr:to>
    <xdr:pic>
      <xdr:nvPicPr>
        <xdr:cNvPr id="4091" name="Object -1017" hidden="1">
          <a:extLst>
            <a:ext uri="{FF2B5EF4-FFF2-40B4-BE49-F238E27FC236}">
              <a16:creationId xmlns:a16="http://schemas.microsoft.com/office/drawing/2014/main" id="{00000000-0008-0000-0500-0000FB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51850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12700</xdr:colOff>
      <xdr:row>28</xdr:row>
      <xdr:rowOff>0</xdr:rowOff>
    </xdr:from>
    <xdr:to>
      <xdr:col>12</xdr:col>
      <xdr:colOff>412750</xdr:colOff>
      <xdr:row>28</xdr:row>
      <xdr:rowOff>0</xdr:rowOff>
    </xdr:to>
    <xdr:pic>
      <xdr:nvPicPr>
        <xdr:cNvPr id="4092" name="Object -1016" hidden="1">
          <a:extLst>
            <a:ext uri="{FF2B5EF4-FFF2-40B4-BE49-F238E27FC236}">
              <a16:creationId xmlns:a16="http://schemas.microsoft.com/office/drawing/2014/main" id="{00000000-0008-0000-0500-0000FC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51850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12700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093" name="Object -1013" hidden="1">
          <a:extLst>
            <a:ext uri="{FF2B5EF4-FFF2-40B4-BE49-F238E27FC236}">
              <a16:creationId xmlns:a16="http://schemas.microsoft.com/office/drawing/2014/main" id="{00000000-0008-0000-0500-0000FD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64200" y="16452850"/>
          <a:ext cx="4254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12700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094" name="Object -1012" hidden="1">
          <a:extLst>
            <a:ext uri="{FF2B5EF4-FFF2-40B4-BE49-F238E27FC236}">
              <a16:creationId xmlns:a16="http://schemas.microsoft.com/office/drawing/2014/main" id="{00000000-0008-0000-0500-0000FE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64200" y="16452850"/>
          <a:ext cx="4254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12700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095" name="Object -1011" hidden="1">
          <a:extLst>
            <a:ext uri="{FF2B5EF4-FFF2-40B4-BE49-F238E27FC236}">
              <a16:creationId xmlns:a16="http://schemas.microsoft.com/office/drawing/2014/main" id="{00000000-0008-0000-0500-0000FF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64200" y="16452850"/>
          <a:ext cx="4254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12700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096" name="Object -1010" hidden="1">
          <a:extLst>
            <a:ext uri="{FF2B5EF4-FFF2-40B4-BE49-F238E27FC236}">
              <a16:creationId xmlns:a16="http://schemas.microsoft.com/office/drawing/2014/main" id="{00000000-0008-0000-0500-000000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64200" y="16452850"/>
          <a:ext cx="4254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12700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097" name="Object -1009" hidden="1">
          <a:extLst>
            <a:ext uri="{FF2B5EF4-FFF2-40B4-BE49-F238E27FC236}">
              <a16:creationId xmlns:a16="http://schemas.microsoft.com/office/drawing/2014/main" id="{00000000-0008-0000-0500-000001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64200" y="16452850"/>
          <a:ext cx="4254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12700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098" name="Object -1008" hidden="1">
          <a:extLst>
            <a:ext uri="{FF2B5EF4-FFF2-40B4-BE49-F238E27FC236}">
              <a16:creationId xmlns:a16="http://schemas.microsoft.com/office/drawing/2014/main" id="{00000000-0008-0000-0500-000002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64200" y="16452850"/>
          <a:ext cx="4254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12700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099" name="Object -1007" hidden="1">
          <a:extLst>
            <a:ext uri="{FF2B5EF4-FFF2-40B4-BE49-F238E27FC236}">
              <a16:creationId xmlns:a16="http://schemas.microsoft.com/office/drawing/2014/main" id="{00000000-0008-0000-0500-000003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64200" y="16452850"/>
          <a:ext cx="4254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12700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100" name="Object -1006" hidden="1">
          <a:extLst>
            <a:ext uri="{FF2B5EF4-FFF2-40B4-BE49-F238E27FC236}">
              <a16:creationId xmlns:a16="http://schemas.microsoft.com/office/drawing/2014/main" id="{00000000-0008-0000-0500-000004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64200" y="16452850"/>
          <a:ext cx="4254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12700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101" name="Object -1005" hidden="1">
          <a:extLst>
            <a:ext uri="{FF2B5EF4-FFF2-40B4-BE49-F238E27FC236}">
              <a16:creationId xmlns:a16="http://schemas.microsoft.com/office/drawing/2014/main" id="{00000000-0008-0000-0500-000005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64200" y="16452850"/>
          <a:ext cx="4254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12700</xdr:colOff>
      <xdr:row>28</xdr:row>
      <xdr:rowOff>0</xdr:rowOff>
    </xdr:from>
    <xdr:to>
      <xdr:col>12</xdr:col>
      <xdr:colOff>412750</xdr:colOff>
      <xdr:row>28</xdr:row>
      <xdr:rowOff>0</xdr:rowOff>
    </xdr:to>
    <xdr:pic>
      <xdr:nvPicPr>
        <xdr:cNvPr id="4102" name="Object -1022" hidden="1">
          <a:extLst>
            <a:ext uri="{FF2B5EF4-FFF2-40B4-BE49-F238E27FC236}">
              <a16:creationId xmlns:a16="http://schemas.microsoft.com/office/drawing/2014/main" id="{00000000-0008-0000-0500-000006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51850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12700</xdr:colOff>
      <xdr:row>28</xdr:row>
      <xdr:rowOff>0</xdr:rowOff>
    </xdr:from>
    <xdr:to>
      <xdr:col>12</xdr:col>
      <xdr:colOff>412750</xdr:colOff>
      <xdr:row>28</xdr:row>
      <xdr:rowOff>0</xdr:rowOff>
    </xdr:to>
    <xdr:pic>
      <xdr:nvPicPr>
        <xdr:cNvPr id="4103" name="Object -1021" hidden="1">
          <a:extLst>
            <a:ext uri="{FF2B5EF4-FFF2-40B4-BE49-F238E27FC236}">
              <a16:creationId xmlns:a16="http://schemas.microsoft.com/office/drawing/2014/main" id="{00000000-0008-0000-0500-000007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51850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12700</xdr:colOff>
      <xdr:row>28</xdr:row>
      <xdr:rowOff>0</xdr:rowOff>
    </xdr:from>
    <xdr:to>
      <xdr:col>12</xdr:col>
      <xdr:colOff>412750</xdr:colOff>
      <xdr:row>28</xdr:row>
      <xdr:rowOff>0</xdr:rowOff>
    </xdr:to>
    <xdr:pic>
      <xdr:nvPicPr>
        <xdr:cNvPr id="4104" name="Object -1020" hidden="1">
          <a:extLst>
            <a:ext uri="{FF2B5EF4-FFF2-40B4-BE49-F238E27FC236}">
              <a16:creationId xmlns:a16="http://schemas.microsoft.com/office/drawing/2014/main" id="{00000000-0008-0000-0500-000008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51850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12700</xdr:colOff>
      <xdr:row>28</xdr:row>
      <xdr:rowOff>0</xdr:rowOff>
    </xdr:from>
    <xdr:to>
      <xdr:col>12</xdr:col>
      <xdr:colOff>412750</xdr:colOff>
      <xdr:row>28</xdr:row>
      <xdr:rowOff>0</xdr:rowOff>
    </xdr:to>
    <xdr:pic>
      <xdr:nvPicPr>
        <xdr:cNvPr id="4105" name="Object -1019" hidden="1">
          <a:extLst>
            <a:ext uri="{FF2B5EF4-FFF2-40B4-BE49-F238E27FC236}">
              <a16:creationId xmlns:a16="http://schemas.microsoft.com/office/drawing/2014/main" id="{00000000-0008-0000-0500-000009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51850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12700</xdr:colOff>
      <xdr:row>28</xdr:row>
      <xdr:rowOff>0</xdr:rowOff>
    </xdr:from>
    <xdr:to>
      <xdr:col>12</xdr:col>
      <xdr:colOff>412750</xdr:colOff>
      <xdr:row>28</xdr:row>
      <xdr:rowOff>0</xdr:rowOff>
    </xdr:to>
    <xdr:pic>
      <xdr:nvPicPr>
        <xdr:cNvPr id="4106" name="Object -1018" hidden="1">
          <a:extLst>
            <a:ext uri="{FF2B5EF4-FFF2-40B4-BE49-F238E27FC236}">
              <a16:creationId xmlns:a16="http://schemas.microsoft.com/office/drawing/2014/main" id="{00000000-0008-0000-0500-00000A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51850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12700</xdr:colOff>
      <xdr:row>28</xdr:row>
      <xdr:rowOff>0</xdr:rowOff>
    </xdr:from>
    <xdr:to>
      <xdr:col>12</xdr:col>
      <xdr:colOff>412750</xdr:colOff>
      <xdr:row>28</xdr:row>
      <xdr:rowOff>0</xdr:rowOff>
    </xdr:to>
    <xdr:pic>
      <xdr:nvPicPr>
        <xdr:cNvPr id="4107" name="Object -1017" hidden="1">
          <a:extLst>
            <a:ext uri="{FF2B5EF4-FFF2-40B4-BE49-F238E27FC236}">
              <a16:creationId xmlns:a16="http://schemas.microsoft.com/office/drawing/2014/main" id="{00000000-0008-0000-0500-00000B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51850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12700</xdr:colOff>
      <xdr:row>28</xdr:row>
      <xdr:rowOff>0</xdr:rowOff>
    </xdr:from>
    <xdr:to>
      <xdr:col>12</xdr:col>
      <xdr:colOff>412750</xdr:colOff>
      <xdr:row>28</xdr:row>
      <xdr:rowOff>0</xdr:rowOff>
    </xdr:to>
    <xdr:pic>
      <xdr:nvPicPr>
        <xdr:cNvPr id="4108" name="Object -1016" hidden="1">
          <a:extLst>
            <a:ext uri="{FF2B5EF4-FFF2-40B4-BE49-F238E27FC236}">
              <a16:creationId xmlns:a16="http://schemas.microsoft.com/office/drawing/2014/main" id="{00000000-0008-0000-0500-00000C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51850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12700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109" name="Object -1013" hidden="1">
          <a:extLst>
            <a:ext uri="{FF2B5EF4-FFF2-40B4-BE49-F238E27FC236}">
              <a16:creationId xmlns:a16="http://schemas.microsoft.com/office/drawing/2014/main" id="{00000000-0008-0000-0500-00000D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64200" y="16452850"/>
          <a:ext cx="4254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12700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110" name="Object -1012" hidden="1">
          <a:extLst>
            <a:ext uri="{FF2B5EF4-FFF2-40B4-BE49-F238E27FC236}">
              <a16:creationId xmlns:a16="http://schemas.microsoft.com/office/drawing/2014/main" id="{00000000-0008-0000-0500-00000E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64200" y="16452850"/>
          <a:ext cx="4254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12700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111" name="Object -1011" hidden="1">
          <a:extLst>
            <a:ext uri="{FF2B5EF4-FFF2-40B4-BE49-F238E27FC236}">
              <a16:creationId xmlns:a16="http://schemas.microsoft.com/office/drawing/2014/main" id="{00000000-0008-0000-0500-00000F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64200" y="16452850"/>
          <a:ext cx="4254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12700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112" name="Object -1010" hidden="1">
          <a:extLst>
            <a:ext uri="{FF2B5EF4-FFF2-40B4-BE49-F238E27FC236}">
              <a16:creationId xmlns:a16="http://schemas.microsoft.com/office/drawing/2014/main" id="{00000000-0008-0000-0500-000010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64200" y="16452850"/>
          <a:ext cx="4254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12700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113" name="Object -1009" hidden="1">
          <a:extLst>
            <a:ext uri="{FF2B5EF4-FFF2-40B4-BE49-F238E27FC236}">
              <a16:creationId xmlns:a16="http://schemas.microsoft.com/office/drawing/2014/main" id="{00000000-0008-0000-0500-000011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64200" y="16452850"/>
          <a:ext cx="4254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12700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114" name="Object -1008" hidden="1">
          <a:extLst>
            <a:ext uri="{FF2B5EF4-FFF2-40B4-BE49-F238E27FC236}">
              <a16:creationId xmlns:a16="http://schemas.microsoft.com/office/drawing/2014/main" id="{00000000-0008-0000-0500-000012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64200" y="16452850"/>
          <a:ext cx="4254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12700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115" name="Object -1007" hidden="1">
          <a:extLst>
            <a:ext uri="{FF2B5EF4-FFF2-40B4-BE49-F238E27FC236}">
              <a16:creationId xmlns:a16="http://schemas.microsoft.com/office/drawing/2014/main" id="{00000000-0008-0000-0500-000013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64200" y="16452850"/>
          <a:ext cx="4254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12700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116" name="Object -1006" hidden="1">
          <a:extLst>
            <a:ext uri="{FF2B5EF4-FFF2-40B4-BE49-F238E27FC236}">
              <a16:creationId xmlns:a16="http://schemas.microsoft.com/office/drawing/2014/main" id="{00000000-0008-0000-0500-000014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64200" y="16452850"/>
          <a:ext cx="4254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12700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117" name="Object -1005" hidden="1">
          <a:extLst>
            <a:ext uri="{FF2B5EF4-FFF2-40B4-BE49-F238E27FC236}">
              <a16:creationId xmlns:a16="http://schemas.microsoft.com/office/drawing/2014/main" id="{00000000-0008-0000-0500-000015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64200" y="16452850"/>
          <a:ext cx="4254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12700</xdr:colOff>
      <xdr:row>28</xdr:row>
      <xdr:rowOff>0</xdr:rowOff>
    </xdr:from>
    <xdr:to>
      <xdr:col>12</xdr:col>
      <xdr:colOff>412750</xdr:colOff>
      <xdr:row>28</xdr:row>
      <xdr:rowOff>0</xdr:rowOff>
    </xdr:to>
    <xdr:pic>
      <xdr:nvPicPr>
        <xdr:cNvPr id="4118" name="Object -1022" hidden="1">
          <a:extLst>
            <a:ext uri="{FF2B5EF4-FFF2-40B4-BE49-F238E27FC236}">
              <a16:creationId xmlns:a16="http://schemas.microsoft.com/office/drawing/2014/main" id="{00000000-0008-0000-0500-000016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51850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12700</xdr:colOff>
      <xdr:row>28</xdr:row>
      <xdr:rowOff>0</xdr:rowOff>
    </xdr:from>
    <xdr:to>
      <xdr:col>12</xdr:col>
      <xdr:colOff>412750</xdr:colOff>
      <xdr:row>28</xdr:row>
      <xdr:rowOff>0</xdr:rowOff>
    </xdr:to>
    <xdr:pic>
      <xdr:nvPicPr>
        <xdr:cNvPr id="4119" name="Object -1021" hidden="1">
          <a:extLst>
            <a:ext uri="{FF2B5EF4-FFF2-40B4-BE49-F238E27FC236}">
              <a16:creationId xmlns:a16="http://schemas.microsoft.com/office/drawing/2014/main" id="{00000000-0008-0000-0500-000017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51850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12700</xdr:colOff>
      <xdr:row>28</xdr:row>
      <xdr:rowOff>0</xdr:rowOff>
    </xdr:from>
    <xdr:to>
      <xdr:col>12</xdr:col>
      <xdr:colOff>412750</xdr:colOff>
      <xdr:row>28</xdr:row>
      <xdr:rowOff>0</xdr:rowOff>
    </xdr:to>
    <xdr:pic>
      <xdr:nvPicPr>
        <xdr:cNvPr id="4120" name="Object -1020" hidden="1">
          <a:extLst>
            <a:ext uri="{FF2B5EF4-FFF2-40B4-BE49-F238E27FC236}">
              <a16:creationId xmlns:a16="http://schemas.microsoft.com/office/drawing/2014/main" id="{00000000-0008-0000-0500-000018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51850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12700</xdr:colOff>
      <xdr:row>28</xdr:row>
      <xdr:rowOff>0</xdr:rowOff>
    </xdr:from>
    <xdr:to>
      <xdr:col>12</xdr:col>
      <xdr:colOff>412750</xdr:colOff>
      <xdr:row>28</xdr:row>
      <xdr:rowOff>0</xdr:rowOff>
    </xdr:to>
    <xdr:pic>
      <xdr:nvPicPr>
        <xdr:cNvPr id="4121" name="Object -1019" hidden="1">
          <a:extLst>
            <a:ext uri="{FF2B5EF4-FFF2-40B4-BE49-F238E27FC236}">
              <a16:creationId xmlns:a16="http://schemas.microsoft.com/office/drawing/2014/main" id="{00000000-0008-0000-0500-000019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51850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12700</xdr:colOff>
      <xdr:row>28</xdr:row>
      <xdr:rowOff>0</xdr:rowOff>
    </xdr:from>
    <xdr:to>
      <xdr:col>12</xdr:col>
      <xdr:colOff>412750</xdr:colOff>
      <xdr:row>28</xdr:row>
      <xdr:rowOff>0</xdr:rowOff>
    </xdr:to>
    <xdr:pic>
      <xdr:nvPicPr>
        <xdr:cNvPr id="4122" name="Object -1018" hidden="1">
          <a:extLst>
            <a:ext uri="{FF2B5EF4-FFF2-40B4-BE49-F238E27FC236}">
              <a16:creationId xmlns:a16="http://schemas.microsoft.com/office/drawing/2014/main" id="{00000000-0008-0000-0500-00001A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51850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12700</xdr:colOff>
      <xdr:row>28</xdr:row>
      <xdr:rowOff>0</xdr:rowOff>
    </xdr:from>
    <xdr:to>
      <xdr:col>12</xdr:col>
      <xdr:colOff>412750</xdr:colOff>
      <xdr:row>28</xdr:row>
      <xdr:rowOff>0</xdr:rowOff>
    </xdr:to>
    <xdr:pic>
      <xdr:nvPicPr>
        <xdr:cNvPr id="4123" name="Object -1017" hidden="1">
          <a:extLst>
            <a:ext uri="{FF2B5EF4-FFF2-40B4-BE49-F238E27FC236}">
              <a16:creationId xmlns:a16="http://schemas.microsoft.com/office/drawing/2014/main" id="{00000000-0008-0000-0500-00001B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51850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12700</xdr:colOff>
      <xdr:row>28</xdr:row>
      <xdr:rowOff>0</xdr:rowOff>
    </xdr:from>
    <xdr:to>
      <xdr:col>12</xdr:col>
      <xdr:colOff>412750</xdr:colOff>
      <xdr:row>28</xdr:row>
      <xdr:rowOff>0</xdr:rowOff>
    </xdr:to>
    <xdr:pic>
      <xdr:nvPicPr>
        <xdr:cNvPr id="4124" name="Object -1016" hidden="1">
          <a:extLst>
            <a:ext uri="{FF2B5EF4-FFF2-40B4-BE49-F238E27FC236}">
              <a16:creationId xmlns:a16="http://schemas.microsoft.com/office/drawing/2014/main" id="{00000000-0008-0000-0500-00001C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51850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12700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125" name="Object -1013" hidden="1">
          <a:extLst>
            <a:ext uri="{FF2B5EF4-FFF2-40B4-BE49-F238E27FC236}">
              <a16:creationId xmlns:a16="http://schemas.microsoft.com/office/drawing/2014/main" id="{00000000-0008-0000-0500-00001D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64200" y="16452850"/>
          <a:ext cx="4254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12700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126" name="Object -1012" hidden="1">
          <a:extLst>
            <a:ext uri="{FF2B5EF4-FFF2-40B4-BE49-F238E27FC236}">
              <a16:creationId xmlns:a16="http://schemas.microsoft.com/office/drawing/2014/main" id="{00000000-0008-0000-0500-00001E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64200" y="16452850"/>
          <a:ext cx="4254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12700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127" name="Object -1011" hidden="1">
          <a:extLst>
            <a:ext uri="{FF2B5EF4-FFF2-40B4-BE49-F238E27FC236}">
              <a16:creationId xmlns:a16="http://schemas.microsoft.com/office/drawing/2014/main" id="{00000000-0008-0000-0500-00001F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64200" y="16452850"/>
          <a:ext cx="4254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12700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128" name="Object -1010" hidden="1">
          <a:extLst>
            <a:ext uri="{FF2B5EF4-FFF2-40B4-BE49-F238E27FC236}">
              <a16:creationId xmlns:a16="http://schemas.microsoft.com/office/drawing/2014/main" id="{00000000-0008-0000-0500-000020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64200" y="16452850"/>
          <a:ext cx="4254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12700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129" name="Object -1009" hidden="1">
          <a:extLst>
            <a:ext uri="{FF2B5EF4-FFF2-40B4-BE49-F238E27FC236}">
              <a16:creationId xmlns:a16="http://schemas.microsoft.com/office/drawing/2014/main" id="{00000000-0008-0000-0500-000021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64200" y="16452850"/>
          <a:ext cx="4254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12700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130" name="Object -1008" hidden="1">
          <a:extLst>
            <a:ext uri="{FF2B5EF4-FFF2-40B4-BE49-F238E27FC236}">
              <a16:creationId xmlns:a16="http://schemas.microsoft.com/office/drawing/2014/main" id="{00000000-0008-0000-0500-000022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64200" y="16452850"/>
          <a:ext cx="4254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12700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131" name="Object -1007" hidden="1">
          <a:extLst>
            <a:ext uri="{FF2B5EF4-FFF2-40B4-BE49-F238E27FC236}">
              <a16:creationId xmlns:a16="http://schemas.microsoft.com/office/drawing/2014/main" id="{00000000-0008-0000-0500-000023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64200" y="16452850"/>
          <a:ext cx="4254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12700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132" name="Object -1006" hidden="1">
          <a:extLst>
            <a:ext uri="{FF2B5EF4-FFF2-40B4-BE49-F238E27FC236}">
              <a16:creationId xmlns:a16="http://schemas.microsoft.com/office/drawing/2014/main" id="{00000000-0008-0000-0500-000024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64200" y="16452850"/>
          <a:ext cx="4254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12700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133" name="Object -1005" hidden="1">
          <a:extLst>
            <a:ext uri="{FF2B5EF4-FFF2-40B4-BE49-F238E27FC236}">
              <a16:creationId xmlns:a16="http://schemas.microsoft.com/office/drawing/2014/main" id="{00000000-0008-0000-0500-000025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64200" y="16452850"/>
          <a:ext cx="4254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12700</xdr:colOff>
      <xdr:row>28</xdr:row>
      <xdr:rowOff>0</xdr:rowOff>
    </xdr:from>
    <xdr:to>
      <xdr:col>12</xdr:col>
      <xdr:colOff>412750</xdr:colOff>
      <xdr:row>28</xdr:row>
      <xdr:rowOff>0</xdr:rowOff>
    </xdr:to>
    <xdr:pic>
      <xdr:nvPicPr>
        <xdr:cNvPr id="4134" name="Object -1022" hidden="1">
          <a:extLst>
            <a:ext uri="{FF2B5EF4-FFF2-40B4-BE49-F238E27FC236}">
              <a16:creationId xmlns:a16="http://schemas.microsoft.com/office/drawing/2014/main" id="{00000000-0008-0000-0500-000026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51850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12700</xdr:colOff>
      <xdr:row>28</xdr:row>
      <xdr:rowOff>0</xdr:rowOff>
    </xdr:from>
    <xdr:to>
      <xdr:col>12</xdr:col>
      <xdr:colOff>412750</xdr:colOff>
      <xdr:row>28</xdr:row>
      <xdr:rowOff>0</xdr:rowOff>
    </xdr:to>
    <xdr:pic>
      <xdr:nvPicPr>
        <xdr:cNvPr id="4135" name="Object -1021" hidden="1">
          <a:extLst>
            <a:ext uri="{FF2B5EF4-FFF2-40B4-BE49-F238E27FC236}">
              <a16:creationId xmlns:a16="http://schemas.microsoft.com/office/drawing/2014/main" id="{00000000-0008-0000-0500-000027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51850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12700</xdr:colOff>
      <xdr:row>28</xdr:row>
      <xdr:rowOff>0</xdr:rowOff>
    </xdr:from>
    <xdr:to>
      <xdr:col>12</xdr:col>
      <xdr:colOff>412750</xdr:colOff>
      <xdr:row>28</xdr:row>
      <xdr:rowOff>0</xdr:rowOff>
    </xdr:to>
    <xdr:pic>
      <xdr:nvPicPr>
        <xdr:cNvPr id="4136" name="Object -1020" hidden="1">
          <a:extLst>
            <a:ext uri="{FF2B5EF4-FFF2-40B4-BE49-F238E27FC236}">
              <a16:creationId xmlns:a16="http://schemas.microsoft.com/office/drawing/2014/main" id="{00000000-0008-0000-0500-000028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51850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12700</xdr:colOff>
      <xdr:row>28</xdr:row>
      <xdr:rowOff>0</xdr:rowOff>
    </xdr:from>
    <xdr:to>
      <xdr:col>12</xdr:col>
      <xdr:colOff>412750</xdr:colOff>
      <xdr:row>28</xdr:row>
      <xdr:rowOff>0</xdr:rowOff>
    </xdr:to>
    <xdr:pic>
      <xdr:nvPicPr>
        <xdr:cNvPr id="4137" name="Object -1019" hidden="1">
          <a:extLst>
            <a:ext uri="{FF2B5EF4-FFF2-40B4-BE49-F238E27FC236}">
              <a16:creationId xmlns:a16="http://schemas.microsoft.com/office/drawing/2014/main" id="{00000000-0008-0000-0500-000029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51850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12700</xdr:colOff>
      <xdr:row>28</xdr:row>
      <xdr:rowOff>0</xdr:rowOff>
    </xdr:from>
    <xdr:to>
      <xdr:col>12</xdr:col>
      <xdr:colOff>412750</xdr:colOff>
      <xdr:row>28</xdr:row>
      <xdr:rowOff>0</xdr:rowOff>
    </xdr:to>
    <xdr:pic>
      <xdr:nvPicPr>
        <xdr:cNvPr id="4138" name="Object -1018" hidden="1">
          <a:extLst>
            <a:ext uri="{FF2B5EF4-FFF2-40B4-BE49-F238E27FC236}">
              <a16:creationId xmlns:a16="http://schemas.microsoft.com/office/drawing/2014/main" id="{00000000-0008-0000-0500-00002A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51850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12700</xdr:colOff>
      <xdr:row>28</xdr:row>
      <xdr:rowOff>0</xdr:rowOff>
    </xdr:from>
    <xdr:to>
      <xdr:col>12</xdr:col>
      <xdr:colOff>412750</xdr:colOff>
      <xdr:row>28</xdr:row>
      <xdr:rowOff>0</xdr:rowOff>
    </xdr:to>
    <xdr:pic>
      <xdr:nvPicPr>
        <xdr:cNvPr id="4139" name="Object -1017" hidden="1">
          <a:extLst>
            <a:ext uri="{FF2B5EF4-FFF2-40B4-BE49-F238E27FC236}">
              <a16:creationId xmlns:a16="http://schemas.microsoft.com/office/drawing/2014/main" id="{00000000-0008-0000-0500-00002B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51850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12700</xdr:colOff>
      <xdr:row>28</xdr:row>
      <xdr:rowOff>0</xdr:rowOff>
    </xdr:from>
    <xdr:to>
      <xdr:col>12</xdr:col>
      <xdr:colOff>412750</xdr:colOff>
      <xdr:row>28</xdr:row>
      <xdr:rowOff>0</xdr:rowOff>
    </xdr:to>
    <xdr:pic>
      <xdr:nvPicPr>
        <xdr:cNvPr id="4140" name="Object -1016" hidden="1">
          <a:extLst>
            <a:ext uri="{FF2B5EF4-FFF2-40B4-BE49-F238E27FC236}">
              <a16:creationId xmlns:a16="http://schemas.microsoft.com/office/drawing/2014/main" id="{00000000-0008-0000-0500-00002C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51850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12700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141" name="Object -1013" hidden="1">
          <a:extLst>
            <a:ext uri="{FF2B5EF4-FFF2-40B4-BE49-F238E27FC236}">
              <a16:creationId xmlns:a16="http://schemas.microsoft.com/office/drawing/2014/main" id="{00000000-0008-0000-0500-00002D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64200" y="16452850"/>
          <a:ext cx="4254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12700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142" name="Object -1012" hidden="1">
          <a:extLst>
            <a:ext uri="{FF2B5EF4-FFF2-40B4-BE49-F238E27FC236}">
              <a16:creationId xmlns:a16="http://schemas.microsoft.com/office/drawing/2014/main" id="{00000000-0008-0000-0500-00002E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64200" y="16452850"/>
          <a:ext cx="4254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12700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143" name="Object -1011" hidden="1">
          <a:extLst>
            <a:ext uri="{FF2B5EF4-FFF2-40B4-BE49-F238E27FC236}">
              <a16:creationId xmlns:a16="http://schemas.microsoft.com/office/drawing/2014/main" id="{00000000-0008-0000-0500-00002F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64200" y="16452850"/>
          <a:ext cx="4254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12700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144" name="Object -1010" hidden="1">
          <a:extLst>
            <a:ext uri="{FF2B5EF4-FFF2-40B4-BE49-F238E27FC236}">
              <a16:creationId xmlns:a16="http://schemas.microsoft.com/office/drawing/2014/main" id="{00000000-0008-0000-0500-000030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64200" y="16452850"/>
          <a:ext cx="4254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12700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145" name="Object -1009" hidden="1">
          <a:extLst>
            <a:ext uri="{FF2B5EF4-FFF2-40B4-BE49-F238E27FC236}">
              <a16:creationId xmlns:a16="http://schemas.microsoft.com/office/drawing/2014/main" id="{00000000-0008-0000-0500-000031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64200" y="16452850"/>
          <a:ext cx="4254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12700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146" name="Object -1008" hidden="1">
          <a:extLst>
            <a:ext uri="{FF2B5EF4-FFF2-40B4-BE49-F238E27FC236}">
              <a16:creationId xmlns:a16="http://schemas.microsoft.com/office/drawing/2014/main" id="{00000000-0008-0000-0500-000032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64200" y="16452850"/>
          <a:ext cx="4254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12700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147" name="Object -1007" hidden="1">
          <a:extLst>
            <a:ext uri="{FF2B5EF4-FFF2-40B4-BE49-F238E27FC236}">
              <a16:creationId xmlns:a16="http://schemas.microsoft.com/office/drawing/2014/main" id="{00000000-0008-0000-0500-000033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64200" y="16452850"/>
          <a:ext cx="4254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12700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148" name="Object -1006" hidden="1">
          <a:extLst>
            <a:ext uri="{FF2B5EF4-FFF2-40B4-BE49-F238E27FC236}">
              <a16:creationId xmlns:a16="http://schemas.microsoft.com/office/drawing/2014/main" id="{00000000-0008-0000-0500-000034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64200" y="16452850"/>
          <a:ext cx="4254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12700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149" name="Object -1005" hidden="1">
          <a:extLst>
            <a:ext uri="{FF2B5EF4-FFF2-40B4-BE49-F238E27FC236}">
              <a16:creationId xmlns:a16="http://schemas.microsoft.com/office/drawing/2014/main" id="{00000000-0008-0000-0500-000035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64200" y="16452850"/>
          <a:ext cx="4254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19050</xdr:colOff>
      <xdr:row>28</xdr:row>
      <xdr:rowOff>0</xdr:rowOff>
    </xdr:from>
    <xdr:to>
      <xdr:col>12</xdr:col>
      <xdr:colOff>619125</xdr:colOff>
      <xdr:row>28</xdr:row>
      <xdr:rowOff>0</xdr:rowOff>
    </xdr:to>
    <xdr:pic>
      <xdr:nvPicPr>
        <xdr:cNvPr id="4150" name="Object -1022" hidden="1">
          <a:extLst>
            <a:ext uri="{FF2B5EF4-FFF2-40B4-BE49-F238E27FC236}">
              <a16:creationId xmlns:a16="http://schemas.microsoft.com/office/drawing/2014/main" id="{00000000-0008-0000-0500-000036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58200" y="5245100"/>
          <a:ext cx="6000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19050</xdr:colOff>
      <xdr:row>28</xdr:row>
      <xdr:rowOff>0</xdr:rowOff>
    </xdr:from>
    <xdr:to>
      <xdr:col>12</xdr:col>
      <xdr:colOff>619125</xdr:colOff>
      <xdr:row>28</xdr:row>
      <xdr:rowOff>0</xdr:rowOff>
    </xdr:to>
    <xdr:pic>
      <xdr:nvPicPr>
        <xdr:cNvPr id="4151" name="Object -1021" hidden="1">
          <a:extLst>
            <a:ext uri="{FF2B5EF4-FFF2-40B4-BE49-F238E27FC236}">
              <a16:creationId xmlns:a16="http://schemas.microsoft.com/office/drawing/2014/main" id="{00000000-0008-0000-0500-000037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58200" y="5245100"/>
          <a:ext cx="6000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19050</xdr:colOff>
      <xdr:row>28</xdr:row>
      <xdr:rowOff>0</xdr:rowOff>
    </xdr:from>
    <xdr:to>
      <xdr:col>12</xdr:col>
      <xdr:colOff>619125</xdr:colOff>
      <xdr:row>28</xdr:row>
      <xdr:rowOff>0</xdr:rowOff>
    </xdr:to>
    <xdr:pic>
      <xdr:nvPicPr>
        <xdr:cNvPr id="4152" name="Object -1020" hidden="1">
          <a:extLst>
            <a:ext uri="{FF2B5EF4-FFF2-40B4-BE49-F238E27FC236}">
              <a16:creationId xmlns:a16="http://schemas.microsoft.com/office/drawing/2014/main" id="{00000000-0008-0000-0500-000038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58200" y="5245100"/>
          <a:ext cx="6000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19050</xdr:colOff>
      <xdr:row>28</xdr:row>
      <xdr:rowOff>0</xdr:rowOff>
    </xdr:from>
    <xdr:to>
      <xdr:col>12</xdr:col>
      <xdr:colOff>619125</xdr:colOff>
      <xdr:row>28</xdr:row>
      <xdr:rowOff>0</xdr:rowOff>
    </xdr:to>
    <xdr:pic>
      <xdr:nvPicPr>
        <xdr:cNvPr id="4153" name="Object -1019" hidden="1">
          <a:extLst>
            <a:ext uri="{FF2B5EF4-FFF2-40B4-BE49-F238E27FC236}">
              <a16:creationId xmlns:a16="http://schemas.microsoft.com/office/drawing/2014/main" id="{00000000-0008-0000-0500-000039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58200" y="5245100"/>
          <a:ext cx="6000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19050</xdr:colOff>
      <xdr:row>28</xdr:row>
      <xdr:rowOff>0</xdr:rowOff>
    </xdr:from>
    <xdr:to>
      <xdr:col>12</xdr:col>
      <xdr:colOff>619125</xdr:colOff>
      <xdr:row>28</xdr:row>
      <xdr:rowOff>0</xdr:rowOff>
    </xdr:to>
    <xdr:pic>
      <xdr:nvPicPr>
        <xdr:cNvPr id="4154" name="Object -1018" hidden="1">
          <a:extLst>
            <a:ext uri="{FF2B5EF4-FFF2-40B4-BE49-F238E27FC236}">
              <a16:creationId xmlns:a16="http://schemas.microsoft.com/office/drawing/2014/main" id="{00000000-0008-0000-0500-00003A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58200" y="5245100"/>
          <a:ext cx="6000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19050</xdr:colOff>
      <xdr:row>28</xdr:row>
      <xdr:rowOff>0</xdr:rowOff>
    </xdr:from>
    <xdr:to>
      <xdr:col>12</xdr:col>
      <xdr:colOff>619125</xdr:colOff>
      <xdr:row>28</xdr:row>
      <xdr:rowOff>0</xdr:rowOff>
    </xdr:to>
    <xdr:pic>
      <xdr:nvPicPr>
        <xdr:cNvPr id="4155" name="Object -1017" hidden="1">
          <a:extLst>
            <a:ext uri="{FF2B5EF4-FFF2-40B4-BE49-F238E27FC236}">
              <a16:creationId xmlns:a16="http://schemas.microsoft.com/office/drawing/2014/main" id="{00000000-0008-0000-0500-00003B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58200" y="5245100"/>
          <a:ext cx="6000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19050</xdr:colOff>
      <xdr:row>28</xdr:row>
      <xdr:rowOff>0</xdr:rowOff>
    </xdr:from>
    <xdr:to>
      <xdr:col>12</xdr:col>
      <xdr:colOff>619125</xdr:colOff>
      <xdr:row>28</xdr:row>
      <xdr:rowOff>0</xdr:rowOff>
    </xdr:to>
    <xdr:pic>
      <xdr:nvPicPr>
        <xdr:cNvPr id="4156" name="Object -1016" hidden="1">
          <a:extLst>
            <a:ext uri="{FF2B5EF4-FFF2-40B4-BE49-F238E27FC236}">
              <a16:creationId xmlns:a16="http://schemas.microsoft.com/office/drawing/2014/main" id="{00000000-0008-0000-0500-00003C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58200" y="5245100"/>
          <a:ext cx="6000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19050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157" name="Object -1013" hidden="1">
          <a:extLst>
            <a:ext uri="{FF2B5EF4-FFF2-40B4-BE49-F238E27FC236}">
              <a16:creationId xmlns:a16="http://schemas.microsoft.com/office/drawing/2014/main" id="{00000000-0008-0000-0500-00003D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9725" y="16640175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19050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158" name="Object -1012" hidden="1">
          <a:extLst>
            <a:ext uri="{FF2B5EF4-FFF2-40B4-BE49-F238E27FC236}">
              <a16:creationId xmlns:a16="http://schemas.microsoft.com/office/drawing/2014/main" id="{00000000-0008-0000-0500-00003E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9725" y="16640175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19050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159" name="Object -1011" hidden="1">
          <a:extLst>
            <a:ext uri="{FF2B5EF4-FFF2-40B4-BE49-F238E27FC236}">
              <a16:creationId xmlns:a16="http://schemas.microsoft.com/office/drawing/2014/main" id="{00000000-0008-0000-0500-00003F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9725" y="16640175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19050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160" name="Object -1010" hidden="1">
          <a:extLst>
            <a:ext uri="{FF2B5EF4-FFF2-40B4-BE49-F238E27FC236}">
              <a16:creationId xmlns:a16="http://schemas.microsoft.com/office/drawing/2014/main" id="{00000000-0008-0000-0500-000040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9725" y="16640175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19050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161" name="Object -1009" hidden="1">
          <a:extLst>
            <a:ext uri="{FF2B5EF4-FFF2-40B4-BE49-F238E27FC236}">
              <a16:creationId xmlns:a16="http://schemas.microsoft.com/office/drawing/2014/main" id="{00000000-0008-0000-0500-000041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9725" y="16640175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19050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162" name="Object -1008" hidden="1">
          <a:extLst>
            <a:ext uri="{FF2B5EF4-FFF2-40B4-BE49-F238E27FC236}">
              <a16:creationId xmlns:a16="http://schemas.microsoft.com/office/drawing/2014/main" id="{00000000-0008-0000-0500-000042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9725" y="16640175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19050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163" name="Object -1007" hidden="1">
          <a:extLst>
            <a:ext uri="{FF2B5EF4-FFF2-40B4-BE49-F238E27FC236}">
              <a16:creationId xmlns:a16="http://schemas.microsoft.com/office/drawing/2014/main" id="{00000000-0008-0000-0500-000043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9725" y="16640175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19050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164" name="Object -1006" hidden="1">
          <a:extLst>
            <a:ext uri="{FF2B5EF4-FFF2-40B4-BE49-F238E27FC236}">
              <a16:creationId xmlns:a16="http://schemas.microsoft.com/office/drawing/2014/main" id="{00000000-0008-0000-0500-000044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9725" y="16640175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19050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165" name="Object -1005" hidden="1">
          <a:extLst>
            <a:ext uri="{FF2B5EF4-FFF2-40B4-BE49-F238E27FC236}">
              <a16:creationId xmlns:a16="http://schemas.microsoft.com/office/drawing/2014/main" id="{00000000-0008-0000-0500-000045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9725" y="16640175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4166" name="Object -1022" hidden="1">
          <a:extLst>
            <a:ext uri="{FF2B5EF4-FFF2-40B4-BE49-F238E27FC236}">
              <a16:creationId xmlns:a16="http://schemas.microsoft.com/office/drawing/2014/main" id="{00000000-0008-0000-0500-000046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4167" name="Object -1021" hidden="1">
          <a:extLst>
            <a:ext uri="{FF2B5EF4-FFF2-40B4-BE49-F238E27FC236}">
              <a16:creationId xmlns:a16="http://schemas.microsoft.com/office/drawing/2014/main" id="{00000000-0008-0000-0500-000047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4168" name="Object -1020" hidden="1">
          <a:extLst>
            <a:ext uri="{FF2B5EF4-FFF2-40B4-BE49-F238E27FC236}">
              <a16:creationId xmlns:a16="http://schemas.microsoft.com/office/drawing/2014/main" id="{00000000-0008-0000-0500-000048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4169" name="Object -1019" hidden="1">
          <a:extLst>
            <a:ext uri="{FF2B5EF4-FFF2-40B4-BE49-F238E27FC236}">
              <a16:creationId xmlns:a16="http://schemas.microsoft.com/office/drawing/2014/main" id="{00000000-0008-0000-0500-000049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4170" name="Object -1018" hidden="1">
          <a:extLst>
            <a:ext uri="{FF2B5EF4-FFF2-40B4-BE49-F238E27FC236}">
              <a16:creationId xmlns:a16="http://schemas.microsoft.com/office/drawing/2014/main" id="{00000000-0008-0000-0500-00004A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4171" name="Object -1017" hidden="1">
          <a:extLst>
            <a:ext uri="{FF2B5EF4-FFF2-40B4-BE49-F238E27FC236}">
              <a16:creationId xmlns:a16="http://schemas.microsoft.com/office/drawing/2014/main" id="{00000000-0008-0000-0500-00004B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4172" name="Object -1016" hidden="1">
          <a:extLst>
            <a:ext uri="{FF2B5EF4-FFF2-40B4-BE49-F238E27FC236}">
              <a16:creationId xmlns:a16="http://schemas.microsoft.com/office/drawing/2014/main" id="{00000000-0008-0000-0500-00004C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173" name="Object -1013" hidden="1">
          <a:extLst>
            <a:ext uri="{FF2B5EF4-FFF2-40B4-BE49-F238E27FC236}">
              <a16:creationId xmlns:a16="http://schemas.microsoft.com/office/drawing/2014/main" id="{00000000-0008-0000-0500-00004D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6401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174" name="Object -1012" hidden="1">
          <a:extLst>
            <a:ext uri="{FF2B5EF4-FFF2-40B4-BE49-F238E27FC236}">
              <a16:creationId xmlns:a16="http://schemas.microsoft.com/office/drawing/2014/main" id="{00000000-0008-0000-0500-00004E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6401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175" name="Object -1011" hidden="1">
          <a:extLst>
            <a:ext uri="{FF2B5EF4-FFF2-40B4-BE49-F238E27FC236}">
              <a16:creationId xmlns:a16="http://schemas.microsoft.com/office/drawing/2014/main" id="{00000000-0008-0000-0500-00004F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6401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176" name="Object -1010" hidden="1">
          <a:extLst>
            <a:ext uri="{FF2B5EF4-FFF2-40B4-BE49-F238E27FC236}">
              <a16:creationId xmlns:a16="http://schemas.microsoft.com/office/drawing/2014/main" id="{00000000-0008-0000-0500-000050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6401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177" name="Object -1009" hidden="1">
          <a:extLst>
            <a:ext uri="{FF2B5EF4-FFF2-40B4-BE49-F238E27FC236}">
              <a16:creationId xmlns:a16="http://schemas.microsoft.com/office/drawing/2014/main" id="{00000000-0008-0000-0500-000051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6401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178" name="Object -1008" hidden="1">
          <a:extLst>
            <a:ext uri="{FF2B5EF4-FFF2-40B4-BE49-F238E27FC236}">
              <a16:creationId xmlns:a16="http://schemas.microsoft.com/office/drawing/2014/main" id="{00000000-0008-0000-0500-000052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6401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179" name="Object -1007" hidden="1">
          <a:extLst>
            <a:ext uri="{FF2B5EF4-FFF2-40B4-BE49-F238E27FC236}">
              <a16:creationId xmlns:a16="http://schemas.microsoft.com/office/drawing/2014/main" id="{00000000-0008-0000-0500-000053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6401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180" name="Object -1006" hidden="1">
          <a:extLst>
            <a:ext uri="{FF2B5EF4-FFF2-40B4-BE49-F238E27FC236}">
              <a16:creationId xmlns:a16="http://schemas.microsoft.com/office/drawing/2014/main" id="{00000000-0008-0000-0500-000054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6401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181" name="Object -1005" hidden="1">
          <a:extLst>
            <a:ext uri="{FF2B5EF4-FFF2-40B4-BE49-F238E27FC236}">
              <a16:creationId xmlns:a16="http://schemas.microsoft.com/office/drawing/2014/main" id="{00000000-0008-0000-0500-000055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6401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4182" name="Object -1022" hidden="1">
          <a:extLst>
            <a:ext uri="{FF2B5EF4-FFF2-40B4-BE49-F238E27FC236}">
              <a16:creationId xmlns:a16="http://schemas.microsoft.com/office/drawing/2014/main" id="{00000000-0008-0000-0500-000056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4183" name="Object -1021" hidden="1">
          <a:extLst>
            <a:ext uri="{FF2B5EF4-FFF2-40B4-BE49-F238E27FC236}">
              <a16:creationId xmlns:a16="http://schemas.microsoft.com/office/drawing/2014/main" id="{00000000-0008-0000-0500-000057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4184" name="Object -1020" hidden="1">
          <a:extLst>
            <a:ext uri="{FF2B5EF4-FFF2-40B4-BE49-F238E27FC236}">
              <a16:creationId xmlns:a16="http://schemas.microsoft.com/office/drawing/2014/main" id="{00000000-0008-0000-0500-000058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4185" name="Object -1019" hidden="1">
          <a:extLst>
            <a:ext uri="{FF2B5EF4-FFF2-40B4-BE49-F238E27FC236}">
              <a16:creationId xmlns:a16="http://schemas.microsoft.com/office/drawing/2014/main" id="{00000000-0008-0000-0500-000059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4186" name="Object -1018" hidden="1">
          <a:extLst>
            <a:ext uri="{FF2B5EF4-FFF2-40B4-BE49-F238E27FC236}">
              <a16:creationId xmlns:a16="http://schemas.microsoft.com/office/drawing/2014/main" id="{00000000-0008-0000-0500-00005A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4187" name="Object -1017" hidden="1">
          <a:extLst>
            <a:ext uri="{FF2B5EF4-FFF2-40B4-BE49-F238E27FC236}">
              <a16:creationId xmlns:a16="http://schemas.microsoft.com/office/drawing/2014/main" id="{00000000-0008-0000-0500-00005B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4188" name="Object -1016" hidden="1">
          <a:extLst>
            <a:ext uri="{FF2B5EF4-FFF2-40B4-BE49-F238E27FC236}">
              <a16:creationId xmlns:a16="http://schemas.microsoft.com/office/drawing/2014/main" id="{00000000-0008-0000-0500-00005C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189" name="Object -1013" hidden="1">
          <a:extLst>
            <a:ext uri="{FF2B5EF4-FFF2-40B4-BE49-F238E27FC236}">
              <a16:creationId xmlns:a16="http://schemas.microsoft.com/office/drawing/2014/main" id="{00000000-0008-0000-0500-00005D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6401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190" name="Object -1012" hidden="1">
          <a:extLst>
            <a:ext uri="{FF2B5EF4-FFF2-40B4-BE49-F238E27FC236}">
              <a16:creationId xmlns:a16="http://schemas.microsoft.com/office/drawing/2014/main" id="{00000000-0008-0000-0500-00005E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6401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191" name="Object -1011" hidden="1">
          <a:extLst>
            <a:ext uri="{FF2B5EF4-FFF2-40B4-BE49-F238E27FC236}">
              <a16:creationId xmlns:a16="http://schemas.microsoft.com/office/drawing/2014/main" id="{00000000-0008-0000-0500-00005F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6401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192" name="Object -1010" hidden="1">
          <a:extLst>
            <a:ext uri="{FF2B5EF4-FFF2-40B4-BE49-F238E27FC236}">
              <a16:creationId xmlns:a16="http://schemas.microsoft.com/office/drawing/2014/main" id="{00000000-0008-0000-0500-000060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6401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193" name="Object -1009" hidden="1">
          <a:extLst>
            <a:ext uri="{FF2B5EF4-FFF2-40B4-BE49-F238E27FC236}">
              <a16:creationId xmlns:a16="http://schemas.microsoft.com/office/drawing/2014/main" id="{00000000-0008-0000-0500-000061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6401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194" name="Object -1008" hidden="1">
          <a:extLst>
            <a:ext uri="{FF2B5EF4-FFF2-40B4-BE49-F238E27FC236}">
              <a16:creationId xmlns:a16="http://schemas.microsoft.com/office/drawing/2014/main" id="{00000000-0008-0000-0500-000062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6401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195" name="Object -1007" hidden="1">
          <a:extLst>
            <a:ext uri="{FF2B5EF4-FFF2-40B4-BE49-F238E27FC236}">
              <a16:creationId xmlns:a16="http://schemas.microsoft.com/office/drawing/2014/main" id="{00000000-0008-0000-0500-000063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6401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196" name="Object -1006" hidden="1">
          <a:extLst>
            <a:ext uri="{FF2B5EF4-FFF2-40B4-BE49-F238E27FC236}">
              <a16:creationId xmlns:a16="http://schemas.microsoft.com/office/drawing/2014/main" id="{00000000-0008-0000-0500-000064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6401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197" name="Object -1005" hidden="1">
          <a:extLst>
            <a:ext uri="{FF2B5EF4-FFF2-40B4-BE49-F238E27FC236}">
              <a16:creationId xmlns:a16="http://schemas.microsoft.com/office/drawing/2014/main" id="{00000000-0008-0000-0500-000065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6401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4198" name="Object -1022" hidden="1">
          <a:extLst>
            <a:ext uri="{FF2B5EF4-FFF2-40B4-BE49-F238E27FC236}">
              <a16:creationId xmlns:a16="http://schemas.microsoft.com/office/drawing/2014/main" id="{00000000-0008-0000-0500-000066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4199" name="Object -1021" hidden="1">
          <a:extLst>
            <a:ext uri="{FF2B5EF4-FFF2-40B4-BE49-F238E27FC236}">
              <a16:creationId xmlns:a16="http://schemas.microsoft.com/office/drawing/2014/main" id="{00000000-0008-0000-0500-000067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4200" name="Object -1020" hidden="1">
          <a:extLst>
            <a:ext uri="{FF2B5EF4-FFF2-40B4-BE49-F238E27FC236}">
              <a16:creationId xmlns:a16="http://schemas.microsoft.com/office/drawing/2014/main" id="{00000000-0008-0000-0500-000068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4201" name="Object -1019" hidden="1">
          <a:extLst>
            <a:ext uri="{FF2B5EF4-FFF2-40B4-BE49-F238E27FC236}">
              <a16:creationId xmlns:a16="http://schemas.microsoft.com/office/drawing/2014/main" id="{00000000-0008-0000-0500-000069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4202" name="Object -1018" hidden="1">
          <a:extLst>
            <a:ext uri="{FF2B5EF4-FFF2-40B4-BE49-F238E27FC236}">
              <a16:creationId xmlns:a16="http://schemas.microsoft.com/office/drawing/2014/main" id="{00000000-0008-0000-0500-00006A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4203" name="Object -1017" hidden="1">
          <a:extLst>
            <a:ext uri="{FF2B5EF4-FFF2-40B4-BE49-F238E27FC236}">
              <a16:creationId xmlns:a16="http://schemas.microsoft.com/office/drawing/2014/main" id="{00000000-0008-0000-0500-00006B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4204" name="Object -1016" hidden="1">
          <a:extLst>
            <a:ext uri="{FF2B5EF4-FFF2-40B4-BE49-F238E27FC236}">
              <a16:creationId xmlns:a16="http://schemas.microsoft.com/office/drawing/2014/main" id="{00000000-0008-0000-0500-00006C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205" name="Object -1013" hidden="1">
          <a:extLst>
            <a:ext uri="{FF2B5EF4-FFF2-40B4-BE49-F238E27FC236}">
              <a16:creationId xmlns:a16="http://schemas.microsoft.com/office/drawing/2014/main" id="{00000000-0008-0000-0500-00006D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6401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206" name="Object -1012" hidden="1">
          <a:extLst>
            <a:ext uri="{FF2B5EF4-FFF2-40B4-BE49-F238E27FC236}">
              <a16:creationId xmlns:a16="http://schemas.microsoft.com/office/drawing/2014/main" id="{00000000-0008-0000-0500-00006E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6401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207" name="Object -1011" hidden="1">
          <a:extLst>
            <a:ext uri="{FF2B5EF4-FFF2-40B4-BE49-F238E27FC236}">
              <a16:creationId xmlns:a16="http://schemas.microsoft.com/office/drawing/2014/main" id="{00000000-0008-0000-0500-00006F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6401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208" name="Object -1010" hidden="1">
          <a:extLst>
            <a:ext uri="{FF2B5EF4-FFF2-40B4-BE49-F238E27FC236}">
              <a16:creationId xmlns:a16="http://schemas.microsoft.com/office/drawing/2014/main" id="{00000000-0008-0000-0500-000070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6401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209" name="Object -1009" hidden="1">
          <a:extLst>
            <a:ext uri="{FF2B5EF4-FFF2-40B4-BE49-F238E27FC236}">
              <a16:creationId xmlns:a16="http://schemas.microsoft.com/office/drawing/2014/main" id="{00000000-0008-0000-0500-000071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6401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210" name="Object -1008" hidden="1">
          <a:extLst>
            <a:ext uri="{FF2B5EF4-FFF2-40B4-BE49-F238E27FC236}">
              <a16:creationId xmlns:a16="http://schemas.microsoft.com/office/drawing/2014/main" id="{00000000-0008-0000-0500-000072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6401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211" name="Object -1007" hidden="1">
          <a:extLst>
            <a:ext uri="{FF2B5EF4-FFF2-40B4-BE49-F238E27FC236}">
              <a16:creationId xmlns:a16="http://schemas.microsoft.com/office/drawing/2014/main" id="{00000000-0008-0000-0500-000073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6401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212" name="Object -1006" hidden="1">
          <a:extLst>
            <a:ext uri="{FF2B5EF4-FFF2-40B4-BE49-F238E27FC236}">
              <a16:creationId xmlns:a16="http://schemas.microsoft.com/office/drawing/2014/main" id="{00000000-0008-0000-0500-000074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6401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213" name="Object -1005" hidden="1">
          <a:extLst>
            <a:ext uri="{FF2B5EF4-FFF2-40B4-BE49-F238E27FC236}">
              <a16:creationId xmlns:a16="http://schemas.microsoft.com/office/drawing/2014/main" id="{00000000-0008-0000-0500-000075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6401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4214" name="Object -1022" hidden="1">
          <a:extLst>
            <a:ext uri="{FF2B5EF4-FFF2-40B4-BE49-F238E27FC236}">
              <a16:creationId xmlns:a16="http://schemas.microsoft.com/office/drawing/2014/main" id="{00000000-0008-0000-0500-000076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4215" name="Object -1021" hidden="1">
          <a:extLst>
            <a:ext uri="{FF2B5EF4-FFF2-40B4-BE49-F238E27FC236}">
              <a16:creationId xmlns:a16="http://schemas.microsoft.com/office/drawing/2014/main" id="{00000000-0008-0000-0500-000077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4216" name="Object -1020" hidden="1">
          <a:extLst>
            <a:ext uri="{FF2B5EF4-FFF2-40B4-BE49-F238E27FC236}">
              <a16:creationId xmlns:a16="http://schemas.microsoft.com/office/drawing/2014/main" id="{00000000-0008-0000-0500-000078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4217" name="Object -1019" hidden="1">
          <a:extLst>
            <a:ext uri="{FF2B5EF4-FFF2-40B4-BE49-F238E27FC236}">
              <a16:creationId xmlns:a16="http://schemas.microsoft.com/office/drawing/2014/main" id="{00000000-0008-0000-0500-000079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4218" name="Object -1018" hidden="1">
          <a:extLst>
            <a:ext uri="{FF2B5EF4-FFF2-40B4-BE49-F238E27FC236}">
              <a16:creationId xmlns:a16="http://schemas.microsoft.com/office/drawing/2014/main" id="{00000000-0008-0000-0500-00007A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4219" name="Object -1017" hidden="1">
          <a:extLst>
            <a:ext uri="{FF2B5EF4-FFF2-40B4-BE49-F238E27FC236}">
              <a16:creationId xmlns:a16="http://schemas.microsoft.com/office/drawing/2014/main" id="{00000000-0008-0000-0500-00007B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4220" name="Object -1016" hidden="1">
          <a:extLst>
            <a:ext uri="{FF2B5EF4-FFF2-40B4-BE49-F238E27FC236}">
              <a16:creationId xmlns:a16="http://schemas.microsoft.com/office/drawing/2014/main" id="{00000000-0008-0000-0500-00007C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221" name="Object -1013" hidden="1">
          <a:extLst>
            <a:ext uri="{FF2B5EF4-FFF2-40B4-BE49-F238E27FC236}">
              <a16:creationId xmlns:a16="http://schemas.microsoft.com/office/drawing/2014/main" id="{00000000-0008-0000-0500-00007D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6401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222" name="Object -1012" hidden="1">
          <a:extLst>
            <a:ext uri="{FF2B5EF4-FFF2-40B4-BE49-F238E27FC236}">
              <a16:creationId xmlns:a16="http://schemas.microsoft.com/office/drawing/2014/main" id="{00000000-0008-0000-0500-00007E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6401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223" name="Object -1011" hidden="1">
          <a:extLst>
            <a:ext uri="{FF2B5EF4-FFF2-40B4-BE49-F238E27FC236}">
              <a16:creationId xmlns:a16="http://schemas.microsoft.com/office/drawing/2014/main" id="{00000000-0008-0000-0500-00007F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6401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224" name="Object -1010" hidden="1">
          <a:extLst>
            <a:ext uri="{FF2B5EF4-FFF2-40B4-BE49-F238E27FC236}">
              <a16:creationId xmlns:a16="http://schemas.microsoft.com/office/drawing/2014/main" id="{00000000-0008-0000-0500-000080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6401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225" name="Object -1009" hidden="1">
          <a:extLst>
            <a:ext uri="{FF2B5EF4-FFF2-40B4-BE49-F238E27FC236}">
              <a16:creationId xmlns:a16="http://schemas.microsoft.com/office/drawing/2014/main" id="{00000000-0008-0000-0500-000081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6401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226" name="Object -1008" hidden="1">
          <a:extLst>
            <a:ext uri="{FF2B5EF4-FFF2-40B4-BE49-F238E27FC236}">
              <a16:creationId xmlns:a16="http://schemas.microsoft.com/office/drawing/2014/main" id="{00000000-0008-0000-0500-000082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6401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227" name="Object -1007" hidden="1">
          <a:extLst>
            <a:ext uri="{FF2B5EF4-FFF2-40B4-BE49-F238E27FC236}">
              <a16:creationId xmlns:a16="http://schemas.microsoft.com/office/drawing/2014/main" id="{00000000-0008-0000-0500-000083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6401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228" name="Object -1006" hidden="1">
          <a:extLst>
            <a:ext uri="{FF2B5EF4-FFF2-40B4-BE49-F238E27FC236}">
              <a16:creationId xmlns:a16="http://schemas.microsoft.com/office/drawing/2014/main" id="{00000000-0008-0000-0500-000084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6401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229" name="Object -1005" hidden="1">
          <a:extLst>
            <a:ext uri="{FF2B5EF4-FFF2-40B4-BE49-F238E27FC236}">
              <a16:creationId xmlns:a16="http://schemas.microsoft.com/office/drawing/2014/main" id="{00000000-0008-0000-0500-000085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6401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4230" name="Object -1022" hidden="1">
          <a:extLst>
            <a:ext uri="{FF2B5EF4-FFF2-40B4-BE49-F238E27FC236}">
              <a16:creationId xmlns:a16="http://schemas.microsoft.com/office/drawing/2014/main" id="{00000000-0008-0000-0500-000086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4231" name="Object -1021" hidden="1">
          <a:extLst>
            <a:ext uri="{FF2B5EF4-FFF2-40B4-BE49-F238E27FC236}">
              <a16:creationId xmlns:a16="http://schemas.microsoft.com/office/drawing/2014/main" id="{00000000-0008-0000-0500-000087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4232" name="Object -1020" hidden="1">
          <a:extLst>
            <a:ext uri="{FF2B5EF4-FFF2-40B4-BE49-F238E27FC236}">
              <a16:creationId xmlns:a16="http://schemas.microsoft.com/office/drawing/2014/main" id="{00000000-0008-0000-0500-000088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4233" name="Object -1019" hidden="1">
          <a:extLst>
            <a:ext uri="{FF2B5EF4-FFF2-40B4-BE49-F238E27FC236}">
              <a16:creationId xmlns:a16="http://schemas.microsoft.com/office/drawing/2014/main" id="{00000000-0008-0000-0500-000089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4234" name="Object -1018" hidden="1">
          <a:extLst>
            <a:ext uri="{FF2B5EF4-FFF2-40B4-BE49-F238E27FC236}">
              <a16:creationId xmlns:a16="http://schemas.microsoft.com/office/drawing/2014/main" id="{00000000-0008-0000-0500-00008A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4235" name="Object -1017" hidden="1">
          <a:extLst>
            <a:ext uri="{FF2B5EF4-FFF2-40B4-BE49-F238E27FC236}">
              <a16:creationId xmlns:a16="http://schemas.microsoft.com/office/drawing/2014/main" id="{00000000-0008-0000-0500-00008B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4236" name="Object -1016" hidden="1">
          <a:extLst>
            <a:ext uri="{FF2B5EF4-FFF2-40B4-BE49-F238E27FC236}">
              <a16:creationId xmlns:a16="http://schemas.microsoft.com/office/drawing/2014/main" id="{00000000-0008-0000-0500-00008C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237" name="Object -1013" hidden="1">
          <a:extLst>
            <a:ext uri="{FF2B5EF4-FFF2-40B4-BE49-F238E27FC236}">
              <a16:creationId xmlns:a16="http://schemas.microsoft.com/office/drawing/2014/main" id="{00000000-0008-0000-0500-00008D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6401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238" name="Object -1012" hidden="1">
          <a:extLst>
            <a:ext uri="{FF2B5EF4-FFF2-40B4-BE49-F238E27FC236}">
              <a16:creationId xmlns:a16="http://schemas.microsoft.com/office/drawing/2014/main" id="{00000000-0008-0000-0500-00008E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6401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239" name="Object -1011" hidden="1">
          <a:extLst>
            <a:ext uri="{FF2B5EF4-FFF2-40B4-BE49-F238E27FC236}">
              <a16:creationId xmlns:a16="http://schemas.microsoft.com/office/drawing/2014/main" id="{00000000-0008-0000-0500-00008F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6401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240" name="Object -1010" hidden="1">
          <a:extLst>
            <a:ext uri="{FF2B5EF4-FFF2-40B4-BE49-F238E27FC236}">
              <a16:creationId xmlns:a16="http://schemas.microsoft.com/office/drawing/2014/main" id="{00000000-0008-0000-0500-000090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6401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241" name="Object -1009" hidden="1">
          <a:extLst>
            <a:ext uri="{FF2B5EF4-FFF2-40B4-BE49-F238E27FC236}">
              <a16:creationId xmlns:a16="http://schemas.microsoft.com/office/drawing/2014/main" id="{00000000-0008-0000-0500-000091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6401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242" name="Object -1008" hidden="1">
          <a:extLst>
            <a:ext uri="{FF2B5EF4-FFF2-40B4-BE49-F238E27FC236}">
              <a16:creationId xmlns:a16="http://schemas.microsoft.com/office/drawing/2014/main" id="{00000000-0008-0000-0500-000092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6401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243" name="Object -1007" hidden="1">
          <a:extLst>
            <a:ext uri="{FF2B5EF4-FFF2-40B4-BE49-F238E27FC236}">
              <a16:creationId xmlns:a16="http://schemas.microsoft.com/office/drawing/2014/main" id="{00000000-0008-0000-0500-000093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6401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244" name="Object -1006" hidden="1">
          <a:extLst>
            <a:ext uri="{FF2B5EF4-FFF2-40B4-BE49-F238E27FC236}">
              <a16:creationId xmlns:a16="http://schemas.microsoft.com/office/drawing/2014/main" id="{00000000-0008-0000-0500-000094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6401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245" name="Object -1005" hidden="1">
          <a:extLst>
            <a:ext uri="{FF2B5EF4-FFF2-40B4-BE49-F238E27FC236}">
              <a16:creationId xmlns:a16="http://schemas.microsoft.com/office/drawing/2014/main" id="{00000000-0008-0000-0500-000095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6401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4246" name="Object -1022" hidden="1">
          <a:extLst>
            <a:ext uri="{FF2B5EF4-FFF2-40B4-BE49-F238E27FC236}">
              <a16:creationId xmlns:a16="http://schemas.microsoft.com/office/drawing/2014/main" id="{00000000-0008-0000-0500-000096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4247" name="Object -1021" hidden="1">
          <a:extLst>
            <a:ext uri="{FF2B5EF4-FFF2-40B4-BE49-F238E27FC236}">
              <a16:creationId xmlns:a16="http://schemas.microsoft.com/office/drawing/2014/main" id="{00000000-0008-0000-0500-000097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4248" name="Object -1020" hidden="1">
          <a:extLst>
            <a:ext uri="{FF2B5EF4-FFF2-40B4-BE49-F238E27FC236}">
              <a16:creationId xmlns:a16="http://schemas.microsoft.com/office/drawing/2014/main" id="{00000000-0008-0000-0500-000098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4249" name="Object -1019" hidden="1">
          <a:extLst>
            <a:ext uri="{FF2B5EF4-FFF2-40B4-BE49-F238E27FC236}">
              <a16:creationId xmlns:a16="http://schemas.microsoft.com/office/drawing/2014/main" id="{00000000-0008-0000-0500-000099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4250" name="Object -1018" hidden="1">
          <a:extLst>
            <a:ext uri="{FF2B5EF4-FFF2-40B4-BE49-F238E27FC236}">
              <a16:creationId xmlns:a16="http://schemas.microsoft.com/office/drawing/2014/main" id="{00000000-0008-0000-0500-00009A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4251" name="Object -1017" hidden="1">
          <a:extLst>
            <a:ext uri="{FF2B5EF4-FFF2-40B4-BE49-F238E27FC236}">
              <a16:creationId xmlns:a16="http://schemas.microsoft.com/office/drawing/2014/main" id="{00000000-0008-0000-0500-00009B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4252" name="Object -1016" hidden="1">
          <a:extLst>
            <a:ext uri="{FF2B5EF4-FFF2-40B4-BE49-F238E27FC236}">
              <a16:creationId xmlns:a16="http://schemas.microsoft.com/office/drawing/2014/main" id="{00000000-0008-0000-0500-00009C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253" name="Object -1013" hidden="1">
          <a:extLst>
            <a:ext uri="{FF2B5EF4-FFF2-40B4-BE49-F238E27FC236}">
              <a16:creationId xmlns:a16="http://schemas.microsoft.com/office/drawing/2014/main" id="{00000000-0008-0000-0500-00009D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6401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254" name="Object -1012" hidden="1">
          <a:extLst>
            <a:ext uri="{FF2B5EF4-FFF2-40B4-BE49-F238E27FC236}">
              <a16:creationId xmlns:a16="http://schemas.microsoft.com/office/drawing/2014/main" id="{00000000-0008-0000-0500-00009E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6401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255" name="Object -1011" hidden="1">
          <a:extLst>
            <a:ext uri="{FF2B5EF4-FFF2-40B4-BE49-F238E27FC236}">
              <a16:creationId xmlns:a16="http://schemas.microsoft.com/office/drawing/2014/main" id="{00000000-0008-0000-0500-00009F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6401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256" name="Object -1010" hidden="1">
          <a:extLst>
            <a:ext uri="{FF2B5EF4-FFF2-40B4-BE49-F238E27FC236}">
              <a16:creationId xmlns:a16="http://schemas.microsoft.com/office/drawing/2014/main" id="{00000000-0008-0000-0500-0000A0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6401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257" name="Object -1009" hidden="1">
          <a:extLst>
            <a:ext uri="{FF2B5EF4-FFF2-40B4-BE49-F238E27FC236}">
              <a16:creationId xmlns:a16="http://schemas.microsoft.com/office/drawing/2014/main" id="{00000000-0008-0000-0500-0000A1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6401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258" name="Object -1008" hidden="1">
          <a:extLst>
            <a:ext uri="{FF2B5EF4-FFF2-40B4-BE49-F238E27FC236}">
              <a16:creationId xmlns:a16="http://schemas.microsoft.com/office/drawing/2014/main" id="{00000000-0008-0000-0500-0000A2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6401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259" name="Object -1007" hidden="1">
          <a:extLst>
            <a:ext uri="{FF2B5EF4-FFF2-40B4-BE49-F238E27FC236}">
              <a16:creationId xmlns:a16="http://schemas.microsoft.com/office/drawing/2014/main" id="{00000000-0008-0000-0500-0000A3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6401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260" name="Object -1006" hidden="1">
          <a:extLst>
            <a:ext uri="{FF2B5EF4-FFF2-40B4-BE49-F238E27FC236}">
              <a16:creationId xmlns:a16="http://schemas.microsoft.com/office/drawing/2014/main" id="{00000000-0008-0000-0500-0000A4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6401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261" name="Object -1005" hidden="1">
          <a:extLst>
            <a:ext uri="{FF2B5EF4-FFF2-40B4-BE49-F238E27FC236}">
              <a16:creationId xmlns:a16="http://schemas.microsoft.com/office/drawing/2014/main" id="{00000000-0008-0000-0500-0000A5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6401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4262" name="Object -1022" hidden="1">
          <a:extLst>
            <a:ext uri="{FF2B5EF4-FFF2-40B4-BE49-F238E27FC236}">
              <a16:creationId xmlns:a16="http://schemas.microsoft.com/office/drawing/2014/main" id="{00000000-0008-0000-0500-0000A6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4263" name="Object -1021" hidden="1">
          <a:extLst>
            <a:ext uri="{FF2B5EF4-FFF2-40B4-BE49-F238E27FC236}">
              <a16:creationId xmlns:a16="http://schemas.microsoft.com/office/drawing/2014/main" id="{00000000-0008-0000-0500-0000A7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4264" name="Object -1020" hidden="1">
          <a:extLst>
            <a:ext uri="{FF2B5EF4-FFF2-40B4-BE49-F238E27FC236}">
              <a16:creationId xmlns:a16="http://schemas.microsoft.com/office/drawing/2014/main" id="{00000000-0008-0000-0500-0000A8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4265" name="Object -1019" hidden="1">
          <a:extLst>
            <a:ext uri="{FF2B5EF4-FFF2-40B4-BE49-F238E27FC236}">
              <a16:creationId xmlns:a16="http://schemas.microsoft.com/office/drawing/2014/main" id="{00000000-0008-0000-0500-0000A9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4266" name="Object -1018" hidden="1">
          <a:extLst>
            <a:ext uri="{FF2B5EF4-FFF2-40B4-BE49-F238E27FC236}">
              <a16:creationId xmlns:a16="http://schemas.microsoft.com/office/drawing/2014/main" id="{00000000-0008-0000-0500-0000AA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4267" name="Object -1017" hidden="1">
          <a:extLst>
            <a:ext uri="{FF2B5EF4-FFF2-40B4-BE49-F238E27FC236}">
              <a16:creationId xmlns:a16="http://schemas.microsoft.com/office/drawing/2014/main" id="{00000000-0008-0000-0500-0000AB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4268" name="Object -1016" hidden="1">
          <a:extLst>
            <a:ext uri="{FF2B5EF4-FFF2-40B4-BE49-F238E27FC236}">
              <a16:creationId xmlns:a16="http://schemas.microsoft.com/office/drawing/2014/main" id="{00000000-0008-0000-0500-0000AC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269" name="Object -1013" hidden="1">
          <a:extLst>
            <a:ext uri="{FF2B5EF4-FFF2-40B4-BE49-F238E27FC236}">
              <a16:creationId xmlns:a16="http://schemas.microsoft.com/office/drawing/2014/main" id="{00000000-0008-0000-0500-0000AD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6401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270" name="Object -1012" hidden="1">
          <a:extLst>
            <a:ext uri="{FF2B5EF4-FFF2-40B4-BE49-F238E27FC236}">
              <a16:creationId xmlns:a16="http://schemas.microsoft.com/office/drawing/2014/main" id="{00000000-0008-0000-0500-0000AE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6401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271" name="Object -1011" hidden="1">
          <a:extLst>
            <a:ext uri="{FF2B5EF4-FFF2-40B4-BE49-F238E27FC236}">
              <a16:creationId xmlns:a16="http://schemas.microsoft.com/office/drawing/2014/main" id="{00000000-0008-0000-0500-0000AF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6401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272" name="Object -1010" hidden="1">
          <a:extLst>
            <a:ext uri="{FF2B5EF4-FFF2-40B4-BE49-F238E27FC236}">
              <a16:creationId xmlns:a16="http://schemas.microsoft.com/office/drawing/2014/main" id="{00000000-0008-0000-0500-0000B0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6401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273" name="Object -1009" hidden="1">
          <a:extLst>
            <a:ext uri="{FF2B5EF4-FFF2-40B4-BE49-F238E27FC236}">
              <a16:creationId xmlns:a16="http://schemas.microsoft.com/office/drawing/2014/main" id="{00000000-0008-0000-0500-0000B1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6401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274" name="Object -1008" hidden="1">
          <a:extLst>
            <a:ext uri="{FF2B5EF4-FFF2-40B4-BE49-F238E27FC236}">
              <a16:creationId xmlns:a16="http://schemas.microsoft.com/office/drawing/2014/main" id="{00000000-0008-0000-0500-0000B2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6401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275" name="Object -1007" hidden="1">
          <a:extLst>
            <a:ext uri="{FF2B5EF4-FFF2-40B4-BE49-F238E27FC236}">
              <a16:creationId xmlns:a16="http://schemas.microsoft.com/office/drawing/2014/main" id="{00000000-0008-0000-0500-0000B3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6401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276" name="Object -1006" hidden="1">
          <a:extLst>
            <a:ext uri="{FF2B5EF4-FFF2-40B4-BE49-F238E27FC236}">
              <a16:creationId xmlns:a16="http://schemas.microsoft.com/office/drawing/2014/main" id="{00000000-0008-0000-0500-0000B4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6401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277" name="Object -1005" hidden="1">
          <a:extLst>
            <a:ext uri="{FF2B5EF4-FFF2-40B4-BE49-F238E27FC236}">
              <a16:creationId xmlns:a16="http://schemas.microsoft.com/office/drawing/2014/main" id="{00000000-0008-0000-0500-0000B5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6401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7620</xdr:colOff>
      <xdr:row>28</xdr:row>
      <xdr:rowOff>0</xdr:rowOff>
    </xdr:from>
    <xdr:to>
      <xdr:col>12</xdr:col>
      <xdr:colOff>327660</xdr:colOff>
      <xdr:row>28</xdr:row>
      <xdr:rowOff>0</xdr:rowOff>
    </xdr:to>
    <xdr:pic>
      <xdr:nvPicPr>
        <xdr:cNvPr id="4278" name="Object -1022" hidden="1">
          <a:extLst>
            <a:ext uri="{FF2B5EF4-FFF2-40B4-BE49-F238E27FC236}">
              <a16:creationId xmlns:a16="http://schemas.microsoft.com/office/drawing/2014/main" id="{00000000-0008-0000-0500-0000B6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6770" y="5245100"/>
          <a:ext cx="32004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7620</xdr:colOff>
      <xdr:row>28</xdr:row>
      <xdr:rowOff>0</xdr:rowOff>
    </xdr:from>
    <xdr:to>
      <xdr:col>12</xdr:col>
      <xdr:colOff>327660</xdr:colOff>
      <xdr:row>28</xdr:row>
      <xdr:rowOff>0</xdr:rowOff>
    </xdr:to>
    <xdr:pic>
      <xdr:nvPicPr>
        <xdr:cNvPr id="4279" name="Object -1021" hidden="1">
          <a:extLst>
            <a:ext uri="{FF2B5EF4-FFF2-40B4-BE49-F238E27FC236}">
              <a16:creationId xmlns:a16="http://schemas.microsoft.com/office/drawing/2014/main" id="{00000000-0008-0000-0500-0000B7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6770" y="5245100"/>
          <a:ext cx="32004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7620</xdr:colOff>
      <xdr:row>28</xdr:row>
      <xdr:rowOff>0</xdr:rowOff>
    </xdr:from>
    <xdr:to>
      <xdr:col>12</xdr:col>
      <xdr:colOff>327660</xdr:colOff>
      <xdr:row>28</xdr:row>
      <xdr:rowOff>0</xdr:rowOff>
    </xdr:to>
    <xdr:pic>
      <xdr:nvPicPr>
        <xdr:cNvPr id="4280" name="Object -1020" hidden="1">
          <a:extLst>
            <a:ext uri="{FF2B5EF4-FFF2-40B4-BE49-F238E27FC236}">
              <a16:creationId xmlns:a16="http://schemas.microsoft.com/office/drawing/2014/main" id="{00000000-0008-0000-0500-0000B8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6770" y="5245100"/>
          <a:ext cx="32004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7620</xdr:colOff>
      <xdr:row>28</xdr:row>
      <xdr:rowOff>0</xdr:rowOff>
    </xdr:from>
    <xdr:to>
      <xdr:col>12</xdr:col>
      <xdr:colOff>327660</xdr:colOff>
      <xdr:row>28</xdr:row>
      <xdr:rowOff>0</xdr:rowOff>
    </xdr:to>
    <xdr:pic>
      <xdr:nvPicPr>
        <xdr:cNvPr id="4281" name="Object -1019" hidden="1">
          <a:extLst>
            <a:ext uri="{FF2B5EF4-FFF2-40B4-BE49-F238E27FC236}">
              <a16:creationId xmlns:a16="http://schemas.microsoft.com/office/drawing/2014/main" id="{00000000-0008-0000-0500-0000B9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6770" y="5245100"/>
          <a:ext cx="32004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7620</xdr:colOff>
      <xdr:row>28</xdr:row>
      <xdr:rowOff>0</xdr:rowOff>
    </xdr:from>
    <xdr:to>
      <xdr:col>12</xdr:col>
      <xdr:colOff>327660</xdr:colOff>
      <xdr:row>28</xdr:row>
      <xdr:rowOff>0</xdr:rowOff>
    </xdr:to>
    <xdr:pic>
      <xdr:nvPicPr>
        <xdr:cNvPr id="4282" name="Object -1018" hidden="1">
          <a:extLst>
            <a:ext uri="{FF2B5EF4-FFF2-40B4-BE49-F238E27FC236}">
              <a16:creationId xmlns:a16="http://schemas.microsoft.com/office/drawing/2014/main" id="{00000000-0008-0000-0500-0000BA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6770" y="5245100"/>
          <a:ext cx="32004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7620</xdr:colOff>
      <xdr:row>28</xdr:row>
      <xdr:rowOff>0</xdr:rowOff>
    </xdr:from>
    <xdr:to>
      <xdr:col>12</xdr:col>
      <xdr:colOff>327660</xdr:colOff>
      <xdr:row>28</xdr:row>
      <xdr:rowOff>0</xdr:rowOff>
    </xdr:to>
    <xdr:pic>
      <xdr:nvPicPr>
        <xdr:cNvPr id="4283" name="Object -1017" hidden="1">
          <a:extLst>
            <a:ext uri="{FF2B5EF4-FFF2-40B4-BE49-F238E27FC236}">
              <a16:creationId xmlns:a16="http://schemas.microsoft.com/office/drawing/2014/main" id="{00000000-0008-0000-0500-0000BB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6770" y="5245100"/>
          <a:ext cx="32004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7620</xdr:colOff>
      <xdr:row>28</xdr:row>
      <xdr:rowOff>0</xdr:rowOff>
    </xdr:from>
    <xdr:to>
      <xdr:col>12</xdr:col>
      <xdr:colOff>327660</xdr:colOff>
      <xdr:row>28</xdr:row>
      <xdr:rowOff>0</xdr:rowOff>
    </xdr:to>
    <xdr:pic>
      <xdr:nvPicPr>
        <xdr:cNvPr id="4284" name="Object -1016" hidden="1">
          <a:extLst>
            <a:ext uri="{FF2B5EF4-FFF2-40B4-BE49-F238E27FC236}">
              <a16:creationId xmlns:a16="http://schemas.microsoft.com/office/drawing/2014/main" id="{00000000-0008-0000-0500-0000BC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6770" y="5245100"/>
          <a:ext cx="32004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7620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285" name="Object -1013" hidden="1">
          <a:extLst>
            <a:ext uri="{FF2B5EF4-FFF2-40B4-BE49-F238E27FC236}">
              <a16:creationId xmlns:a16="http://schemas.microsoft.com/office/drawing/2014/main" id="{00000000-0008-0000-0500-0000BD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70220" y="16466820"/>
          <a:ext cx="42672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7620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286" name="Object -1012" hidden="1">
          <a:extLst>
            <a:ext uri="{FF2B5EF4-FFF2-40B4-BE49-F238E27FC236}">
              <a16:creationId xmlns:a16="http://schemas.microsoft.com/office/drawing/2014/main" id="{00000000-0008-0000-0500-0000BE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70220" y="16466820"/>
          <a:ext cx="42672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7620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287" name="Object -1011" hidden="1">
          <a:extLst>
            <a:ext uri="{FF2B5EF4-FFF2-40B4-BE49-F238E27FC236}">
              <a16:creationId xmlns:a16="http://schemas.microsoft.com/office/drawing/2014/main" id="{00000000-0008-0000-0500-0000BF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70220" y="16466820"/>
          <a:ext cx="42672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7620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288" name="Object -1010" hidden="1">
          <a:extLst>
            <a:ext uri="{FF2B5EF4-FFF2-40B4-BE49-F238E27FC236}">
              <a16:creationId xmlns:a16="http://schemas.microsoft.com/office/drawing/2014/main" id="{00000000-0008-0000-0500-0000C0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70220" y="16466820"/>
          <a:ext cx="42672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7620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289" name="Object -1009" hidden="1">
          <a:extLst>
            <a:ext uri="{FF2B5EF4-FFF2-40B4-BE49-F238E27FC236}">
              <a16:creationId xmlns:a16="http://schemas.microsoft.com/office/drawing/2014/main" id="{00000000-0008-0000-0500-0000C1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70220" y="16466820"/>
          <a:ext cx="42672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7620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290" name="Object -1008" hidden="1">
          <a:extLst>
            <a:ext uri="{FF2B5EF4-FFF2-40B4-BE49-F238E27FC236}">
              <a16:creationId xmlns:a16="http://schemas.microsoft.com/office/drawing/2014/main" id="{00000000-0008-0000-0500-0000C2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70220" y="16466820"/>
          <a:ext cx="42672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7620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291" name="Object -1007" hidden="1">
          <a:extLst>
            <a:ext uri="{FF2B5EF4-FFF2-40B4-BE49-F238E27FC236}">
              <a16:creationId xmlns:a16="http://schemas.microsoft.com/office/drawing/2014/main" id="{00000000-0008-0000-0500-0000C3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70220" y="16466820"/>
          <a:ext cx="42672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7620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292" name="Object -1006" hidden="1">
          <a:extLst>
            <a:ext uri="{FF2B5EF4-FFF2-40B4-BE49-F238E27FC236}">
              <a16:creationId xmlns:a16="http://schemas.microsoft.com/office/drawing/2014/main" id="{00000000-0008-0000-0500-0000C4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70220" y="16466820"/>
          <a:ext cx="42672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7620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293" name="Object -1005" hidden="1">
          <a:extLst>
            <a:ext uri="{FF2B5EF4-FFF2-40B4-BE49-F238E27FC236}">
              <a16:creationId xmlns:a16="http://schemas.microsoft.com/office/drawing/2014/main" id="{00000000-0008-0000-0500-0000C5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70220" y="16466820"/>
          <a:ext cx="42672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514350</xdr:colOff>
      <xdr:row>28</xdr:row>
      <xdr:rowOff>0</xdr:rowOff>
    </xdr:to>
    <xdr:pic>
      <xdr:nvPicPr>
        <xdr:cNvPr id="4294" name="Object -1022" hidden="1">
          <a:extLst>
            <a:ext uri="{FF2B5EF4-FFF2-40B4-BE49-F238E27FC236}">
              <a16:creationId xmlns:a16="http://schemas.microsoft.com/office/drawing/2014/main" id="{00000000-0008-0000-0500-0000C6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50482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514350</xdr:colOff>
      <xdr:row>28</xdr:row>
      <xdr:rowOff>0</xdr:rowOff>
    </xdr:to>
    <xdr:pic>
      <xdr:nvPicPr>
        <xdr:cNvPr id="4295" name="Object -1021" hidden="1">
          <a:extLst>
            <a:ext uri="{FF2B5EF4-FFF2-40B4-BE49-F238E27FC236}">
              <a16:creationId xmlns:a16="http://schemas.microsoft.com/office/drawing/2014/main" id="{00000000-0008-0000-0500-0000C7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50482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514350</xdr:colOff>
      <xdr:row>28</xdr:row>
      <xdr:rowOff>0</xdr:rowOff>
    </xdr:to>
    <xdr:pic>
      <xdr:nvPicPr>
        <xdr:cNvPr id="4296" name="Object -1020" hidden="1">
          <a:extLst>
            <a:ext uri="{FF2B5EF4-FFF2-40B4-BE49-F238E27FC236}">
              <a16:creationId xmlns:a16="http://schemas.microsoft.com/office/drawing/2014/main" id="{00000000-0008-0000-0500-0000C8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50482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514350</xdr:colOff>
      <xdr:row>28</xdr:row>
      <xdr:rowOff>0</xdr:rowOff>
    </xdr:to>
    <xdr:pic>
      <xdr:nvPicPr>
        <xdr:cNvPr id="4297" name="Object -1019" hidden="1">
          <a:extLst>
            <a:ext uri="{FF2B5EF4-FFF2-40B4-BE49-F238E27FC236}">
              <a16:creationId xmlns:a16="http://schemas.microsoft.com/office/drawing/2014/main" id="{00000000-0008-0000-0500-0000C9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50482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514350</xdr:colOff>
      <xdr:row>28</xdr:row>
      <xdr:rowOff>0</xdr:rowOff>
    </xdr:to>
    <xdr:pic>
      <xdr:nvPicPr>
        <xdr:cNvPr id="4298" name="Object -1018" hidden="1">
          <a:extLst>
            <a:ext uri="{FF2B5EF4-FFF2-40B4-BE49-F238E27FC236}">
              <a16:creationId xmlns:a16="http://schemas.microsoft.com/office/drawing/2014/main" id="{00000000-0008-0000-0500-0000CA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50482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514350</xdr:colOff>
      <xdr:row>28</xdr:row>
      <xdr:rowOff>0</xdr:rowOff>
    </xdr:to>
    <xdr:pic>
      <xdr:nvPicPr>
        <xdr:cNvPr id="4299" name="Object -1017" hidden="1">
          <a:extLst>
            <a:ext uri="{FF2B5EF4-FFF2-40B4-BE49-F238E27FC236}">
              <a16:creationId xmlns:a16="http://schemas.microsoft.com/office/drawing/2014/main" id="{00000000-0008-0000-0500-0000CB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50482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514350</xdr:colOff>
      <xdr:row>28</xdr:row>
      <xdr:rowOff>0</xdr:rowOff>
    </xdr:to>
    <xdr:pic>
      <xdr:nvPicPr>
        <xdr:cNvPr id="4300" name="Object -1016" hidden="1">
          <a:extLst>
            <a:ext uri="{FF2B5EF4-FFF2-40B4-BE49-F238E27FC236}">
              <a16:creationId xmlns:a16="http://schemas.microsoft.com/office/drawing/2014/main" id="{00000000-0008-0000-0500-0000CC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50482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301" name="Object -1013" hidden="1">
          <a:extLst>
            <a:ext uri="{FF2B5EF4-FFF2-40B4-BE49-F238E27FC236}">
              <a16:creationId xmlns:a16="http://schemas.microsoft.com/office/drawing/2014/main" id="{00000000-0008-0000-0500-0000CD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6401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302" name="Object -1012" hidden="1">
          <a:extLst>
            <a:ext uri="{FF2B5EF4-FFF2-40B4-BE49-F238E27FC236}">
              <a16:creationId xmlns:a16="http://schemas.microsoft.com/office/drawing/2014/main" id="{00000000-0008-0000-0500-0000CE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6401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303" name="Object -1011" hidden="1">
          <a:extLst>
            <a:ext uri="{FF2B5EF4-FFF2-40B4-BE49-F238E27FC236}">
              <a16:creationId xmlns:a16="http://schemas.microsoft.com/office/drawing/2014/main" id="{00000000-0008-0000-0500-0000CF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6401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304" name="Object -1010" hidden="1">
          <a:extLst>
            <a:ext uri="{FF2B5EF4-FFF2-40B4-BE49-F238E27FC236}">
              <a16:creationId xmlns:a16="http://schemas.microsoft.com/office/drawing/2014/main" id="{00000000-0008-0000-0500-0000D0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6401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305" name="Object -1009" hidden="1">
          <a:extLst>
            <a:ext uri="{FF2B5EF4-FFF2-40B4-BE49-F238E27FC236}">
              <a16:creationId xmlns:a16="http://schemas.microsoft.com/office/drawing/2014/main" id="{00000000-0008-0000-0500-0000D1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6401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306" name="Object -1008" hidden="1">
          <a:extLst>
            <a:ext uri="{FF2B5EF4-FFF2-40B4-BE49-F238E27FC236}">
              <a16:creationId xmlns:a16="http://schemas.microsoft.com/office/drawing/2014/main" id="{00000000-0008-0000-0500-0000D2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6401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307" name="Object -1007" hidden="1">
          <a:extLst>
            <a:ext uri="{FF2B5EF4-FFF2-40B4-BE49-F238E27FC236}">
              <a16:creationId xmlns:a16="http://schemas.microsoft.com/office/drawing/2014/main" id="{00000000-0008-0000-0500-0000D3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6401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308" name="Object -1006" hidden="1">
          <a:extLst>
            <a:ext uri="{FF2B5EF4-FFF2-40B4-BE49-F238E27FC236}">
              <a16:creationId xmlns:a16="http://schemas.microsoft.com/office/drawing/2014/main" id="{00000000-0008-0000-0500-0000D4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6401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309" name="Object -1005" hidden="1">
          <a:extLst>
            <a:ext uri="{FF2B5EF4-FFF2-40B4-BE49-F238E27FC236}">
              <a16:creationId xmlns:a16="http://schemas.microsoft.com/office/drawing/2014/main" id="{00000000-0008-0000-0500-0000D5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6401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4310" name="Object -1022" hidden="1">
          <a:extLst>
            <a:ext uri="{FF2B5EF4-FFF2-40B4-BE49-F238E27FC236}">
              <a16:creationId xmlns:a16="http://schemas.microsoft.com/office/drawing/2014/main" id="{00000000-0008-0000-0500-0000D6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4311" name="Object -1021" hidden="1">
          <a:extLst>
            <a:ext uri="{FF2B5EF4-FFF2-40B4-BE49-F238E27FC236}">
              <a16:creationId xmlns:a16="http://schemas.microsoft.com/office/drawing/2014/main" id="{00000000-0008-0000-0500-0000D7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4312" name="Object -1020" hidden="1">
          <a:extLst>
            <a:ext uri="{FF2B5EF4-FFF2-40B4-BE49-F238E27FC236}">
              <a16:creationId xmlns:a16="http://schemas.microsoft.com/office/drawing/2014/main" id="{00000000-0008-0000-0500-0000D8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4313" name="Object -1019" hidden="1">
          <a:extLst>
            <a:ext uri="{FF2B5EF4-FFF2-40B4-BE49-F238E27FC236}">
              <a16:creationId xmlns:a16="http://schemas.microsoft.com/office/drawing/2014/main" id="{00000000-0008-0000-0500-0000D9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4314" name="Object -1018" hidden="1">
          <a:extLst>
            <a:ext uri="{FF2B5EF4-FFF2-40B4-BE49-F238E27FC236}">
              <a16:creationId xmlns:a16="http://schemas.microsoft.com/office/drawing/2014/main" id="{00000000-0008-0000-0500-0000DA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4315" name="Object -1017" hidden="1">
          <a:extLst>
            <a:ext uri="{FF2B5EF4-FFF2-40B4-BE49-F238E27FC236}">
              <a16:creationId xmlns:a16="http://schemas.microsoft.com/office/drawing/2014/main" id="{00000000-0008-0000-0500-0000DB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4316" name="Object -1016" hidden="1">
          <a:extLst>
            <a:ext uri="{FF2B5EF4-FFF2-40B4-BE49-F238E27FC236}">
              <a16:creationId xmlns:a16="http://schemas.microsoft.com/office/drawing/2014/main" id="{00000000-0008-0000-0500-0000DC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317" name="Object -1013" hidden="1">
          <a:extLst>
            <a:ext uri="{FF2B5EF4-FFF2-40B4-BE49-F238E27FC236}">
              <a16:creationId xmlns:a16="http://schemas.microsoft.com/office/drawing/2014/main" id="{00000000-0008-0000-0500-0000DD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6401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318" name="Object -1012" hidden="1">
          <a:extLst>
            <a:ext uri="{FF2B5EF4-FFF2-40B4-BE49-F238E27FC236}">
              <a16:creationId xmlns:a16="http://schemas.microsoft.com/office/drawing/2014/main" id="{00000000-0008-0000-0500-0000DE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6401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319" name="Object -1011" hidden="1">
          <a:extLst>
            <a:ext uri="{FF2B5EF4-FFF2-40B4-BE49-F238E27FC236}">
              <a16:creationId xmlns:a16="http://schemas.microsoft.com/office/drawing/2014/main" id="{00000000-0008-0000-0500-0000DF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6401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320" name="Object -1010" hidden="1">
          <a:extLst>
            <a:ext uri="{FF2B5EF4-FFF2-40B4-BE49-F238E27FC236}">
              <a16:creationId xmlns:a16="http://schemas.microsoft.com/office/drawing/2014/main" id="{00000000-0008-0000-0500-0000E0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6401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321" name="Object -1009" hidden="1">
          <a:extLst>
            <a:ext uri="{FF2B5EF4-FFF2-40B4-BE49-F238E27FC236}">
              <a16:creationId xmlns:a16="http://schemas.microsoft.com/office/drawing/2014/main" id="{00000000-0008-0000-0500-0000E1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6401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322" name="Object -1008" hidden="1">
          <a:extLst>
            <a:ext uri="{FF2B5EF4-FFF2-40B4-BE49-F238E27FC236}">
              <a16:creationId xmlns:a16="http://schemas.microsoft.com/office/drawing/2014/main" id="{00000000-0008-0000-0500-0000E2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6401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323" name="Object -1007" hidden="1">
          <a:extLst>
            <a:ext uri="{FF2B5EF4-FFF2-40B4-BE49-F238E27FC236}">
              <a16:creationId xmlns:a16="http://schemas.microsoft.com/office/drawing/2014/main" id="{00000000-0008-0000-0500-0000E3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6401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324" name="Object -1006" hidden="1">
          <a:extLst>
            <a:ext uri="{FF2B5EF4-FFF2-40B4-BE49-F238E27FC236}">
              <a16:creationId xmlns:a16="http://schemas.microsoft.com/office/drawing/2014/main" id="{00000000-0008-0000-0500-0000E4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6401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325" name="Object -1005" hidden="1">
          <a:extLst>
            <a:ext uri="{FF2B5EF4-FFF2-40B4-BE49-F238E27FC236}">
              <a16:creationId xmlns:a16="http://schemas.microsoft.com/office/drawing/2014/main" id="{00000000-0008-0000-0500-0000E5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6401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4326" name="Object -1022" hidden="1">
          <a:extLst>
            <a:ext uri="{FF2B5EF4-FFF2-40B4-BE49-F238E27FC236}">
              <a16:creationId xmlns:a16="http://schemas.microsoft.com/office/drawing/2014/main" id="{00000000-0008-0000-0500-0000E6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4327" name="Object -1021" hidden="1">
          <a:extLst>
            <a:ext uri="{FF2B5EF4-FFF2-40B4-BE49-F238E27FC236}">
              <a16:creationId xmlns:a16="http://schemas.microsoft.com/office/drawing/2014/main" id="{00000000-0008-0000-0500-0000E7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4328" name="Object -1020" hidden="1">
          <a:extLst>
            <a:ext uri="{FF2B5EF4-FFF2-40B4-BE49-F238E27FC236}">
              <a16:creationId xmlns:a16="http://schemas.microsoft.com/office/drawing/2014/main" id="{00000000-0008-0000-0500-0000E8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4329" name="Object -1019" hidden="1">
          <a:extLst>
            <a:ext uri="{FF2B5EF4-FFF2-40B4-BE49-F238E27FC236}">
              <a16:creationId xmlns:a16="http://schemas.microsoft.com/office/drawing/2014/main" id="{00000000-0008-0000-0500-0000E9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4330" name="Object -1018" hidden="1">
          <a:extLst>
            <a:ext uri="{FF2B5EF4-FFF2-40B4-BE49-F238E27FC236}">
              <a16:creationId xmlns:a16="http://schemas.microsoft.com/office/drawing/2014/main" id="{00000000-0008-0000-0500-0000EA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4331" name="Object -1017" hidden="1">
          <a:extLst>
            <a:ext uri="{FF2B5EF4-FFF2-40B4-BE49-F238E27FC236}">
              <a16:creationId xmlns:a16="http://schemas.microsoft.com/office/drawing/2014/main" id="{00000000-0008-0000-0500-0000EB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4332" name="Object -1016" hidden="1">
          <a:extLst>
            <a:ext uri="{FF2B5EF4-FFF2-40B4-BE49-F238E27FC236}">
              <a16:creationId xmlns:a16="http://schemas.microsoft.com/office/drawing/2014/main" id="{00000000-0008-0000-0500-0000EC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333" name="Object -1013" hidden="1">
          <a:extLst>
            <a:ext uri="{FF2B5EF4-FFF2-40B4-BE49-F238E27FC236}">
              <a16:creationId xmlns:a16="http://schemas.microsoft.com/office/drawing/2014/main" id="{00000000-0008-0000-0500-0000ED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6401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334" name="Object -1012" hidden="1">
          <a:extLst>
            <a:ext uri="{FF2B5EF4-FFF2-40B4-BE49-F238E27FC236}">
              <a16:creationId xmlns:a16="http://schemas.microsoft.com/office/drawing/2014/main" id="{00000000-0008-0000-0500-0000EE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6401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335" name="Object -1011" hidden="1">
          <a:extLst>
            <a:ext uri="{FF2B5EF4-FFF2-40B4-BE49-F238E27FC236}">
              <a16:creationId xmlns:a16="http://schemas.microsoft.com/office/drawing/2014/main" id="{00000000-0008-0000-0500-0000EF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6401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336" name="Object -1010" hidden="1">
          <a:extLst>
            <a:ext uri="{FF2B5EF4-FFF2-40B4-BE49-F238E27FC236}">
              <a16:creationId xmlns:a16="http://schemas.microsoft.com/office/drawing/2014/main" id="{00000000-0008-0000-0500-0000F0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6401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337" name="Object -1009" hidden="1">
          <a:extLst>
            <a:ext uri="{FF2B5EF4-FFF2-40B4-BE49-F238E27FC236}">
              <a16:creationId xmlns:a16="http://schemas.microsoft.com/office/drawing/2014/main" id="{00000000-0008-0000-0500-0000F1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6401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338" name="Object -1008" hidden="1">
          <a:extLst>
            <a:ext uri="{FF2B5EF4-FFF2-40B4-BE49-F238E27FC236}">
              <a16:creationId xmlns:a16="http://schemas.microsoft.com/office/drawing/2014/main" id="{00000000-0008-0000-0500-0000F2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6401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339" name="Object -1007" hidden="1">
          <a:extLst>
            <a:ext uri="{FF2B5EF4-FFF2-40B4-BE49-F238E27FC236}">
              <a16:creationId xmlns:a16="http://schemas.microsoft.com/office/drawing/2014/main" id="{00000000-0008-0000-0500-0000F3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6401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340" name="Object -1006" hidden="1">
          <a:extLst>
            <a:ext uri="{FF2B5EF4-FFF2-40B4-BE49-F238E27FC236}">
              <a16:creationId xmlns:a16="http://schemas.microsoft.com/office/drawing/2014/main" id="{00000000-0008-0000-0500-0000F4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6401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341" name="Object -1005" hidden="1">
          <a:extLst>
            <a:ext uri="{FF2B5EF4-FFF2-40B4-BE49-F238E27FC236}">
              <a16:creationId xmlns:a16="http://schemas.microsoft.com/office/drawing/2014/main" id="{00000000-0008-0000-0500-0000F5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6401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4342" name="Object -1022" hidden="1">
          <a:extLst>
            <a:ext uri="{FF2B5EF4-FFF2-40B4-BE49-F238E27FC236}">
              <a16:creationId xmlns:a16="http://schemas.microsoft.com/office/drawing/2014/main" id="{00000000-0008-0000-0500-0000F6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4343" name="Object -1021" hidden="1">
          <a:extLst>
            <a:ext uri="{FF2B5EF4-FFF2-40B4-BE49-F238E27FC236}">
              <a16:creationId xmlns:a16="http://schemas.microsoft.com/office/drawing/2014/main" id="{00000000-0008-0000-0500-0000F7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4344" name="Object -1020" hidden="1">
          <a:extLst>
            <a:ext uri="{FF2B5EF4-FFF2-40B4-BE49-F238E27FC236}">
              <a16:creationId xmlns:a16="http://schemas.microsoft.com/office/drawing/2014/main" id="{00000000-0008-0000-0500-0000F8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4345" name="Object -1019" hidden="1">
          <a:extLst>
            <a:ext uri="{FF2B5EF4-FFF2-40B4-BE49-F238E27FC236}">
              <a16:creationId xmlns:a16="http://schemas.microsoft.com/office/drawing/2014/main" id="{00000000-0008-0000-0500-0000F9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4346" name="Object -1018" hidden="1">
          <a:extLst>
            <a:ext uri="{FF2B5EF4-FFF2-40B4-BE49-F238E27FC236}">
              <a16:creationId xmlns:a16="http://schemas.microsoft.com/office/drawing/2014/main" id="{00000000-0008-0000-0500-0000FA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4347" name="Object -1017" hidden="1">
          <a:extLst>
            <a:ext uri="{FF2B5EF4-FFF2-40B4-BE49-F238E27FC236}">
              <a16:creationId xmlns:a16="http://schemas.microsoft.com/office/drawing/2014/main" id="{00000000-0008-0000-0500-0000FB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4348" name="Object -1016" hidden="1">
          <a:extLst>
            <a:ext uri="{FF2B5EF4-FFF2-40B4-BE49-F238E27FC236}">
              <a16:creationId xmlns:a16="http://schemas.microsoft.com/office/drawing/2014/main" id="{00000000-0008-0000-0500-0000FC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349" name="Object -1013" hidden="1">
          <a:extLst>
            <a:ext uri="{FF2B5EF4-FFF2-40B4-BE49-F238E27FC236}">
              <a16:creationId xmlns:a16="http://schemas.microsoft.com/office/drawing/2014/main" id="{00000000-0008-0000-0500-0000FD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6401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350" name="Object -1012" hidden="1">
          <a:extLst>
            <a:ext uri="{FF2B5EF4-FFF2-40B4-BE49-F238E27FC236}">
              <a16:creationId xmlns:a16="http://schemas.microsoft.com/office/drawing/2014/main" id="{00000000-0008-0000-0500-0000FE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6401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351" name="Object -1011" hidden="1">
          <a:extLst>
            <a:ext uri="{FF2B5EF4-FFF2-40B4-BE49-F238E27FC236}">
              <a16:creationId xmlns:a16="http://schemas.microsoft.com/office/drawing/2014/main" id="{00000000-0008-0000-0500-0000FF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6401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352" name="Object -1010" hidden="1">
          <a:extLst>
            <a:ext uri="{FF2B5EF4-FFF2-40B4-BE49-F238E27FC236}">
              <a16:creationId xmlns:a16="http://schemas.microsoft.com/office/drawing/2014/main" id="{00000000-0008-0000-0500-000000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6401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353" name="Object -1009" hidden="1">
          <a:extLst>
            <a:ext uri="{FF2B5EF4-FFF2-40B4-BE49-F238E27FC236}">
              <a16:creationId xmlns:a16="http://schemas.microsoft.com/office/drawing/2014/main" id="{00000000-0008-0000-0500-000001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6401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354" name="Object -1008" hidden="1">
          <a:extLst>
            <a:ext uri="{FF2B5EF4-FFF2-40B4-BE49-F238E27FC236}">
              <a16:creationId xmlns:a16="http://schemas.microsoft.com/office/drawing/2014/main" id="{00000000-0008-0000-0500-000002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6401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355" name="Object -1007" hidden="1">
          <a:extLst>
            <a:ext uri="{FF2B5EF4-FFF2-40B4-BE49-F238E27FC236}">
              <a16:creationId xmlns:a16="http://schemas.microsoft.com/office/drawing/2014/main" id="{00000000-0008-0000-0500-000003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6401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356" name="Object -1006" hidden="1">
          <a:extLst>
            <a:ext uri="{FF2B5EF4-FFF2-40B4-BE49-F238E27FC236}">
              <a16:creationId xmlns:a16="http://schemas.microsoft.com/office/drawing/2014/main" id="{00000000-0008-0000-0500-000004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6401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357" name="Object -1005" hidden="1">
          <a:extLst>
            <a:ext uri="{FF2B5EF4-FFF2-40B4-BE49-F238E27FC236}">
              <a16:creationId xmlns:a16="http://schemas.microsoft.com/office/drawing/2014/main" id="{00000000-0008-0000-0500-000005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6401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4358" name="Object -1022" hidden="1">
          <a:extLst>
            <a:ext uri="{FF2B5EF4-FFF2-40B4-BE49-F238E27FC236}">
              <a16:creationId xmlns:a16="http://schemas.microsoft.com/office/drawing/2014/main" id="{00000000-0008-0000-0500-000006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4359" name="Object -1021" hidden="1">
          <a:extLst>
            <a:ext uri="{FF2B5EF4-FFF2-40B4-BE49-F238E27FC236}">
              <a16:creationId xmlns:a16="http://schemas.microsoft.com/office/drawing/2014/main" id="{00000000-0008-0000-0500-000007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4360" name="Object -1020" hidden="1">
          <a:extLst>
            <a:ext uri="{FF2B5EF4-FFF2-40B4-BE49-F238E27FC236}">
              <a16:creationId xmlns:a16="http://schemas.microsoft.com/office/drawing/2014/main" id="{00000000-0008-0000-0500-000008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4361" name="Object -1019" hidden="1">
          <a:extLst>
            <a:ext uri="{FF2B5EF4-FFF2-40B4-BE49-F238E27FC236}">
              <a16:creationId xmlns:a16="http://schemas.microsoft.com/office/drawing/2014/main" id="{00000000-0008-0000-0500-000009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4362" name="Object -1018" hidden="1">
          <a:extLst>
            <a:ext uri="{FF2B5EF4-FFF2-40B4-BE49-F238E27FC236}">
              <a16:creationId xmlns:a16="http://schemas.microsoft.com/office/drawing/2014/main" id="{00000000-0008-0000-0500-00000A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4363" name="Object -1017" hidden="1">
          <a:extLst>
            <a:ext uri="{FF2B5EF4-FFF2-40B4-BE49-F238E27FC236}">
              <a16:creationId xmlns:a16="http://schemas.microsoft.com/office/drawing/2014/main" id="{00000000-0008-0000-0500-00000B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4364" name="Object -1016" hidden="1">
          <a:extLst>
            <a:ext uri="{FF2B5EF4-FFF2-40B4-BE49-F238E27FC236}">
              <a16:creationId xmlns:a16="http://schemas.microsoft.com/office/drawing/2014/main" id="{00000000-0008-0000-0500-00000C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365" name="Object -1013" hidden="1">
          <a:extLst>
            <a:ext uri="{FF2B5EF4-FFF2-40B4-BE49-F238E27FC236}">
              <a16:creationId xmlns:a16="http://schemas.microsoft.com/office/drawing/2014/main" id="{00000000-0008-0000-0500-00000D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6401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366" name="Object -1012" hidden="1">
          <a:extLst>
            <a:ext uri="{FF2B5EF4-FFF2-40B4-BE49-F238E27FC236}">
              <a16:creationId xmlns:a16="http://schemas.microsoft.com/office/drawing/2014/main" id="{00000000-0008-0000-0500-00000E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6401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367" name="Object -1011" hidden="1">
          <a:extLst>
            <a:ext uri="{FF2B5EF4-FFF2-40B4-BE49-F238E27FC236}">
              <a16:creationId xmlns:a16="http://schemas.microsoft.com/office/drawing/2014/main" id="{00000000-0008-0000-0500-00000F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6401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368" name="Object -1010" hidden="1">
          <a:extLst>
            <a:ext uri="{FF2B5EF4-FFF2-40B4-BE49-F238E27FC236}">
              <a16:creationId xmlns:a16="http://schemas.microsoft.com/office/drawing/2014/main" id="{00000000-0008-0000-0500-000010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6401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369" name="Object -1009" hidden="1">
          <a:extLst>
            <a:ext uri="{FF2B5EF4-FFF2-40B4-BE49-F238E27FC236}">
              <a16:creationId xmlns:a16="http://schemas.microsoft.com/office/drawing/2014/main" id="{00000000-0008-0000-0500-000011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6401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370" name="Object -1008" hidden="1">
          <a:extLst>
            <a:ext uri="{FF2B5EF4-FFF2-40B4-BE49-F238E27FC236}">
              <a16:creationId xmlns:a16="http://schemas.microsoft.com/office/drawing/2014/main" id="{00000000-0008-0000-0500-000012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6401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371" name="Object -1007" hidden="1">
          <a:extLst>
            <a:ext uri="{FF2B5EF4-FFF2-40B4-BE49-F238E27FC236}">
              <a16:creationId xmlns:a16="http://schemas.microsoft.com/office/drawing/2014/main" id="{00000000-0008-0000-0500-000013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6401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372" name="Object -1006" hidden="1">
          <a:extLst>
            <a:ext uri="{FF2B5EF4-FFF2-40B4-BE49-F238E27FC236}">
              <a16:creationId xmlns:a16="http://schemas.microsoft.com/office/drawing/2014/main" id="{00000000-0008-0000-0500-000014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6401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373" name="Object -1005" hidden="1">
          <a:extLst>
            <a:ext uri="{FF2B5EF4-FFF2-40B4-BE49-F238E27FC236}">
              <a16:creationId xmlns:a16="http://schemas.microsoft.com/office/drawing/2014/main" id="{00000000-0008-0000-0500-000015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6401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4374" name="Object -1022" hidden="1">
          <a:extLst>
            <a:ext uri="{FF2B5EF4-FFF2-40B4-BE49-F238E27FC236}">
              <a16:creationId xmlns:a16="http://schemas.microsoft.com/office/drawing/2014/main" id="{00000000-0008-0000-0500-000016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4375" name="Object -1021" hidden="1">
          <a:extLst>
            <a:ext uri="{FF2B5EF4-FFF2-40B4-BE49-F238E27FC236}">
              <a16:creationId xmlns:a16="http://schemas.microsoft.com/office/drawing/2014/main" id="{00000000-0008-0000-0500-000017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4376" name="Object -1020" hidden="1">
          <a:extLst>
            <a:ext uri="{FF2B5EF4-FFF2-40B4-BE49-F238E27FC236}">
              <a16:creationId xmlns:a16="http://schemas.microsoft.com/office/drawing/2014/main" id="{00000000-0008-0000-0500-000018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4377" name="Object -1019" hidden="1">
          <a:extLst>
            <a:ext uri="{FF2B5EF4-FFF2-40B4-BE49-F238E27FC236}">
              <a16:creationId xmlns:a16="http://schemas.microsoft.com/office/drawing/2014/main" id="{00000000-0008-0000-0500-000019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4378" name="Object -1018" hidden="1">
          <a:extLst>
            <a:ext uri="{FF2B5EF4-FFF2-40B4-BE49-F238E27FC236}">
              <a16:creationId xmlns:a16="http://schemas.microsoft.com/office/drawing/2014/main" id="{00000000-0008-0000-0500-00001A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4379" name="Object -1017" hidden="1">
          <a:extLst>
            <a:ext uri="{FF2B5EF4-FFF2-40B4-BE49-F238E27FC236}">
              <a16:creationId xmlns:a16="http://schemas.microsoft.com/office/drawing/2014/main" id="{00000000-0008-0000-0500-00001B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4380" name="Object -1016" hidden="1">
          <a:extLst>
            <a:ext uri="{FF2B5EF4-FFF2-40B4-BE49-F238E27FC236}">
              <a16:creationId xmlns:a16="http://schemas.microsoft.com/office/drawing/2014/main" id="{00000000-0008-0000-0500-00001C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381" name="Object -1013" hidden="1">
          <a:extLst>
            <a:ext uri="{FF2B5EF4-FFF2-40B4-BE49-F238E27FC236}">
              <a16:creationId xmlns:a16="http://schemas.microsoft.com/office/drawing/2014/main" id="{00000000-0008-0000-0500-00001D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6401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382" name="Object -1012" hidden="1">
          <a:extLst>
            <a:ext uri="{FF2B5EF4-FFF2-40B4-BE49-F238E27FC236}">
              <a16:creationId xmlns:a16="http://schemas.microsoft.com/office/drawing/2014/main" id="{00000000-0008-0000-0500-00001E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6401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383" name="Object -1011" hidden="1">
          <a:extLst>
            <a:ext uri="{FF2B5EF4-FFF2-40B4-BE49-F238E27FC236}">
              <a16:creationId xmlns:a16="http://schemas.microsoft.com/office/drawing/2014/main" id="{00000000-0008-0000-0500-00001F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6401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384" name="Object -1010" hidden="1">
          <a:extLst>
            <a:ext uri="{FF2B5EF4-FFF2-40B4-BE49-F238E27FC236}">
              <a16:creationId xmlns:a16="http://schemas.microsoft.com/office/drawing/2014/main" id="{00000000-0008-0000-0500-000020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6401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385" name="Object -1009" hidden="1">
          <a:extLst>
            <a:ext uri="{FF2B5EF4-FFF2-40B4-BE49-F238E27FC236}">
              <a16:creationId xmlns:a16="http://schemas.microsoft.com/office/drawing/2014/main" id="{00000000-0008-0000-0500-000021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6401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386" name="Object -1008" hidden="1">
          <a:extLst>
            <a:ext uri="{FF2B5EF4-FFF2-40B4-BE49-F238E27FC236}">
              <a16:creationId xmlns:a16="http://schemas.microsoft.com/office/drawing/2014/main" id="{00000000-0008-0000-0500-000022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6401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387" name="Object -1007" hidden="1">
          <a:extLst>
            <a:ext uri="{FF2B5EF4-FFF2-40B4-BE49-F238E27FC236}">
              <a16:creationId xmlns:a16="http://schemas.microsoft.com/office/drawing/2014/main" id="{00000000-0008-0000-0500-000023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6401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388" name="Object -1006" hidden="1">
          <a:extLst>
            <a:ext uri="{FF2B5EF4-FFF2-40B4-BE49-F238E27FC236}">
              <a16:creationId xmlns:a16="http://schemas.microsoft.com/office/drawing/2014/main" id="{00000000-0008-0000-0500-000024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6401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389" name="Object -1005" hidden="1">
          <a:extLst>
            <a:ext uri="{FF2B5EF4-FFF2-40B4-BE49-F238E27FC236}">
              <a16:creationId xmlns:a16="http://schemas.microsoft.com/office/drawing/2014/main" id="{00000000-0008-0000-0500-000025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640175"/>
          <a:ext cx="409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4390" name="Object -1022" hidden="1">
          <a:extLst>
            <a:ext uri="{FF2B5EF4-FFF2-40B4-BE49-F238E27FC236}">
              <a16:creationId xmlns:a16="http://schemas.microsoft.com/office/drawing/2014/main" id="{00000000-0008-0000-0500-000026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4391" name="Object -1021" hidden="1">
          <a:extLst>
            <a:ext uri="{FF2B5EF4-FFF2-40B4-BE49-F238E27FC236}">
              <a16:creationId xmlns:a16="http://schemas.microsoft.com/office/drawing/2014/main" id="{00000000-0008-0000-0500-000027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4392" name="Object -1020" hidden="1">
          <a:extLst>
            <a:ext uri="{FF2B5EF4-FFF2-40B4-BE49-F238E27FC236}">
              <a16:creationId xmlns:a16="http://schemas.microsoft.com/office/drawing/2014/main" id="{00000000-0008-0000-0500-000028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4393" name="Object -1019" hidden="1">
          <a:extLst>
            <a:ext uri="{FF2B5EF4-FFF2-40B4-BE49-F238E27FC236}">
              <a16:creationId xmlns:a16="http://schemas.microsoft.com/office/drawing/2014/main" id="{00000000-0008-0000-0500-000029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4394" name="Object -1018" hidden="1">
          <a:extLst>
            <a:ext uri="{FF2B5EF4-FFF2-40B4-BE49-F238E27FC236}">
              <a16:creationId xmlns:a16="http://schemas.microsoft.com/office/drawing/2014/main" id="{00000000-0008-0000-0500-00002A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4395" name="Object -1017" hidden="1">
          <a:extLst>
            <a:ext uri="{FF2B5EF4-FFF2-40B4-BE49-F238E27FC236}">
              <a16:creationId xmlns:a16="http://schemas.microsoft.com/office/drawing/2014/main" id="{00000000-0008-0000-0500-00002B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28</xdr:row>
      <xdr:rowOff>0</xdr:rowOff>
    </xdr:from>
    <xdr:to>
      <xdr:col>12</xdr:col>
      <xdr:colOff>409575</xdr:colOff>
      <xdr:row>28</xdr:row>
      <xdr:rowOff>0</xdr:rowOff>
    </xdr:to>
    <xdr:pic>
      <xdr:nvPicPr>
        <xdr:cNvPr id="4396" name="Object -1016" hidden="1">
          <a:extLst>
            <a:ext uri="{FF2B5EF4-FFF2-40B4-BE49-F238E27FC236}">
              <a16:creationId xmlns:a16="http://schemas.microsoft.com/office/drawing/2014/main" id="{00000000-0008-0000-0500-00002C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245100"/>
          <a:ext cx="4000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397" name="Object -1013" hidden="1">
          <a:extLst>
            <a:ext uri="{FF2B5EF4-FFF2-40B4-BE49-F238E27FC236}">
              <a16:creationId xmlns:a16="http://schemas.microsoft.com/office/drawing/2014/main" id="{00000000-0008-0000-0500-00002D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392525"/>
          <a:ext cx="54292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398" name="Object -1012" hidden="1">
          <a:extLst>
            <a:ext uri="{FF2B5EF4-FFF2-40B4-BE49-F238E27FC236}">
              <a16:creationId xmlns:a16="http://schemas.microsoft.com/office/drawing/2014/main" id="{00000000-0008-0000-0500-00002E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392525"/>
          <a:ext cx="54292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399" name="Object -1011" hidden="1">
          <a:extLst>
            <a:ext uri="{FF2B5EF4-FFF2-40B4-BE49-F238E27FC236}">
              <a16:creationId xmlns:a16="http://schemas.microsoft.com/office/drawing/2014/main" id="{00000000-0008-0000-0500-00002F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392525"/>
          <a:ext cx="54292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400" name="Object -1010" hidden="1">
          <a:extLst>
            <a:ext uri="{FF2B5EF4-FFF2-40B4-BE49-F238E27FC236}">
              <a16:creationId xmlns:a16="http://schemas.microsoft.com/office/drawing/2014/main" id="{00000000-0008-0000-0500-000030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392525"/>
          <a:ext cx="54292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401" name="Object -1009" hidden="1">
          <a:extLst>
            <a:ext uri="{FF2B5EF4-FFF2-40B4-BE49-F238E27FC236}">
              <a16:creationId xmlns:a16="http://schemas.microsoft.com/office/drawing/2014/main" id="{00000000-0008-0000-0500-000031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392525"/>
          <a:ext cx="54292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402" name="Object -1008" hidden="1">
          <a:extLst>
            <a:ext uri="{FF2B5EF4-FFF2-40B4-BE49-F238E27FC236}">
              <a16:creationId xmlns:a16="http://schemas.microsoft.com/office/drawing/2014/main" id="{00000000-0008-0000-0500-000032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392525"/>
          <a:ext cx="54292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403" name="Object -1007" hidden="1">
          <a:extLst>
            <a:ext uri="{FF2B5EF4-FFF2-40B4-BE49-F238E27FC236}">
              <a16:creationId xmlns:a16="http://schemas.microsoft.com/office/drawing/2014/main" id="{00000000-0008-0000-0500-000033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392525"/>
          <a:ext cx="54292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404" name="Object -1006" hidden="1">
          <a:extLst>
            <a:ext uri="{FF2B5EF4-FFF2-40B4-BE49-F238E27FC236}">
              <a16:creationId xmlns:a16="http://schemas.microsoft.com/office/drawing/2014/main" id="{00000000-0008-0000-0500-000034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392525"/>
          <a:ext cx="54292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405" name="Object -1005" hidden="1">
          <a:extLst>
            <a:ext uri="{FF2B5EF4-FFF2-40B4-BE49-F238E27FC236}">
              <a16:creationId xmlns:a16="http://schemas.microsoft.com/office/drawing/2014/main" id="{00000000-0008-0000-0500-000035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392525"/>
          <a:ext cx="54292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7620</xdr:colOff>
      <xdr:row>28</xdr:row>
      <xdr:rowOff>0</xdr:rowOff>
    </xdr:from>
    <xdr:to>
      <xdr:col>12</xdr:col>
      <xdr:colOff>327660</xdr:colOff>
      <xdr:row>28</xdr:row>
      <xdr:rowOff>0</xdr:rowOff>
    </xdr:to>
    <xdr:pic>
      <xdr:nvPicPr>
        <xdr:cNvPr id="4406" name="Object -1022" hidden="1">
          <a:extLst>
            <a:ext uri="{FF2B5EF4-FFF2-40B4-BE49-F238E27FC236}">
              <a16:creationId xmlns:a16="http://schemas.microsoft.com/office/drawing/2014/main" id="{00000000-0008-0000-0500-000036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6770" y="5245100"/>
          <a:ext cx="32004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7620</xdr:colOff>
      <xdr:row>28</xdr:row>
      <xdr:rowOff>0</xdr:rowOff>
    </xdr:from>
    <xdr:to>
      <xdr:col>12</xdr:col>
      <xdr:colOff>327660</xdr:colOff>
      <xdr:row>28</xdr:row>
      <xdr:rowOff>0</xdr:rowOff>
    </xdr:to>
    <xdr:pic>
      <xdr:nvPicPr>
        <xdr:cNvPr id="4407" name="Object -1021" hidden="1">
          <a:extLst>
            <a:ext uri="{FF2B5EF4-FFF2-40B4-BE49-F238E27FC236}">
              <a16:creationId xmlns:a16="http://schemas.microsoft.com/office/drawing/2014/main" id="{00000000-0008-0000-0500-000037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6770" y="5245100"/>
          <a:ext cx="32004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7620</xdr:colOff>
      <xdr:row>28</xdr:row>
      <xdr:rowOff>0</xdr:rowOff>
    </xdr:from>
    <xdr:to>
      <xdr:col>12</xdr:col>
      <xdr:colOff>327660</xdr:colOff>
      <xdr:row>28</xdr:row>
      <xdr:rowOff>0</xdr:rowOff>
    </xdr:to>
    <xdr:pic>
      <xdr:nvPicPr>
        <xdr:cNvPr id="4408" name="Object -1020" hidden="1">
          <a:extLst>
            <a:ext uri="{FF2B5EF4-FFF2-40B4-BE49-F238E27FC236}">
              <a16:creationId xmlns:a16="http://schemas.microsoft.com/office/drawing/2014/main" id="{00000000-0008-0000-0500-000038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6770" y="5245100"/>
          <a:ext cx="32004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7620</xdr:colOff>
      <xdr:row>28</xdr:row>
      <xdr:rowOff>0</xdr:rowOff>
    </xdr:from>
    <xdr:to>
      <xdr:col>12</xdr:col>
      <xdr:colOff>327660</xdr:colOff>
      <xdr:row>28</xdr:row>
      <xdr:rowOff>0</xdr:rowOff>
    </xdr:to>
    <xdr:pic>
      <xdr:nvPicPr>
        <xdr:cNvPr id="4409" name="Object -1019" hidden="1">
          <a:extLst>
            <a:ext uri="{FF2B5EF4-FFF2-40B4-BE49-F238E27FC236}">
              <a16:creationId xmlns:a16="http://schemas.microsoft.com/office/drawing/2014/main" id="{00000000-0008-0000-0500-000039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6770" y="5245100"/>
          <a:ext cx="32004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7620</xdr:colOff>
      <xdr:row>28</xdr:row>
      <xdr:rowOff>0</xdr:rowOff>
    </xdr:from>
    <xdr:to>
      <xdr:col>12</xdr:col>
      <xdr:colOff>327660</xdr:colOff>
      <xdr:row>28</xdr:row>
      <xdr:rowOff>0</xdr:rowOff>
    </xdr:to>
    <xdr:pic>
      <xdr:nvPicPr>
        <xdr:cNvPr id="4410" name="Object -1018" hidden="1">
          <a:extLst>
            <a:ext uri="{FF2B5EF4-FFF2-40B4-BE49-F238E27FC236}">
              <a16:creationId xmlns:a16="http://schemas.microsoft.com/office/drawing/2014/main" id="{00000000-0008-0000-0500-00003A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6770" y="5245100"/>
          <a:ext cx="32004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7620</xdr:colOff>
      <xdr:row>28</xdr:row>
      <xdr:rowOff>0</xdr:rowOff>
    </xdr:from>
    <xdr:to>
      <xdr:col>12</xdr:col>
      <xdr:colOff>327660</xdr:colOff>
      <xdr:row>28</xdr:row>
      <xdr:rowOff>0</xdr:rowOff>
    </xdr:to>
    <xdr:pic>
      <xdr:nvPicPr>
        <xdr:cNvPr id="4411" name="Object -1017" hidden="1">
          <a:extLst>
            <a:ext uri="{FF2B5EF4-FFF2-40B4-BE49-F238E27FC236}">
              <a16:creationId xmlns:a16="http://schemas.microsoft.com/office/drawing/2014/main" id="{00000000-0008-0000-0500-00003B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6770" y="5245100"/>
          <a:ext cx="32004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7620</xdr:colOff>
      <xdr:row>28</xdr:row>
      <xdr:rowOff>0</xdr:rowOff>
    </xdr:from>
    <xdr:to>
      <xdr:col>12</xdr:col>
      <xdr:colOff>327660</xdr:colOff>
      <xdr:row>28</xdr:row>
      <xdr:rowOff>0</xdr:rowOff>
    </xdr:to>
    <xdr:pic>
      <xdr:nvPicPr>
        <xdr:cNvPr id="4412" name="Object -1016" hidden="1">
          <a:extLst>
            <a:ext uri="{FF2B5EF4-FFF2-40B4-BE49-F238E27FC236}">
              <a16:creationId xmlns:a16="http://schemas.microsoft.com/office/drawing/2014/main" id="{00000000-0008-0000-0500-00003C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6770" y="5245100"/>
          <a:ext cx="32004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7620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413" name="Object -1013" hidden="1">
          <a:extLst>
            <a:ext uri="{FF2B5EF4-FFF2-40B4-BE49-F238E27FC236}">
              <a16:creationId xmlns:a16="http://schemas.microsoft.com/office/drawing/2014/main" id="{00000000-0008-0000-0500-00003D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0" y="16200120"/>
          <a:ext cx="56388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7620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414" name="Object -1012" hidden="1">
          <a:extLst>
            <a:ext uri="{FF2B5EF4-FFF2-40B4-BE49-F238E27FC236}">
              <a16:creationId xmlns:a16="http://schemas.microsoft.com/office/drawing/2014/main" id="{00000000-0008-0000-0500-00003E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0" y="16200120"/>
          <a:ext cx="56388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7620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415" name="Object -1011" hidden="1">
          <a:extLst>
            <a:ext uri="{FF2B5EF4-FFF2-40B4-BE49-F238E27FC236}">
              <a16:creationId xmlns:a16="http://schemas.microsoft.com/office/drawing/2014/main" id="{00000000-0008-0000-0500-00003F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0" y="16200120"/>
          <a:ext cx="56388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7620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416" name="Object -1010" hidden="1">
          <a:extLst>
            <a:ext uri="{FF2B5EF4-FFF2-40B4-BE49-F238E27FC236}">
              <a16:creationId xmlns:a16="http://schemas.microsoft.com/office/drawing/2014/main" id="{00000000-0008-0000-0500-000040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0" y="16200120"/>
          <a:ext cx="56388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7620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417" name="Object -1009" hidden="1">
          <a:extLst>
            <a:ext uri="{FF2B5EF4-FFF2-40B4-BE49-F238E27FC236}">
              <a16:creationId xmlns:a16="http://schemas.microsoft.com/office/drawing/2014/main" id="{00000000-0008-0000-0500-000041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0" y="16200120"/>
          <a:ext cx="56388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7620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418" name="Object -1008" hidden="1">
          <a:extLst>
            <a:ext uri="{FF2B5EF4-FFF2-40B4-BE49-F238E27FC236}">
              <a16:creationId xmlns:a16="http://schemas.microsoft.com/office/drawing/2014/main" id="{00000000-0008-0000-0500-000042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0" y="16200120"/>
          <a:ext cx="56388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7620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419" name="Object -1007" hidden="1">
          <a:extLst>
            <a:ext uri="{FF2B5EF4-FFF2-40B4-BE49-F238E27FC236}">
              <a16:creationId xmlns:a16="http://schemas.microsoft.com/office/drawing/2014/main" id="{00000000-0008-0000-0500-000043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0" y="16200120"/>
          <a:ext cx="56388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7620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420" name="Object -1006" hidden="1">
          <a:extLst>
            <a:ext uri="{FF2B5EF4-FFF2-40B4-BE49-F238E27FC236}">
              <a16:creationId xmlns:a16="http://schemas.microsoft.com/office/drawing/2014/main" id="{00000000-0008-0000-0500-000044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0" y="16200120"/>
          <a:ext cx="56388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7620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421" name="Object -1005" hidden="1">
          <a:extLst>
            <a:ext uri="{FF2B5EF4-FFF2-40B4-BE49-F238E27FC236}">
              <a16:creationId xmlns:a16="http://schemas.microsoft.com/office/drawing/2014/main" id="{00000000-0008-0000-0500-000045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0" y="16200120"/>
          <a:ext cx="56388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6350</xdr:colOff>
      <xdr:row>28</xdr:row>
      <xdr:rowOff>0</xdr:rowOff>
    </xdr:from>
    <xdr:to>
      <xdr:col>12</xdr:col>
      <xdr:colOff>342900</xdr:colOff>
      <xdr:row>28</xdr:row>
      <xdr:rowOff>0</xdr:rowOff>
    </xdr:to>
    <xdr:pic>
      <xdr:nvPicPr>
        <xdr:cNvPr id="4422" name="Object -1022" hidden="1">
          <a:extLst>
            <a:ext uri="{FF2B5EF4-FFF2-40B4-BE49-F238E27FC236}">
              <a16:creationId xmlns:a16="http://schemas.microsoft.com/office/drawing/2014/main" id="{2EC3D50F-DDB6-0AD7-57E4-AB3222924C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5500" y="5245100"/>
          <a:ext cx="3365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6350</xdr:colOff>
      <xdr:row>28</xdr:row>
      <xdr:rowOff>0</xdr:rowOff>
    </xdr:from>
    <xdr:to>
      <xdr:col>12</xdr:col>
      <xdr:colOff>342900</xdr:colOff>
      <xdr:row>28</xdr:row>
      <xdr:rowOff>0</xdr:rowOff>
    </xdr:to>
    <xdr:pic>
      <xdr:nvPicPr>
        <xdr:cNvPr id="4423" name="Object -1021" hidden="1">
          <a:extLst>
            <a:ext uri="{FF2B5EF4-FFF2-40B4-BE49-F238E27FC236}">
              <a16:creationId xmlns:a16="http://schemas.microsoft.com/office/drawing/2014/main" id="{A19A6216-D45D-3E59-3B17-DEAB0B53D6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5500" y="5245100"/>
          <a:ext cx="3365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6350</xdr:colOff>
      <xdr:row>28</xdr:row>
      <xdr:rowOff>0</xdr:rowOff>
    </xdr:from>
    <xdr:to>
      <xdr:col>12</xdr:col>
      <xdr:colOff>342900</xdr:colOff>
      <xdr:row>28</xdr:row>
      <xdr:rowOff>0</xdr:rowOff>
    </xdr:to>
    <xdr:pic>
      <xdr:nvPicPr>
        <xdr:cNvPr id="4424" name="Object -1020" hidden="1">
          <a:extLst>
            <a:ext uri="{FF2B5EF4-FFF2-40B4-BE49-F238E27FC236}">
              <a16:creationId xmlns:a16="http://schemas.microsoft.com/office/drawing/2014/main" id="{E1F81660-B660-CCA0-1CEA-E5875A944B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5500" y="5245100"/>
          <a:ext cx="3365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6350</xdr:colOff>
      <xdr:row>28</xdr:row>
      <xdr:rowOff>0</xdr:rowOff>
    </xdr:from>
    <xdr:to>
      <xdr:col>12</xdr:col>
      <xdr:colOff>342900</xdr:colOff>
      <xdr:row>28</xdr:row>
      <xdr:rowOff>0</xdr:rowOff>
    </xdr:to>
    <xdr:pic>
      <xdr:nvPicPr>
        <xdr:cNvPr id="4425" name="Object -1019" hidden="1">
          <a:extLst>
            <a:ext uri="{FF2B5EF4-FFF2-40B4-BE49-F238E27FC236}">
              <a16:creationId xmlns:a16="http://schemas.microsoft.com/office/drawing/2014/main" id="{B8601CE5-E06D-0E10-ED86-11263F580D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5500" y="5245100"/>
          <a:ext cx="3365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6350</xdr:colOff>
      <xdr:row>28</xdr:row>
      <xdr:rowOff>0</xdr:rowOff>
    </xdr:from>
    <xdr:to>
      <xdr:col>12</xdr:col>
      <xdr:colOff>342900</xdr:colOff>
      <xdr:row>28</xdr:row>
      <xdr:rowOff>0</xdr:rowOff>
    </xdr:to>
    <xdr:pic>
      <xdr:nvPicPr>
        <xdr:cNvPr id="4426" name="Object -1018" hidden="1">
          <a:extLst>
            <a:ext uri="{FF2B5EF4-FFF2-40B4-BE49-F238E27FC236}">
              <a16:creationId xmlns:a16="http://schemas.microsoft.com/office/drawing/2014/main" id="{86869DED-A367-B699-3173-6FD3744A15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5500" y="5245100"/>
          <a:ext cx="3365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6350</xdr:colOff>
      <xdr:row>28</xdr:row>
      <xdr:rowOff>0</xdr:rowOff>
    </xdr:from>
    <xdr:to>
      <xdr:col>12</xdr:col>
      <xdr:colOff>342900</xdr:colOff>
      <xdr:row>28</xdr:row>
      <xdr:rowOff>0</xdr:rowOff>
    </xdr:to>
    <xdr:pic>
      <xdr:nvPicPr>
        <xdr:cNvPr id="4427" name="Object -1017" hidden="1">
          <a:extLst>
            <a:ext uri="{FF2B5EF4-FFF2-40B4-BE49-F238E27FC236}">
              <a16:creationId xmlns:a16="http://schemas.microsoft.com/office/drawing/2014/main" id="{89BF691C-7057-DEB2-C6A2-CE4BAA89C0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5500" y="5245100"/>
          <a:ext cx="3365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6350</xdr:colOff>
      <xdr:row>28</xdr:row>
      <xdr:rowOff>0</xdr:rowOff>
    </xdr:from>
    <xdr:to>
      <xdr:col>12</xdr:col>
      <xdr:colOff>342900</xdr:colOff>
      <xdr:row>28</xdr:row>
      <xdr:rowOff>0</xdr:rowOff>
    </xdr:to>
    <xdr:pic>
      <xdr:nvPicPr>
        <xdr:cNvPr id="4428" name="Object -1016" hidden="1">
          <a:extLst>
            <a:ext uri="{FF2B5EF4-FFF2-40B4-BE49-F238E27FC236}">
              <a16:creationId xmlns:a16="http://schemas.microsoft.com/office/drawing/2014/main" id="{26D578A6-9E4C-2388-836F-7D821AF57E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5500" y="5245100"/>
          <a:ext cx="3365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6350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429" name="Object -1013" hidden="1">
          <a:extLst>
            <a:ext uri="{FF2B5EF4-FFF2-40B4-BE49-F238E27FC236}">
              <a16:creationId xmlns:a16="http://schemas.microsoft.com/office/drawing/2014/main" id="{307D8114-B629-AB10-FC9D-0ECC27047D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57900" y="16459200"/>
          <a:ext cx="5778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6350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430" name="Object -1012" hidden="1">
          <a:extLst>
            <a:ext uri="{FF2B5EF4-FFF2-40B4-BE49-F238E27FC236}">
              <a16:creationId xmlns:a16="http://schemas.microsoft.com/office/drawing/2014/main" id="{9A594E2C-5217-997D-EF7B-B0DEF48D82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57900" y="16459200"/>
          <a:ext cx="5778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6350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431" name="Object -1011" hidden="1">
          <a:extLst>
            <a:ext uri="{FF2B5EF4-FFF2-40B4-BE49-F238E27FC236}">
              <a16:creationId xmlns:a16="http://schemas.microsoft.com/office/drawing/2014/main" id="{82AFE22C-59B1-257A-EBEB-F0DE607AD1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57900" y="16459200"/>
          <a:ext cx="5778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6350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432" name="Object -1010" hidden="1">
          <a:extLst>
            <a:ext uri="{FF2B5EF4-FFF2-40B4-BE49-F238E27FC236}">
              <a16:creationId xmlns:a16="http://schemas.microsoft.com/office/drawing/2014/main" id="{D4378BAF-92ED-9172-DA22-EF13DDA7D2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57900" y="16459200"/>
          <a:ext cx="5778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6350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433" name="Object -1009" hidden="1">
          <a:extLst>
            <a:ext uri="{FF2B5EF4-FFF2-40B4-BE49-F238E27FC236}">
              <a16:creationId xmlns:a16="http://schemas.microsoft.com/office/drawing/2014/main" id="{2D8FE3FD-AC0A-6BF8-6B30-4599115E60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57900" y="16459200"/>
          <a:ext cx="5778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6350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434" name="Object -1008" hidden="1">
          <a:extLst>
            <a:ext uri="{FF2B5EF4-FFF2-40B4-BE49-F238E27FC236}">
              <a16:creationId xmlns:a16="http://schemas.microsoft.com/office/drawing/2014/main" id="{EA20D482-4F36-4767-A192-51883D4019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57900" y="16459200"/>
          <a:ext cx="5778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6350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435" name="Object -1007" hidden="1">
          <a:extLst>
            <a:ext uri="{FF2B5EF4-FFF2-40B4-BE49-F238E27FC236}">
              <a16:creationId xmlns:a16="http://schemas.microsoft.com/office/drawing/2014/main" id="{9932AA23-1985-1418-39FC-A7F045F791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57900" y="16459200"/>
          <a:ext cx="5778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6350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436" name="Object -1006" hidden="1">
          <a:extLst>
            <a:ext uri="{FF2B5EF4-FFF2-40B4-BE49-F238E27FC236}">
              <a16:creationId xmlns:a16="http://schemas.microsoft.com/office/drawing/2014/main" id="{CB7373BE-B0AC-E1F1-B31E-C2FF178A8C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57900" y="16459200"/>
          <a:ext cx="5778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6350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437" name="Object -1005" hidden="1">
          <a:extLst>
            <a:ext uri="{FF2B5EF4-FFF2-40B4-BE49-F238E27FC236}">
              <a16:creationId xmlns:a16="http://schemas.microsoft.com/office/drawing/2014/main" id="{2F95AB19-7A1D-AE8A-468F-EFC98F9442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57900" y="16459200"/>
          <a:ext cx="5778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6350</xdr:colOff>
      <xdr:row>28</xdr:row>
      <xdr:rowOff>0</xdr:rowOff>
    </xdr:from>
    <xdr:to>
      <xdr:col>12</xdr:col>
      <xdr:colOff>412750</xdr:colOff>
      <xdr:row>28</xdr:row>
      <xdr:rowOff>0</xdr:rowOff>
    </xdr:to>
    <xdr:pic>
      <xdr:nvPicPr>
        <xdr:cNvPr id="4438" name="Object -1022" hidden="1">
          <a:extLst>
            <a:ext uri="{FF2B5EF4-FFF2-40B4-BE49-F238E27FC236}">
              <a16:creationId xmlns:a16="http://schemas.microsoft.com/office/drawing/2014/main" id="{08930F02-E1DE-5092-674D-C97EC5E5B2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5500" y="5245100"/>
          <a:ext cx="406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6350</xdr:colOff>
      <xdr:row>28</xdr:row>
      <xdr:rowOff>0</xdr:rowOff>
    </xdr:from>
    <xdr:to>
      <xdr:col>12</xdr:col>
      <xdr:colOff>412750</xdr:colOff>
      <xdr:row>28</xdr:row>
      <xdr:rowOff>0</xdr:rowOff>
    </xdr:to>
    <xdr:pic>
      <xdr:nvPicPr>
        <xdr:cNvPr id="4439" name="Object -1021" hidden="1">
          <a:extLst>
            <a:ext uri="{FF2B5EF4-FFF2-40B4-BE49-F238E27FC236}">
              <a16:creationId xmlns:a16="http://schemas.microsoft.com/office/drawing/2014/main" id="{624271D6-FCE6-CA91-2821-DECD93C4AE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5500" y="5245100"/>
          <a:ext cx="406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6350</xdr:colOff>
      <xdr:row>28</xdr:row>
      <xdr:rowOff>0</xdr:rowOff>
    </xdr:from>
    <xdr:to>
      <xdr:col>12</xdr:col>
      <xdr:colOff>412750</xdr:colOff>
      <xdr:row>28</xdr:row>
      <xdr:rowOff>0</xdr:rowOff>
    </xdr:to>
    <xdr:pic>
      <xdr:nvPicPr>
        <xdr:cNvPr id="4440" name="Object -1020" hidden="1">
          <a:extLst>
            <a:ext uri="{FF2B5EF4-FFF2-40B4-BE49-F238E27FC236}">
              <a16:creationId xmlns:a16="http://schemas.microsoft.com/office/drawing/2014/main" id="{5855696C-4D5F-61D3-B30A-C33E7D2105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5500" y="5245100"/>
          <a:ext cx="406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6350</xdr:colOff>
      <xdr:row>28</xdr:row>
      <xdr:rowOff>0</xdr:rowOff>
    </xdr:from>
    <xdr:to>
      <xdr:col>12</xdr:col>
      <xdr:colOff>412750</xdr:colOff>
      <xdr:row>28</xdr:row>
      <xdr:rowOff>0</xdr:rowOff>
    </xdr:to>
    <xdr:pic>
      <xdr:nvPicPr>
        <xdr:cNvPr id="4441" name="Object -1019" hidden="1">
          <a:extLst>
            <a:ext uri="{FF2B5EF4-FFF2-40B4-BE49-F238E27FC236}">
              <a16:creationId xmlns:a16="http://schemas.microsoft.com/office/drawing/2014/main" id="{F767ED71-C4D6-E3DE-7BDD-20EAEB87D9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5500" y="5245100"/>
          <a:ext cx="406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6350</xdr:colOff>
      <xdr:row>28</xdr:row>
      <xdr:rowOff>0</xdr:rowOff>
    </xdr:from>
    <xdr:to>
      <xdr:col>12</xdr:col>
      <xdr:colOff>412750</xdr:colOff>
      <xdr:row>28</xdr:row>
      <xdr:rowOff>0</xdr:rowOff>
    </xdr:to>
    <xdr:pic>
      <xdr:nvPicPr>
        <xdr:cNvPr id="4442" name="Object -1018" hidden="1">
          <a:extLst>
            <a:ext uri="{FF2B5EF4-FFF2-40B4-BE49-F238E27FC236}">
              <a16:creationId xmlns:a16="http://schemas.microsoft.com/office/drawing/2014/main" id="{F92F9270-7F17-3FB9-4659-844CE700D2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5500" y="5245100"/>
          <a:ext cx="406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6350</xdr:colOff>
      <xdr:row>28</xdr:row>
      <xdr:rowOff>0</xdr:rowOff>
    </xdr:from>
    <xdr:to>
      <xdr:col>12</xdr:col>
      <xdr:colOff>412750</xdr:colOff>
      <xdr:row>28</xdr:row>
      <xdr:rowOff>0</xdr:rowOff>
    </xdr:to>
    <xdr:pic>
      <xdr:nvPicPr>
        <xdr:cNvPr id="4443" name="Object -1017" hidden="1">
          <a:extLst>
            <a:ext uri="{FF2B5EF4-FFF2-40B4-BE49-F238E27FC236}">
              <a16:creationId xmlns:a16="http://schemas.microsoft.com/office/drawing/2014/main" id="{5F449B28-C4C1-F99F-ED01-16C3BD6F13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5500" y="5245100"/>
          <a:ext cx="406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6350</xdr:colOff>
      <xdr:row>28</xdr:row>
      <xdr:rowOff>0</xdr:rowOff>
    </xdr:from>
    <xdr:to>
      <xdr:col>12</xdr:col>
      <xdr:colOff>412750</xdr:colOff>
      <xdr:row>28</xdr:row>
      <xdr:rowOff>0</xdr:rowOff>
    </xdr:to>
    <xdr:pic>
      <xdr:nvPicPr>
        <xdr:cNvPr id="4444" name="Object -1016" hidden="1">
          <a:extLst>
            <a:ext uri="{FF2B5EF4-FFF2-40B4-BE49-F238E27FC236}">
              <a16:creationId xmlns:a16="http://schemas.microsoft.com/office/drawing/2014/main" id="{CE32601C-5F27-D288-2B4C-3EA77BEAA3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5500" y="5245100"/>
          <a:ext cx="406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6350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445" name="Object -1013" hidden="1">
          <a:extLst>
            <a:ext uri="{FF2B5EF4-FFF2-40B4-BE49-F238E27FC236}">
              <a16:creationId xmlns:a16="http://schemas.microsoft.com/office/drawing/2014/main" id="{5FDC8726-6B0D-C7A6-3DC9-F242209C34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8100" y="16459200"/>
          <a:ext cx="5778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6350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446" name="Object -1012" hidden="1">
          <a:extLst>
            <a:ext uri="{FF2B5EF4-FFF2-40B4-BE49-F238E27FC236}">
              <a16:creationId xmlns:a16="http://schemas.microsoft.com/office/drawing/2014/main" id="{3BD961D4-4B41-57C5-F717-763C6F46B7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8100" y="16459200"/>
          <a:ext cx="5778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6350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447" name="Object -1011" hidden="1">
          <a:extLst>
            <a:ext uri="{FF2B5EF4-FFF2-40B4-BE49-F238E27FC236}">
              <a16:creationId xmlns:a16="http://schemas.microsoft.com/office/drawing/2014/main" id="{485F7C46-7C93-C489-439A-F336E80714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8100" y="16459200"/>
          <a:ext cx="5778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6350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448" name="Object -1010" hidden="1">
          <a:extLst>
            <a:ext uri="{FF2B5EF4-FFF2-40B4-BE49-F238E27FC236}">
              <a16:creationId xmlns:a16="http://schemas.microsoft.com/office/drawing/2014/main" id="{965DAE5D-3771-51EA-EE94-F387F30ABC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8100" y="16459200"/>
          <a:ext cx="5778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6350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449" name="Object -1009" hidden="1">
          <a:extLst>
            <a:ext uri="{FF2B5EF4-FFF2-40B4-BE49-F238E27FC236}">
              <a16:creationId xmlns:a16="http://schemas.microsoft.com/office/drawing/2014/main" id="{8D1B46B9-2441-C51A-AC77-5BFB65FE6A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8100" y="16459200"/>
          <a:ext cx="5778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6350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450" name="Object -1008" hidden="1">
          <a:extLst>
            <a:ext uri="{FF2B5EF4-FFF2-40B4-BE49-F238E27FC236}">
              <a16:creationId xmlns:a16="http://schemas.microsoft.com/office/drawing/2014/main" id="{8153A8D3-7591-A794-F330-44A198465C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8100" y="16459200"/>
          <a:ext cx="5778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6350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451" name="Object -1007" hidden="1">
          <a:extLst>
            <a:ext uri="{FF2B5EF4-FFF2-40B4-BE49-F238E27FC236}">
              <a16:creationId xmlns:a16="http://schemas.microsoft.com/office/drawing/2014/main" id="{D415CF03-6C97-C2D9-AC90-40693F25F4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8100" y="16459200"/>
          <a:ext cx="5778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6350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452" name="Object -1006" hidden="1">
          <a:extLst>
            <a:ext uri="{FF2B5EF4-FFF2-40B4-BE49-F238E27FC236}">
              <a16:creationId xmlns:a16="http://schemas.microsoft.com/office/drawing/2014/main" id="{691F7743-59FB-30C5-93D0-A3F6D2B53F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8100" y="16459200"/>
          <a:ext cx="5778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6350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453" name="Object -1005" hidden="1">
          <a:extLst>
            <a:ext uri="{FF2B5EF4-FFF2-40B4-BE49-F238E27FC236}">
              <a16:creationId xmlns:a16="http://schemas.microsoft.com/office/drawing/2014/main" id="{97E9D906-4D8D-DC73-E25E-16C256C3D1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8100" y="16459200"/>
          <a:ext cx="5778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6350</xdr:colOff>
      <xdr:row>28</xdr:row>
      <xdr:rowOff>0</xdr:rowOff>
    </xdr:from>
    <xdr:to>
      <xdr:col>12</xdr:col>
      <xdr:colOff>412750</xdr:colOff>
      <xdr:row>28</xdr:row>
      <xdr:rowOff>0</xdr:rowOff>
    </xdr:to>
    <xdr:pic>
      <xdr:nvPicPr>
        <xdr:cNvPr id="4454" name="Object -1022" hidden="1">
          <a:extLst>
            <a:ext uri="{FF2B5EF4-FFF2-40B4-BE49-F238E27FC236}">
              <a16:creationId xmlns:a16="http://schemas.microsoft.com/office/drawing/2014/main" id="{75CFCBFD-7C6B-01E6-92C9-1FA1216315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5500" y="5245100"/>
          <a:ext cx="406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6350</xdr:colOff>
      <xdr:row>28</xdr:row>
      <xdr:rowOff>0</xdr:rowOff>
    </xdr:from>
    <xdr:to>
      <xdr:col>12</xdr:col>
      <xdr:colOff>412750</xdr:colOff>
      <xdr:row>28</xdr:row>
      <xdr:rowOff>0</xdr:rowOff>
    </xdr:to>
    <xdr:pic>
      <xdr:nvPicPr>
        <xdr:cNvPr id="4455" name="Object -1021" hidden="1">
          <a:extLst>
            <a:ext uri="{FF2B5EF4-FFF2-40B4-BE49-F238E27FC236}">
              <a16:creationId xmlns:a16="http://schemas.microsoft.com/office/drawing/2014/main" id="{38DE1A5F-8974-9082-59E9-51EEF9C6C2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5500" y="5245100"/>
          <a:ext cx="406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6350</xdr:colOff>
      <xdr:row>28</xdr:row>
      <xdr:rowOff>0</xdr:rowOff>
    </xdr:from>
    <xdr:to>
      <xdr:col>12</xdr:col>
      <xdr:colOff>412750</xdr:colOff>
      <xdr:row>28</xdr:row>
      <xdr:rowOff>0</xdr:rowOff>
    </xdr:to>
    <xdr:pic>
      <xdr:nvPicPr>
        <xdr:cNvPr id="4456" name="Object -1020" hidden="1">
          <a:extLst>
            <a:ext uri="{FF2B5EF4-FFF2-40B4-BE49-F238E27FC236}">
              <a16:creationId xmlns:a16="http://schemas.microsoft.com/office/drawing/2014/main" id="{646DA48D-8497-B94C-BAE5-F5097CD12C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5500" y="5245100"/>
          <a:ext cx="406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6350</xdr:colOff>
      <xdr:row>28</xdr:row>
      <xdr:rowOff>0</xdr:rowOff>
    </xdr:from>
    <xdr:to>
      <xdr:col>12</xdr:col>
      <xdr:colOff>412750</xdr:colOff>
      <xdr:row>28</xdr:row>
      <xdr:rowOff>0</xdr:rowOff>
    </xdr:to>
    <xdr:pic>
      <xdr:nvPicPr>
        <xdr:cNvPr id="4457" name="Object -1019" hidden="1">
          <a:extLst>
            <a:ext uri="{FF2B5EF4-FFF2-40B4-BE49-F238E27FC236}">
              <a16:creationId xmlns:a16="http://schemas.microsoft.com/office/drawing/2014/main" id="{20A17EDC-09CE-D067-58BE-1C627A6818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5500" y="5245100"/>
          <a:ext cx="406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6350</xdr:colOff>
      <xdr:row>28</xdr:row>
      <xdr:rowOff>0</xdr:rowOff>
    </xdr:from>
    <xdr:to>
      <xdr:col>12</xdr:col>
      <xdr:colOff>412750</xdr:colOff>
      <xdr:row>28</xdr:row>
      <xdr:rowOff>0</xdr:rowOff>
    </xdr:to>
    <xdr:pic>
      <xdr:nvPicPr>
        <xdr:cNvPr id="4458" name="Object -1018" hidden="1">
          <a:extLst>
            <a:ext uri="{FF2B5EF4-FFF2-40B4-BE49-F238E27FC236}">
              <a16:creationId xmlns:a16="http://schemas.microsoft.com/office/drawing/2014/main" id="{350CD1FD-859E-79EE-4E92-2E37C53CCC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5500" y="5245100"/>
          <a:ext cx="406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6350</xdr:colOff>
      <xdr:row>28</xdr:row>
      <xdr:rowOff>0</xdr:rowOff>
    </xdr:from>
    <xdr:to>
      <xdr:col>12</xdr:col>
      <xdr:colOff>412750</xdr:colOff>
      <xdr:row>28</xdr:row>
      <xdr:rowOff>0</xdr:rowOff>
    </xdr:to>
    <xdr:pic>
      <xdr:nvPicPr>
        <xdr:cNvPr id="4459" name="Object -1017" hidden="1">
          <a:extLst>
            <a:ext uri="{FF2B5EF4-FFF2-40B4-BE49-F238E27FC236}">
              <a16:creationId xmlns:a16="http://schemas.microsoft.com/office/drawing/2014/main" id="{173CB5CF-BA02-FE26-53E6-3129141E0B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5500" y="5245100"/>
          <a:ext cx="406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6350</xdr:colOff>
      <xdr:row>28</xdr:row>
      <xdr:rowOff>0</xdr:rowOff>
    </xdr:from>
    <xdr:to>
      <xdr:col>12</xdr:col>
      <xdr:colOff>412750</xdr:colOff>
      <xdr:row>28</xdr:row>
      <xdr:rowOff>0</xdr:rowOff>
    </xdr:to>
    <xdr:pic>
      <xdr:nvPicPr>
        <xdr:cNvPr id="4460" name="Object -1016" hidden="1">
          <a:extLst>
            <a:ext uri="{FF2B5EF4-FFF2-40B4-BE49-F238E27FC236}">
              <a16:creationId xmlns:a16="http://schemas.microsoft.com/office/drawing/2014/main" id="{4BF1E497-3929-D2FA-1924-DF8D6328A7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5500" y="5245100"/>
          <a:ext cx="406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6350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461" name="Object -1013" hidden="1">
          <a:extLst>
            <a:ext uri="{FF2B5EF4-FFF2-40B4-BE49-F238E27FC236}">
              <a16:creationId xmlns:a16="http://schemas.microsoft.com/office/drawing/2014/main" id="{0D8545E3-466A-1D34-E79E-F5B13EC6A8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8100" y="16459200"/>
          <a:ext cx="5778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6350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462" name="Object -1012" hidden="1">
          <a:extLst>
            <a:ext uri="{FF2B5EF4-FFF2-40B4-BE49-F238E27FC236}">
              <a16:creationId xmlns:a16="http://schemas.microsoft.com/office/drawing/2014/main" id="{0029C8A5-3403-DDD7-E4F1-D5BB48920C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8100" y="16459200"/>
          <a:ext cx="5778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6350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463" name="Object -1011" hidden="1">
          <a:extLst>
            <a:ext uri="{FF2B5EF4-FFF2-40B4-BE49-F238E27FC236}">
              <a16:creationId xmlns:a16="http://schemas.microsoft.com/office/drawing/2014/main" id="{A6F7723B-7036-7710-92B2-CE3B864C39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8100" y="16459200"/>
          <a:ext cx="5778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6350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464" name="Object -1010" hidden="1">
          <a:extLst>
            <a:ext uri="{FF2B5EF4-FFF2-40B4-BE49-F238E27FC236}">
              <a16:creationId xmlns:a16="http://schemas.microsoft.com/office/drawing/2014/main" id="{6340D09B-494F-8417-AD64-62750E3189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8100" y="16459200"/>
          <a:ext cx="5778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6350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465" name="Object -1009" hidden="1">
          <a:extLst>
            <a:ext uri="{FF2B5EF4-FFF2-40B4-BE49-F238E27FC236}">
              <a16:creationId xmlns:a16="http://schemas.microsoft.com/office/drawing/2014/main" id="{37DEB7A4-FC40-1827-7682-AC28BDF619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8100" y="16459200"/>
          <a:ext cx="5778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6350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466" name="Object -1008" hidden="1">
          <a:extLst>
            <a:ext uri="{FF2B5EF4-FFF2-40B4-BE49-F238E27FC236}">
              <a16:creationId xmlns:a16="http://schemas.microsoft.com/office/drawing/2014/main" id="{BD83ECD8-11FF-71E5-6608-D2A4D9DCF6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8100" y="16459200"/>
          <a:ext cx="5778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6350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467" name="Object -1007" hidden="1">
          <a:extLst>
            <a:ext uri="{FF2B5EF4-FFF2-40B4-BE49-F238E27FC236}">
              <a16:creationId xmlns:a16="http://schemas.microsoft.com/office/drawing/2014/main" id="{EFBC8008-565F-8A24-405C-41101FD43E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8100" y="16459200"/>
          <a:ext cx="5778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6350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468" name="Object -1006" hidden="1">
          <a:extLst>
            <a:ext uri="{FF2B5EF4-FFF2-40B4-BE49-F238E27FC236}">
              <a16:creationId xmlns:a16="http://schemas.microsoft.com/office/drawing/2014/main" id="{A8889922-B0C5-9528-0E13-771F9D9FEA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8100" y="16459200"/>
          <a:ext cx="5778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6350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469" name="Object -1005" hidden="1">
          <a:extLst>
            <a:ext uri="{FF2B5EF4-FFF2-40B4-BE49-F238E27FC236}">
              <a16:creationId xmlns:a16="http://schemas.microsoft.com/office/drawing/2014/main" id="{4A13A8A4-E0BE-D850-D624-5F6C2AE416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8100" y="16459200"/>
          <a:ext cx="5778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6350</xdr:colOff>
      <xdr:row>28</xdr:row>
      <xdr:rowOff>0</xdr:rowOff>
    </xdr:from>
    <xdr:to>
      <xdr:col>12</xdr:col>
      <xdr:colOff>412750</xdr:colOff>
      <xdr:row>28</xdr:row>
      <xdr:rowOff>0</xdr:rowOff>
    </xdr:to>
    <xdr:pic>
      <xdr:nvPicPr>
        <xdr:cNvPr id="4470" name="Object -1022" hidden="1">
          <a:extLst>
            <a:ext uri="{FF2B5EF4-FFF2-40B4-BE49-F238E27FC236}">
              <a16:creationId xmlns:a16="http://schemas.microsoft.com/office/drawing/2014/main" id="{FF822437-0CFB-59F1-D22E-A68B85C422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5500" y="5245100"/>
          <a:ext cx="406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6350</xdr:colOff>
      <xdr:row>28</xdr:row>
      <xdr:rowOff>0</xdr:rowOff>
    </xdr:from>
    <xdr:to>
      <xdr:col>12</xdr:col>
      <xdr:colOff>412750</xdr:colOff>
      <xdr:row>28</xdr:row>
      <xdr:rowOff>0</xdr:rowOff>
    </xdr:to>
    <xdr:pic>
      <xdr:nvPicPr>
        <xdr:cNvPr id="4471" name="Object -1021" hidden="1">
          <a:extLst>
            <a:ext uri="{FF2B5EF4-FFF2-40B4-BE49-F238E27FC236}">
              <a16:creationId xmlns:a16="http://schemas.microsoft.com/office/drawing/2014/main" id="{76C9D38C-8C7D-FC76-BEB2-4396CD6839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5500" y="5245100"/>
          <a:ext cx="406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6350</xdr:colOff>
      <xdr:row>28</xdr:row>
      <xdr:rowOff>0</xdr:rowOff>
    </xdr:from>
    <xdr:to>
      <xdr:col>12</xdr:col>
      <xdr:colOff>412750</xdr:colOff>
      <xdr:row>28</xdr:row>
      <xdr:rowOff>0</xdr:rowOff>
    </xdr:to>
    <xdr:pic>
      <xdr:nvPicPr>
        <xdr:cNvPr id="4472" name="Object -1020" hidden="1">
          <a:extLst>
            <a:ext uri="{FF2B5EF4-FFF2-40B4-BE49-F238E27FC236}">
              <a16:creationId xmlns:a16="http://schemas.microsoft.com/office/drawing/2014/main" id="{3DB028B5-52DF-36BC-3EF2-248C79BE56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5500" y="5245100"/>
          <a:ext cx="406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6350</xdr:colOff>
      <xdr:row>28</xdr:row>
      <xdr:rowOff>0</xdr:rowOff>
    </xdr:from>
    <xdr:to>
      <xdr:col>12</xdr:col>
      <xdr:colOff>412750</xdr:colOff>
      <xdr:row>28</xdr:row>
      <xdr:rowOff>0</xdr:rowOff>
    </xdr:to>
    <xdr:pic>
      <xdr:nvPicPr>
        <xdr:cNvPr id="4473" name="Object -1019" hidden="1">
          <a:extLst>
            <a:ext uri="{FF2B5EF4-FFF2-40B4-BE49-F238E27FC236}">
              <a16:creationId xmlns:a16="http://schemas.microsoft.com/office/drawing/2014/main" id="{94932470-0326-A1D3-89A6-4076169EE7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5500" y="5245100"/>
          <a:ext cx="406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6350</xdr:colOff>
      <xdr:row>28</xdr:row>
      <xdr:rowOff>0</xdr:rowOff>
    </xdr:from>
    <xdr:to>
      <xdr:col>12</xdr:col>
      <xdr:colOff>412750</xdr:colOff>
      <xdr:row>28</xdr:row>
      <xdr:rowOff>0</xdr:rowOff>
    </xdr:to>
    <xdr:pic>
      <xdr:nvPicPr>
        <xdr:cNvPr id="4474" name="Object -1018" hidden="1">
          <a:extLst>
            <a:ext uri="{FF2B5EF4-FFF2-40B4-BE49-F238E27FC236}">
              <a16:creationId xmlns:a16="http://schemas.microsoft.com/office/drawing/2014/main" id="{B71B1137-2D4C-4925-C3BD-A7FFEA06D9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5500" y="5245100"/>
          <a:ext cx="406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6350</xdr:colOff>
      <xdr:row>28</xdr:row>
      <xdr:rowOff>0</xdr:rowOff>
    </xdr:from>
    <xdr:to>
      <xdr:col>12</xdr:col>
      <xdr:colOff>412750</xdr:colOff>
      <xdr:row>28</xdr:row>
      <xdr:rowOff>0</xdr:rowOff>
    </xdr:to>
    <xdr:pic>
      <xdr:nvPicPr>
        <xdr:cNvPr id="4475" name="Object -1017" hidden="1">
          <a:extLst>
            <a:ext uri="{FF2B5EF4-FFF2-40B4-BE49-F238E27FC236}">
              <a16:creationId xmlns:a16="http://schemas.microsoft.com/office/drawing/2014/main" id="{EEC83B67-5F1A-E5C3-41D0-1B212528FA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5500" y="5245100"/>
          <a:ext cx="406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6350</xdr:colOff>
      <xdr:row>28</xdr:row>
      <xdr:rowOff>0</xdr:rowOff>
    </xdr:from>
    <xdr:to>
      <xdr:col>12</xdr:col>
      <xdr:colOff>412750</xdr:colOff>
      <xdr:row>28</xdr:row>
      <xdr:rowOff>0</xdr:rowOff>
    </xdr:to>
    <xdr:pic>
      <xdr:nvPicPr>
        <xdr:cNvPr id="4476" name="Object -1016" hidden="1">
          <a:extLst>
            <a:ext uri="{FF2B5EF4-FFF2-40B4-BE49-F238E27FC236}">
              <a16:creationId xmlns:a16="http://schemas.microsoft.com/office/drawing/2014/main" id="{5E315482-D005-96AD-4B2E-2DF36D36E8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5500" y="5245100"/>
          <a:ext cx="406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6350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477" name="Object -1013" hidden="1">
          <a:extLst>
            <a:ext uri="{FF2B5EF4-FFF2-40B4-BE49-F238E27FC236}">
              <a16:creationId xmlns:a16="http://schemas.microsoft.com/office/drawing/2014/main" id="{88258878-C03B-AB99-473B-47D8C0D7BA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8100" y="16459200"/>
          <a:ext cx="5778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6350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478" name="Object -1012" hidden="1">
          <a:extLst>
            <a:ext uri="{FF2B5EF4-FFF2-40B4-BE49-F238E27FC236}">
              <a16:creationId xmlns:a16="http://schemas.microsoft.com/office/drawing/2014/main" id="{CAE5D6F7-17F0-CE25-41A9-1DE52E031C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8100" y="16459200"/>
          <a:ext cx="5778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6350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479" name="Object -1011" hidden="1">
          <a:extLst>
            <a:ext uri="{FF2B5EF4-FFF2-40B4-BE49-F238E27FC236}">
              <a16:creationId xmlns:a16="http://schemas.microsoft.com/office/drawing/2014/main" id="{C85CA48D-B73B-9EAD-9D15-B0ACF80CE3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8100" y="16459200"/>
          <a:ext cx="5778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6350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480" name="Object -1010" hidden="1">
          <a:extLst>
            <a:ext uri="{FF2B5EF4-FFF2-40B4-BE49-F238E27FC236}">
              <a16:creationId xmlns:a16="http://schemas.microsoft.com/office/drawing/2014/main" id="{04D9BD3D-982A-0111-AAEE-9CA5FEBB1A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8100" y="16459200"/>
          <a:ext cx="5778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6350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481" name="Object -1009" hidden="1">
          <a:extLst>
            <a:ext uri="{FF2B5EF4-FFF2-40B4-BE49-F238E27FC236}">
              <a16:creationId xmlns:a16="http://schemas.microsoft.com/office/drawing/2014/main" id="{CAB53747-F920-8AE6-34F5-587BBD4F52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8100" y="16459200"/>
          <a:ext cx="5778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6350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482" name="Object -1008" hidden="1">
          <a:extLst>
            <a:ext uri="{FF2B5EF4-FFF2-40B4-BE49-F238E27FC236}">
              <a16:creationId xmlns:a16="http://schemas.microsoft.com/office/drawing/2014/main" id="{08E54D2C-2136-A0D3-C657-18CA1CD3A0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8100" y="16459200"/>
          <a:ext cx="5778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6350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483" name="Object -1007" hidden="1">
          <a:extLst>
            <a:ext uri="{FF2B5EF4-FFF2-40B4-BE49-F238E27FC236}">
              <a16:creationId xmlns:a16="http://schemas.microsoft.com/office/drawing/2014/main" id="{E25A6316-C7DF-0DA2-0DC6-706AC33E9A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8100" y="16459200"/>
          <a:ext cx="5778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6350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484" name="Object -1006" hidden="1">
          <a:extLst>
            <a:ext uri="{FF2B5EF4-FFF2-40B4-BE49-F238E27FC236}">
              <a16:creationId xmlns:a16="http://schemas.microsoft.com/office/drawing/2014/main" id="{58EA6D6A-D414-94D1-69C9-3103BE8476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8100" y="16459200"/>
          <a:ext cx="5778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6350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485" name="Object -1005" hidden="1">
          <a:extLst>
            <a:ext uri="{FF2B5EF4-FFF2-40B4-BE49-F238E27FC236}">
              <a16:creationId xmlns:a16="http://schemas.microsoft.com/office/drawing/2014/main" id="{36953E24-860F-7FB9-8B79-17F1887999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8100" y="16459200"/>
          <a:ext cx="5778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6350</xdr:colOff>
      <xdr:row>28</xdr:row>
      <xdr:rowOff>0</xdr:rowOff>
    </xdr:from>
    <xdr:to>
      <xdr:col>12</xdr:col>
      <xdr:colOff>412750</xdr:colOff>
      <xdr:row>28</xdr:row>
      <xdr:rowOff>0</xdr:rowOff>
    </xdr:to>
    <xdr:pic>
      <xdr:nvPicPr>
        <xdr:cNvPr id="4486" name="Object -1022" hidden="1">
          <a:extLst>
            <a:ext uri="{FF2B5EF4-FFF2-40B4-BE49-F238E27FC236}">
              <a16:creationId xmlns:a16="http://schemas.microsoft.com/office/drawing/2014/main" id="{C0DD752D-0443-C811-D7C0-7A8D750CB6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5500" y="5245100"/>
          <a:ext cx="406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6350</xdr:colOff>
      <xdr:row>28</xdr:row>
      <xdr:rowOff>0</xdr:rowOff>
    </xdr:from>
    <xdr:to>
      <xdr:col>12</xdr:col>
      <xdr:colOff>412750</xdr:colOff>
      <xdr:row>28</xdr:row>
      <xdr:rowOff>0</xdr:rowOff>
    </xdr:to>
    <xdr:pic>
      <xdr:nvPicPr>
        <xdr:cNvPr id="4487" name="Object -1021" hidden="1">
          <a:extLst>
            <a:ext uri="{FF2B5EF4-FFF2-40B4-BE49-F238E27FC236}">
              <a16:creationId xmlns:a16="http://schemas.microsoft.com/office/drawing/2014/main" id="{E25E54EF-28DC-2F78-43C8-7D03ECA5C4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5500" y="5245100"/>
          <a:ext cx="406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6350</xdr:colOff>
      <xdr:row>28</xdr:row>
      <xdr:rowOff>0</xdr:rowOff>
    </xdr:from>
    <xdr:to>
      <xdr:col>12</xdr:col>
      <xdr:colOff>412750</xdr:colOff>
      <xdr:row>28</xdr:row>
      <xdr:rowOff>0</xdr:rowOff>
    </xdr:to>
    <xdr:pic>
      <xdr:nvPicPr>
        <xdr:cNvPr id="4488" name="Object -1020" hidden="1">
          <a:extLst>
            <a:ext uri="{FF2B5EF4-FFF2-40B4-BE49-F238E27FC236}">
              <a16:creationId xmlns:a16="http://schemas.microsoft.com/office/drawing/2014/main" id="{64F900EE-2888-745A-25D8-78EBA5DC6B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5500" y="5245100"/>
          <a:ext cx="406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6350</xdr:colOff>
      <xdr:row>28</xdr:row>
      <xdr:rowOff>0</xdr:rowOff>
    </xdr:from>
    <xdr:to>
      <xdr:col>12</xdr:col>
      <xdr:colOff>412750</xdr:colOff>
      <xdr:row>28</xdr:row>
      <xdr:rowOff>0</xdr:rowOff>
    </xdr:to>
    <xdr:pic>
      <xdr:nvPicPr>
        <xdr:cNvPr id="4489" name="Object -1019" hidden="1">
          <a:extLst>
            <a:ext uri="{FF2B5EF4-FFF2-40B4-BE49-F238E27FC236}">
              <a16:creationId xmlns:a16="http://schemas.microsoft.com/office/drawing/2014/main" id="{B2A7C928-2962-FF58-C83F-70E1C5D3AB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5500" y="5245100"/>
          <a:ext cx="406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6350</xdr:colOff>
      <xdr:row>28</xdr:row>
      <xdr:rowOff>0</xdr:rowOff>
    </xdr:from>
    <xdr:to>
      <xdr:col>12</xdr:col>
      <xdr:colOff>412750</xdr:colOff>
      <xdr:row>28</xdr:row>
      <xdr:rowOff>0</xdr:rowOff>
    </xdr:to>
    <xdr:pic>
      <xdr:nvPicPr>
        <xdr:cNvPr id="4490" name="Object -1018" hidden="1">
          <a:extLst>
            <a:ext uri="{FF2B5EF4-FFF2-40B4-BE49-F238E27FC236}">
              <a16:creationId xmlns:a16="http://schemas.microsoft.com/office/drawing/2014/main" id="{754AD421-B4B0-D228-1A23-90AEFBD3A2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5500" y="5245100"/>
          <a:ext cx="406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6350</xdr:colOff>
      <xdr:row>28</xdr:row>
      <xdr:rowOff>0</xdr:rowOff>
    </xdr:from>
    <xdr:to>
      <xdr:col>12</xdr:col>
      <xdr:colOff>412750</xdr:colOff>
      <xdr:row>28</xdr:row>
      <xdr:rowOff>0</xdr:rowOff>
    </xdr:to>
    <xdr:pic>
      <xdr:nvPicPr>
        <xdr:cNvPr id="4491" name="Object -1017" hidden="1">
          <a:extLst>
            <a:ext uri="{FF2B5EF4-FFF2-40B4-BE49-F238E27FC236}">
              <a16:creationId xmlns:a16="http://schemas.microsoft.com/office/drawing/2014/main" id="{CDD496D8-A6D9-5F6D-4C1D-815E65B932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5500" y="5245100"/>
          <a:ext cx="406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6350</xdr:colOff>
      <xdr:row>28</xdr:row>
      <xdr:rowOff>0</xdr:rowOff>
    </xdr:from>
    <xdr:to>
      <xdr:col>12</xdr:col>
      <xdr:colOff>412750</xdr:colOff>
      <xdr:row>28</xdr:row>
      <xdr:rowOff>0</xdr:rowOff>
    </xdr:to>
    <xdr:pic>
      <xdr:nvPicPr>
        <xdr:cNvPr id="4492" name="Object -1016" hidden="1">
          <a:extLst>
            <a:ext uri="{FF2B5EF4-FFF2-40B4-BE49-F238E27FC236}">
              <a16:creationId xmlns:a16="http://schemas.microsoft.com/office/drawing/2014/main" id="{8E1443BC-8F71-0686-D405-C923B92669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5500" y="5245100"/>
          <a:ext cx="406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6350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493" name="Object -1013" hidden="1">
          <a:extLst>
            <a:ext uri="{FF2B5EF4-FFF2-40B4-BE49-F238E27FC236}">
              <a16:creationId xmlns:a16="http://schemas.microsoft.com/office/drawing/2014/main" id="{2039A298-21E4-A307-8011-B2F6BD5182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8100" y="16459200"/>
          <a:ext cx="5778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6350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494" name="Object -1012" hidden="1">
          <a:extLst>
            <a:ext uri="{FF2B5EF4-FFF2-40B4-BE49-F238E27FC236}">
              <a16:creationId xmlns:a16="http://schemas.microsoft.com/office/drawing/2014/main" id="{C13A7A17-445C-40F0-1D0D-6B29FCE6CE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8100" y="16459200"/>
          <a:ext cx="5778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6350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495" name="Object -1011" hidden="1">
          <a:extLst>
            <a:ext uri="{FF2B5EF4-FFF2-40B4-BE49-F238E27FC236}">
              <a16:creationId xmlns:a16="http://schemas.microsoft.com/office/drawing/2014/main" id="{E0960721-2692-C009-5489-D37D97343C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8100" y="16459200"/>
          <a:ext cx="5778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6350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496" name="Object -1010" hidden="1">
          <a:extLst>
            <a:ext uri="{FF2B5EF4-FFF2-40B4-BE49-F238E27FC236}">
              <a16:creationId xmlns:a16="http://schemas.microsoft.com/office/drawing/2014/main" id="{DB7D3B1B-770D-B734-2CBF-36080BD96D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8100" y="16459200"/>
          <a:ext cx="5778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6350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497" name="Object -1009" hidden="1">
          <a:extLst>
            <a:ext uri="{FF2B5EF4-FFF2-40B4-BE49-F238E27FC236}">
              <a16:creationId xmlns:a16="http://schemas.microsoft.com/office/drawing/2014/main" id="{CE8935EE-8A33-A869-6683-F0B8928757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8100" y="16459200"/>
          <a:ext cx="5778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6350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498" name="Object -1008" hidden="1">
          <a:extLst>
            <a:ext uri="{FF2B5EF4-FFF2-40B4-BE49-F238E27FC236}">
              <a16:creationId xmlns:a16="http://schemas.microsoft.com/office/drawing/2014/main" id="{32D2E121-B6AA-60E0-6646-81CBBAE1BD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8100" y="16459200"/>
          <a:ext cx="5778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6350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499" name="Object -1007" hidden="1">
          <a:extLst>
            <a:ext uri="{FF2B5EF4-FFF2-40B4-BE49-F238E27FC236}">
              <a16:creationId xmlns:a16="http://schemas.microsoft.com/office/drawing/2014/main" id="{C07255A3-A520-D310-7E5A-C7D0AB7F16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8100" y="16459200"/>
          <a:ext cx="5778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6350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500" name="Object -1006" hidden="1">
          <a:extLst>
            <a:ext uri="{FF2B5EF4-FFF2-40B4-BE49-F238E27FC236}">
              <a16:creationId xmlns:a16="http://schemas.microsoft.com/office/drawing/2014/main" id="{AFDC6F94-8767-44D2-0FE2-B5AF363B92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8100" y="16459200"/>
          <a:ext cx="5778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6350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501" name="Object -1005" hidden="1">
          <a:extLst>
            <a:ext uri="{FF2B5EF4-FFF2-40B4-BE49-F238E27FC236}">
              <a16:creationId xmlns:a16="http://schemas.microsoft.com/office/drawing/2014/main" id="{C11EE332-F69D-DC85-FCF7-2E6E3038F2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8100" y="16459200"/>
          <a:ext cx="5778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6350</xdr:colOff>
      <xdr:row>28</xdr:row>
      <xdr:rowOff>0</xdr:rowOff>
    </xdr:from>
    <xdr:to>
      <xdr:col>12</xdr:col>
      <xdr:colOff>412750</xdr:colOff>
      <xdr:row>28</xdr:row>
      <xdr:rowOff>0</xdr:rowOff>
    </xdr:to>
    <xdr:pic>
      <xdr:nvPicPr>
        <xdr:cNvPr id="4502" name="Object -1022" hidden="1">
          <a:extLst>
            <a:ext uri="{FF2B5EF4-FFF2-40B4-BE49-F238E27FC236}">
              <a16:creationId xmlns:a16="http://schemas.microsoft.com/office/drawing/2014/main" id="{11DE9EBE-35B0-6AE5-B952-F6CB742904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5500" y="5245100"/>
          <a:ext cx="406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6350</xdr:colOff>
      <xdr:row>28</xdr:row>
      <xdr:rowOff>0</xdr:rowOff>
    </xdr:from>
    <xdr:to>
      <xdr:col>12</xdr:col>
      <xdr:colOff>412750</xdr:colOff>
      <xdr:row>28</xdr:row>
      <xdr:rowOff>0</xdr:rowOff>
    </xdr:to>
    <xdr:pic>
      <xdr:nvPicPr>
        <xdr:cNvPr id="4503" name="Object -1021" hidden="1">
          <a:extLst>
            <a:ext uri="{FF2B5EF4-FFF2-40B4-BE49-F238E27FC236}">
              <a16:creationId xmlns:a16="http://schemas.microsoft.com/office/drawing/2014/main" id="{2348A263-30BE-43C7-24A8-D60907EED3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5500" y="5245100"/>
          <a:ext cx="406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6350</xdr:colOff>
      <xdr:row>28</xdr:row>
      <xdr:rowOff>0</xdr:rowOff>
    </xdr:from>
    <xdr:to>
      <xdr:col>12</xdr:col>
      <xdr:colOff>412750</xdr:colOff>
      <xdr:row>28</xdr:row>
      <xdr:rowOff>0</xdr:rowOff>
    </xdr:to>
    <xdr:pic>
      <xdr:nvPicPr>
        <xdr:cNvPr id="4504" name="Object -1020" hidden="1">
          <a:extLst>
            <a:ext uri="{FF2B5EF4-FFF2-40B4-BE49-F238E27FC236}">
              <a16:creationId xmlns:a16="http://schemas.microsoft.com/office/drawing/2014/main" id="{994AC4F1-AC28-998A-CF1C-9AA55A4472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5500" y="5245100"/>
          <a:ext cx="406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6350</xdr:colOff>
      <xdr:row>28</xdr:row>
      <xdr:rowOff>0</xdr:rowOff>
    </xdr:from>
    <xdr:to>
      <xdr:col>12</xdr:col>
      <xdr:colOff>412750</xdr:colOff>
      <xdr:row>28</xdr:row>
      <xdr:rowOff>0</xdr:rowOff>
    </xdr:to>
    <xdr:pic>
      <xdr:nvPicPr>
        <xdr:cNvPr id="4505" name="Object -1019" hidden="1">
          <a:extLst>
            <a:ext uri="{FF2B5EF4-FFF2-40B4-BE49-F238E27FC236}">
              <a16:creationId xmlns:a16="http://schemas.microsoft.com/office/drawing/2014/main" id="{A3657EB8-BF57-CBD2-9D6F-2993F2CBC9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5500" y="5245100"/>
          <a:ext cx="406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6350</xdr:colOff>
      <xdr:row>28</xdr:row>
      <xdr:rowOff>0</xdr:rowOff>
    </xdr:from>
    <xdr:to>
      <xdr:col>12</xdr:col>
      <xdr:colOff>412750</xdr:colOff>
      <xdr:row>28</xdr:row>
      <xdr:rowOff>0</xdr:rowOff>
    </xdr:to>
    <xdr:pic>
      <xdr:nvPicPr>
        <xdr:cNvPr id="4506" name="Object -1018" hidden="1">
          <a:extLst>
            <a:ext uri="{FF2B5EF4-FFF2-40B4-BE49-F238E27FC236}">
              <a16:creationId xmlns:a16="http://schemas.microsoft.com/office/drawing/2014/main" id="{786412F9-7980-CA4F-9B0F-D19F9DC965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5500" y="5245100"/>
          <a:ext cx="406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6350</xdr:colOff>
      <xdr:row>28</xdr:row>
      <xdr:rowOff>0</xdr:rowOff>
    </xdr:from>
    <xdr:to>
      <xdr:col>12</xdr:col>
      <xdr:colOff>412750</xdr:colOff>
      <xdr:row>28</xdr:row>
      <xdr:rowOff>0</xdr:rowOff>
    </xdr:to>
    <xdr:pic>
      <xdr:nvPicPr>
        <xdr:cNvPr id="4507" name="Object -1017" hidden="1">
          <a:extLst>
            <a:ext uri="{FF2B5EF4-FFF2-40B4-BE49-F238E27FC236}">
              <a16:creationId xmlns:a16="http://schemas.microsoft.com/office/drawing/2014/main" id="{D069E3F8-8587-5D87-85C5-4508E798D5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5500" y="5245100"/>
          <a:ext cx="406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6350</xdr:colOff>
      <xdr:row>28</xdr:row>
      <xdr:rowOff>0</xdr:rowOff>
    </xdr:from>
    <xdr:to>
      <xdr:col>12</xdr:col>
      <xdr:colOff>412750</xdr:colOff>
      <xdr:row>28</xdr:row>
      <xdr:rowOff>0</xdr:rowOff>
    </xdr:to>
    <xdr:pic>
      <xdr:nvPicPr>
        <xdr:cNvPr id="4508" name="Object -1016" hidden="1">
          <a:extLst>
            <a:ext uri="{FF2B5EF4-FFF2-40B4-BE49-F238E27FC236}">
              <a16:creationId xmlns:a16="http://schemas.microsoft.com/office/drawing/2014/main" id="{E5EB7A2B-F040-7F33-B65C-E947CA9301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5500" y="5245100"/>
          <a:ext cx="406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6350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509" name="Object -1013" hidden="1">
          <a:extLst>
            <a:ext uri="{FF2B5EF4-FFF2-40B4-BE49-F238E27FC236}">
              <a16:creationId xmlns:a16="http://schemas.microsoft.com/office/drawing/2014/main" id="{1FD7A0A6-4D54-7E2B-EEEF-64222FCBA9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8100" y="16459200"/>
          <a:ext cx="5778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6350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510" name="Object -1012" hidden="1">
          <a:extLst>
            <a:ext uri="{FF2B5EF4-FFF2-40B4-BE49-F238E27FC236}">
              <a16:creationId xmlns:a16="http://schemas.microsoft.com/office/drawing/2014/main" id="{809E057B-AAE0-32F6-EAE6-8E38F3068F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8100" y="16459200"/>
          <a:ext cx="5778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6350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511" name="Object -1011" hidden="1">
          <a:extLst>
            <a:ext uri="{FF2B5EF4-FFF2-40B4-BE49-F238E27FC236}">
              <a16:creationId xmlns:a16="http://schemas.microsoft.com/office/drawing/2014/main" id="{4A0C2F94-10C4-3C83-D5D8-7183EA443A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8100" y="16459200"/>
          <a:ext cx="5778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6350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512" name="Object -1010" hidden="1">
          <a:extLst>
            <a:ext uri="{FF2B5EF4-FFF2-40B4-BE49-F238E27FC236}">
              <a16:creationId xmlns:a16="http://schemas.microsoft.com/office/drawing/2014/main" id="{E0B88F08-60EB-6972-2A53-D56B8976A3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8100" y="16459200"/>
          <a:ext cx="5778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6350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513" name="Object -1009" hidden="1">
          <a:extLst>
            <a:ext uri="{FF2B5EF4-FFF2-40B4-BE49-F238E27FC236}">
              <a16:creationId xmlns:a16="http://schemas.microsoft.com/office/drawing/2014/main" id="{8594AE3C-82F4-AC74-2584-B3F113AE9F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8100" y="16459200"/>
          <a:ext cx="5778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6350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514" name="Object -1008" hidden="1">
          <a:extLst>
            <a:ext uri="{FF2B5EF4-FFF2-40B4-BE49-F238E27FC236}">
              <a16:creationId xmlns:a16="http://schemas.microsoft.com/office/drawing/2014/main" id="{7D35B78F-6E56-52A6-45B5-0C317B603A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8100" y="16459200"/>
          <a:ext cx="5778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6350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515" name="Object -1007" hidden="1">
          <a:extLst>
            <a:ext uri="{FF2B5EF4-FFF2-40B4-BE49-F238E27FC236}">
              <a16:creationId xmlns:a16="http://schemas.microsoft.com/office/drawing/2014/main" id="{28F6CE5E-9CD3-2AAD-6622-8EB490E02E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8100" y="16459200"/>
          <a:ext cx="5778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6350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516" name="Object -1006" hidden="1">
          <a:extLst>
            <a:ext uri="{FF2B5EF4-FFF2-40B4-BE49-F238E27FC236}">
              <a16:creationId xmlns:a16="http://schemas.microsoft.com/office/drawing/2014/main" id="{EFCB8FDC-7A88-905A-79D9-7AD7B9C9F8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8100" y="16459200"/>
          <a:ext cx="5778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6350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517" name="Object -1005" hidden="1">
          <a:extLst>
            <a:ext uri="{FF2B5EF4-FFF2-40B4-BE49-F238E27FC236}">
              <a16:creationId xmlns:a16="http://schemas.microsoft.com/office/drawing/2014/main" id="{CD9C765B-B3F9-9E45-4EB9-1764280421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8100" y="16459200"/>
          <a:ext cx="5778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6350</xdr:colOff>
      <xdr:row>28</xdr:row>
      <xdr:rowOff>0</xdr:rowOff>
    </xdr:from>
    <xdr:to>
      <xdr:col>12</xdr:col>
      <xdr:colOff>412750</xdr:colOff>
      <xdr:row>28</xdr:row>
      <xdr:rowOff>0</xdr:rowOff>
    </xdr:to>
    <xdr:pic>
      <xdr:nvPicPr>
        <xdr:cNvPr id="4518" name="Object -1022" hidden="1">
          <a:extLst>
            <a:ext uri="{FF2B5EF4-FFF2-40B4-BE49-F238E27FC236}">
              <a16:creationId xmlns:a16="http://schemas.microsoft.com/office/drawing/2014/main" id="{073FF396-7DE4-4719-F083-924C2C396B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08900" y="5245100"/>
          <a:ext cx="406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6350</xdr:colOff>
      <xdr:row>28</xdr:row>
      <xdr:rowOff>0</xdr:rowOff>
    </xdr:from>
    <xdr:to>
      <xdr:col>12</xdr:col>
      <xdr:colOff>412750</xdr:colOff>
      <xdr:row>28</xdr:row>
      <xdr:rowOff>0</xdr:rowOff>
    </xdr:to>
    <xdr:pic>
      <xdr:nvPicPr>
        <xdr:cNvPr id="4519" name="Object -1021" hidden="1">
          <a:extLst>
            <a:ext uri="{FF2B5EF4-FFF2-40B4-BE49-F238E27FC236}">
              <a16:creationId xmlns:a16="http://schemas.microsoft.com/office/drawing/2014/main" id="{72C381E0-52E6-F663-62EA-9C36545E43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08900" y="5245100"/>
          <a:ext cx="406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6350</xdr:colOff>
      <xdr:row>28</xdr:row>
      <xdr:rowOff>0</xdr:rowOff>
    </xdr:from>
    <xdr:to>
      <xdr:col>12</xdr:col>
      <xdr:colOff>412750</xdr:colOff>
      <xdr:row>28</xdr:row>
      <xdr:rowOff>0</xdr:rowOff>
    </xdr:to>
    <xdr:pic>
      <xdr:nvPicPr>
        <xdr:cNvPr id="4520" name="Object -1020" hidden="1">
          <a:extLst>
            <a:ext uri="{FF2B5EF4-FFF2-40B4-BE49-F238E27FC236}">
              <a16:creationId xmlns:a16="http://schemas.microsoft.com/office/drawing/2014/main" id="{984F6B59-21D4-4AFB-83F9-FAABB81854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08900" y="5245100"/>
          <a:ext cx="406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6350</xdr:colOff>
      <xdr:row>28</xdr:row>
      <xdr:rowOff>0</xdr:rowOff>
    </xdr:from>
    <xdr:to>
      <xdr:col>12</xdr:col>
      <xdr:colOff>412750</xdr:colOff>
      <xdr:row>28</xdr:row>
      <xdr:rowOff>0</xdr:rowOff>
    </xdr:to>
    <xdr:pic>
      <xdr:nvPicPr>
        <xdr:cNvPr id="4521" name="Object -1019" hidden="1">
          <a:extLst>
            <a:ext uri="{FF2B5EF4-FFF2-40B4-BE49-F238E27FC236}">
              <a16:creationId xmlns:a16="http://schemas.microsoft.com/office/drawing/2014/main" id="{1545AE4D-A252-8F62-8403-022F9CE19C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08900" y="5245100"/>
          <a:ext cx="406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6350</xdr:colOff>
      <xdr:row>28</xdr:row>
      <xdr:rowOff>0</xdr:rowOff>
    </xdr:from>
    <xdr:to>
      <xdr:col>12</xdr:col>
      <xdr:colOff>412750</xdr:colOff>
      <xdr:row>28</xdr:row>
      <xdr:rowOff>0</xdr:rowOff>
    </xdr:to>
    <xdr:pic>
      <xdr:nvPicPr>
        <xdr:cNvPr id="4522" name="Object -1018" hidden="1">
          <a:extLst>
            <a:ext uri="{FF2B5EF4-FFF2-40B4-BE49-F238E27FC236}">
              <a16:creationId xmlns:a16="http://schemas.microsoft.com/office/drawing/2014/main" id="{BEA4D61A-BF99-E039-86AA-617072E444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08900" y="5245100"/>
          <a:ext cx="406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6350</xdr:colOff>
      <xdr:row>28</xdr:row>
      <xdr:rowOff>0</xdr:rowOff>
    </xdr:from>
    <xdr:to>
      <xdr:col>12</xdr:col>
      <xdr:colOff>412750</xdr:colOff>
      <xdr:row>28</xdr:row>
      <xdr:rowOff>0</xdr:rowOff>
    </xdr:to>
    <xdr:pic>
      <xdr:nvPicPr>
        <xdr:cNvPr id="4523" name="Object -1017" hidden="1">
          <a:extLst>
            <a:ext uri="{FF2B5EF4-FFF2-40B4-BE49-F238E27FC236}">
              <a16:creationId xmlns:a16="http://schemas.microsoft.com/office/drawing/2014/main" id="{C470DF1C-F4CB-03E4-6F87-FB931B3401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08900" y="5245100"/>
          <a:ext cx="406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6350</xdr:colOff>
      <xdr:row>28</xdr:row>
      <xdr:rowOff>0</xdr:rowOff>
    </xdr:from>
    <xdr:to>
      <xdr:col>12</xdr:col>
      <xdr:colOff>412750</xdr:colOff>
      <xdr:row>28</xdr:row>
      <xdr:rowOff>0</xdr:rowOff>
    </xdr:to>
    <xdr:pic>
      <xdr:nvPicPr>
        <xdr:cNvPr id="4524" name="Object -1016" hidden="1">
          <a:extLst>
            <a:ext uri="{FF2B5EF4-FFF2-40B4-BE49-F238E27FC236}">
              <a16:creationId xmlns:a16="http://schemas.microsoft.com/office/drawing/2014/main" id="{DAE5C0B4-A606-D34E-2A4B-DD19245BF9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08900" y="5245100"/>
          <a:ext cx="406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6350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525" name="Object -1013" hidden="1">
          <a:extLst>
            <a:ext uri="{FF2B5EF4-FFF2-40B4-BE49-F238E27FC236}">
              <a16:creationId xmlns:a16="http://schemas.microsoft.com/office/drawing/2014/main" id="{35DE8C2E-5A68-6393-5B19-5D88A8E6D6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8100" y="16459200"/>
          <a:ext cx="5778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6350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526" name="Object -1012" hidden="1">
          <a:extLst>
            <a:ext uri="{FF2B5EF4-FFF2-40B4-BE49-F238E27FC236}">
              <a16:creationId xmlns:a16="http://schemas.microsoft.com/office/drawing/2014/main" id="{55F945AF-CD90-4CB5-4FDE-77E9C7D976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8100" y="16459200"/>
          <a:ext cx="5778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6350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527" name="Object -1011" hidden="1">
          <a:extLst>
            <a:ext uri="{FF2B5EF4-FFF2-40B4-BE49-F238E27FC236}">
              <a16:creationId xmlns:a16="http://schemas.microsoft.com/office/drawing/2014/main" id="{0F7BFE8A-1852-B7C8-AF3A-8FAC5A0E28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8100" y="16459200"/>
          <a:ext cx="5778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6350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528" name="Object -1010" hidden="1">
          <a:extLst>
            <a:ext uri="{FF2B5EF4-FFF2-40B4-BE49-F238E27FC236}">
              <a16:creationId xmlns:a16="http://schemas.microsoft.com/office/drawing/2014/main" id="{055FFCA2-298F-734C-BC37-A00512AC3B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8100" y="16459200"/>
          <a:ext cx="5778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6350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529" name="Object -1009" hidden="1">
          <a:extLst>
            <a:ext uri="{FF2B5EF4-FFF2-40B4-BE49-F238E27FC236}">
              <a16:creationId xmlns:a16="http://schemas.microsoft.com/office/drawing/2014/main" id="{7AD8C366-A120-837F-49A9-6F6C1903B4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8100" y="16459200"/>
          <a:ext cx="5778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6350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530" name="Object -1008" hidden="1">
          <a:extLst>
            <a:ext uri="{FF2B5EF4-FFF2-40B4-BE49-F238E27FC236}">
              <a16:creationId xmlns:a16="http://schemas.microsoft.com/office/drawing/2014/main" id="{6709FD02-E296-0E21-EA7D-0FB6D3D8D4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8100" y="16459200"/>
          <a:ext cx="5778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6350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531" name="Object -1007" hidden="1">
          <a:extLst>
            <a:ext uri="{FF2B5EF4-FFF2-40B4-BE49-F238E27FC236}">
              <a16:creationId xmlns:a16="http://schemas.microsoft.com/office/drawing/2014/main" id="{F7EF58B1-1E08-93CA-CD41-3E2B611666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8100" y="16459200"/>
          <a:ext cx="5778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6350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532" name="Object -1006" hidden="1">
          <a:extLst>
            <a:ext uri="{FF2B5EF4-FFF2-40B4-BE49-F238E27FC236}">
              <a16:creationId xmlns:a16="http://schemas.microsoft.com/office/drawing/2014/main" id="{8CA7D780-BE37-86DF-E73B-078FFC3CB6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8100" y="16459200"/>
          <a:ext cx="5778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6350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533" name="Object -1005" hidden="1">
          <a:extLst>
            <a:ext uri="{FF2B5EF4-FFF2-40B4-BE49-F238E27FC236}">
              <a16:creationId xmlns:a16="http://schemas.microsoft.com/office/drawing/2014/main" id="{89A92C16-B0DD-EED4-04A3-5DF2C5BB15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8100" y="16459200"/>
          <a:ext cx="5778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6350</xdr:colOff>
      <xdr:row>28</xdr:row>
      <xdr:rowOff>0</xdr:rowOff>
    </xdr:from>
    <xdr:to>
      <xdr:col>12</xdr:col>
      <xdr:colOff>412750</xdr:colOff>
      <xdr:row>28</xdr:row>
      <xdr:rowOff>0</xdr:rowOff>
    </xdr:to>
    <xdr:pic>
      <xdr:nvPicPr>
        <xdr:cNvPr id="4534" name="Object -1022" hidden="1">
          <a:extLst>
            <a:ext uri="{FF2B5EF4-FFF2-40B4-BE49-F238E27FC236}">
              <a16:creationId xmlns:a16="http://schemas.microsoft.com/office/drawing/2014/main" id="{83B24DAA-24B4-6531-9DEC-A010CC2F9A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08900" y="5245100"/>
          <a:ext cx="406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6350</xdr:colOff>
      <xdr:row>28</xdr:row>
      <xdr:rowOff>0</xdr:rowOff>
    </xdr:from>
    <xdr:to>
      <xdr:col>12</xdr:col>
      <xdr:colOff>412750</xdr:colOff>
      <xdr:row>28</xdr:row>
      <xdr:rowOff>0</xdr:rowOff>
    </xdr:to>
    <xdr:pic>
      <xdr:nvPicPr>
        <xdr:cNvPr id="4535" name="Object -1021" hidden="1">
          <a:extLst>
            <a:ext uri="{FF2B5EF4-FFF2-40B4-BE49-F238E27FC236}">
              <a16:creationId xmlns:a16="http://schemas.microsoft.com/office/drawing/2014/main" id="{9D3629BB-65DE-2EF5-5162-8792CE6B10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08900" y="5245100"/>
          <a:ext cx="406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6350</xdr:colOff>
      <xdr:row>28</xdr:row>
      <xdr:rowOff>0</xdr:rowOff>
    </xdr:from>
    <xdr:to>
      <xdr:col>12</xdr:col>
      <xdr:colOff>412750</xdr:colOff>
      <xdr:row>28</xdr:row>
      <xdr:rowOff>0</xdr:rowOff>
    </xdr:to>
    <xdr:pic>
      <xdr:nvPicPr>
        <xdr:cNvPr id="4536" name="Object -1020" hidden="1">
          <a:extLst>
            <a:ext uri="{FF2B5EF4-FFF2-40B4-BE49-F238E27FC236}">
              <a16:creationId xmlns:a16="http://schemas.microsoft.com/office/drawing/2014/main" id="{27B3AB55-E9D2-5810-3B08-BB3B8D5355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08900" y="5245100"/>
          <a:ext cx="406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6350</xdr:colOff>
      <xdr:row>28</xdr:row>
      <xdr:rowOff>0</xdr:rowOff>
    </xdr:from>
    <xdr:to>
      <xdr:col>12</xdr:col>
      <xdr:colOff>412750</xdr:colOff>
      <xdr:row>28</xdr:row>
      <xdr:rowOff>0</xdr:rowOff>
    </xdr:to>
    <xdr:pic>
      <xdr:nvPicPr>
        <xdr:cNvPr id="4537" name="Object -1019" hidden="1">
          <a:extLst>
            <a:ext uri="{FF2B5EF4-FFF2-40B4-BE49-F238E27FC236}">
              <a16:creationId xmlns:a16="http://schemas.microsoft.com/office/drawing/2014/main" id="{B63D048A-9974-1DA2-C750-EAF4AAC788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08900" y="5245100"/>
          <a:ext cx="406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6350</xdr:colOff>
      <xdr:row>28</xdr:row>
      <xdr:rowOff>0</xdr:rowOff>
    </xdr:from>
    <xdr:to>
      <xdr:col>12</xdr:col>
      <xdr:colOff>412750</xdr:colOff>
      <xdr:row>28</xdr:row>
      <xdr:rowOff>0</xdr:rowOff>
    </xdr:to>
    <xdr:pic>
      <xdr:nvPicPr>
        <xdr:cNvPr id="4538" name="Object -1018" hidden="1">
          <a:extLst>
            <a:ext uri="{FF2B5EF4-FFF2-40B4-BE49-F238E27FC236}">
              <a16:creationId xmlns:a16="http://schemas.microsoft.com/office/drawing/2014/main" id="{2816CADE-8AEF-0013-339C-475B8A2C44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08900" y="5245100"/>
          <a:ext cx="406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6350</xdr:colOff>
      <xdr:row>28</xdr:row>
      <xdr:rowOff>0</xdr:rowOff>
    </xdr:from>
    <xdr:to>
      <xdr:col>12</xdr:col>
      <xdr:colOff>412750</xdr:colOff>
      <xdr:row>28</xdr:row>
      <xdr:rowOff>0</xdr:rowOff>
    </xdr:to>
    <xdr:pic>
      <xdr:nvPicPr>
        <xdr:cNvPr id="4539" name="Object -1017" hidden="1">
          <a:extLst>
            <a:ext uri="{FF2B5EF4-FFF2-40B4-BE49-F238E27FC236}">
              <a16:creationId xmlns:a16="http://schemas.microsoft.com/office/drawing/2014/main" id="{4B618498-CB09-23D3-51F2-D41895C073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08900" y="5245100"/>
          <a:ext cx="406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6350</xdr:colOff>
      <xdr:row>28</xdr:row>
      <xdr:rowOff>0</xdr:rowOff>
    </xdr:from>
    <xdr:to>
      <xdr:col>12</xdr:col>
      <xdr:colOff>412750</xdr:colOff>
      <xdr:row>28</xdr:row>
      <xdr:rowOff>0</xdr:rowOff>
    </xdr:to>
    <xdr:pic>
      <xdr:nvPicPr>
        <xdr:cNvPr id="4540" name="Object -1016" hidden="1">
          <a:extLst>
            <a:ext uri="{FF2B5EF4-FFF2-40B4-BE49-F238E27FC236}">
              <a16:creationId xmlns:a16="http://schemas.microsoft.com/office/drawing/2014/main" id="{6A135D73-D9D0-FE08-C8DD-05A1DAEFC7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08900" y="5245100"/>
          <a:ext cx="406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6350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541" name="Object -1013" hidden="1">
          <a:extLst>
            <a:ext uri="{FF2B5EF4-FFF2-40B4-BE49-F238E27FC236}">
              <a16:creationId xmlns:a16="http://schemas.microsoft.com/office/drawing/2014/main" id="{2598FC86-9219-8B45-CF9A-DC66E49A2C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8100" y="16459200"/>
          <a:ext cx="5778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6350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542" name="Object -1012" hidden="1">
          <a:extLst>
            <a:ext uri="{FF2B5EF4-FFF2-40B4-BE49-F238E27FC236}">
              <a16:creationId xmlns:a16="http://schemas.microsoft.com/office/drawing/2014/main" id="{60BDB2DE-1B91-2137-177E-DA790AE023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8100" y="16459200"/>
          <a:ext cx="5778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6350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543" name="Object -1011" hidden="1">
          <a:extLst>
            <a:ext uri="{FF2B5EF4-FFF2-40B4-BE49-F238E27FC236}">
              <a16:creationId xmlns:a16="http://schemas.microsoft.com/office/drawing/2014/main" id="{4023D816-E832-797E-73BB-96BCF53705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8100" y="16459200"/>
          <a:ext cx="5778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6350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544" name="Object -1010" hidden="1">
          <a:extLst>
            <a:ext uri="{FF2B5EF4-FFF2-40B4-BE49-F238E27FC236}">
              <a16:creationId xmlns:a16="http://schemas.microsoft.com/office/drawing/2014/main" id="{FC872E15-B3B0-003C-C25C-A7AEF312EE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8100" y="16459200"/>
          <a:ext cx="5778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6350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545" name="Object -1009" hidden="1">
          <a:extLst>
            <a:ext uri="{FF2B5EF4-FFF2-40B4-BE49-F238E27FC236}">
              <a16:creationId xmlns:a16="http://schemas.microsoft.com/office/drawing/2014/main" id="{986CF0E5-5539-20FD-EE90-83E885D1BB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8100" y="16459200"/>
          <a:ext cx="5778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6350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546" name="Object -1008" hidden="1">
          <a:extLst>
            <a:ext uri="{FF2B5EF4-FFF2-40B4-BE49-F238E27FC236}">
              <a16:creationId xmlns:a16="http://schemas.microsoft.com/office/drawing/2014/main" id="{6B481969-D0CF-72F0-17F4-1DAECAA467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8100" y="16459200"/>
          <a:ext cx="5778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6350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547" name="Object -1007" hidden="1">
          <a:extLst>
            <a:ext uri="{FF2B5EF4-FFF2-40B4-BE49-F238E27FC236}">
              <a16:creationId xmlns:a16="http://schemas.microsoft.com/office/drawing/2014/main" id="{4212138E-7B48-D36F-52E3-528F38C7E1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8100" y="16459200"/>
          <a:ext cx="5778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6350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548" name="Object -1006" hidden="1">
          <a:extLst>
            <a:ext uri="{FF2B5EF4-FFF2-40B4-BE49-F238E27FC236}">
              <a16:creationId xmlns:a16="http://schemas.microsoft.com/office/drawing/2014/main" id="{8377C833-00E1-753F-3615-D2463D842E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8100" y="16459200"/>
          <a:ext cx="5778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6350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549" name="Object -1005" hidden="1">
          <a:extLst>
            <a:ext uri="{FF2B5EF4-FFF2-40B4-BE49-F238E27FC236}">
              <a16:creationId xmlns:a16="http://schemas.microsoft.com/office/drawing/2014/main" id="{81614865-1F0D-8E1E-487F-238A9DAC26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8100" y="16459200"/>
          <a:ext cx="5778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6350</xdr:colOff>
      <xdr:row>28</xdr:row>
      <xdr:rowOff>0</xdr:rowOff>
    </xdr:from>
    <xdr:to>
      <xdr:col>12</xdr:col>
      <xdr:colOff>412750</xdr:colOff>
      <xdr:row>28</xdr:row>
      <xdr:rowOff>0</xdr:rowOff>
    </xdr:to>
    <xdr:pic>
      <xdr:nvPicPr>
        <xdr:cNvPr id="4550" name="Object -1022" hidden="1">
          <a:extLst>
            <a:ext uri="{FF2B5EF4-FFF2-40B4-BE49-F238E27FC236}">
              <a16:creationId xmlns:a16="http://schemas.microsoft.com/office/drawing/2014/main" id="{1D6F0A26-0A0C-414D-40D1-BB8F349598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08900" y="5245100"/>
          <a:ext cx="406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6350</xdr:colOff>
      <xdr:row>28</xdr:row>
      <xdr:rowOff>0</xdr:rowOff>
    </xdr:from>
    <xdr:to>
      <xdr:col>12</xdr:col>
      <xdr:colOff>412750</xdr:colOff>
      <xdr:row>28</xdr:row>
      <xdr:rowOff>0</xdr:rowOff>
    </xdr:to>
    <xdr:pic>
      <xdr:nvPicPr>
        <xdr:cNvPr id="4551" name="Object -1021" hidden="1">
          <a:extLst>
            <a:ext uri="{FF2B5EF4-FFF2-40B4-BE49-F238E27FC236}">
              <a16:creationId xmlns:a16="http://schemas.microsoft.com/office/drawing/2014/main" id="{72991F88-28CB-ED9B-0B80-18C641F757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08900" y="5245100"/>
          <a:ext cx="406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6350</xdr:colOff>
      <xdr:row>28</xdr:row>
      <xdr:rowOff>0</xdr:rowOff>
    </xdr:from>
    <xdr:to>
      <xdr:col>12</xdr:col>
      <xdr:colOff>412750</xdr:colOff>
      <xdr:row>28</xdr:row>
      <xdr:rowOff>0</xdr:rowOff>
    </xdr:to>
    <xdr:pic>
      <xdr:nvPicPr>
        <xdr:cNvPr id="4552" name="Object -1020" hidden="1">
          <a:extLst>
            <a:ext uri="{FF2B5EF4-FFF2-40B4-BE49-F238E27FC236}">
              <a16:creationId xmlns:a16="http://schemas.microsoft.com/office/drawing/2014/main" id="{78928342-5657-DFAB-7EFE-EC04BFBF75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08900" y="5245100"/>
          <a:ext cx="406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6350</xdr:colOff>
      <xdr:row>28</xdr:row>
      <xdr:rowOff>0</xdr:rowOff>
    </xdr:from>
    <xdr:to>
      <xdr:col>12</xdr:col>
      <xdr:colOff>412750</xdr:colOff>
      <xdr:row>28</xdr:row>
      <xdr:rowOff>0</xdr:rowOff>
    </xdr:to>
    <xdr:pic>
      <xdr:nvPicPr>
        <xdr:cNvPr id="4553" name="Object -1019" hidden="1">
          <a:extLst>
            <a:ext uri="{FF2B5EF4-FFF2-40B4-BE49-F238E27FC236}">
              <a16:creationId xmlns:a16="http://schemas.microsoft.com/office/drawing/2014/main" id="{02903CF6-92C6-B606-B28F-530064E4D9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08900" y="5245100"/>
          <a:ext cx="406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6350</xdr:colOff>
      <xdr:row>28</xdr:row>
      <xdr:rowOff>0</xdr:rowOff>
    </xdr:from>
    <xdr:to>
      <xdr:col>12</xdr:col>
      <xdr:colOff>412750</xdr:colOff>
      <xdr:row>28</xdr:row>
      <xdr:rowOff>0</xdr:rowOff>
    </xdr:to>
    <xdr:pic>
      <xdr:nvPicPr>
        <xdr:cNvPr id="4554" name="Object -1018" hidden="1">
          <a:extLst>
            <a:ext uri="{FF2B5EF4-FFF2-40B4-BE49-F238E27FC236}">
              <a16:creationId xmlns:a16="http://schemas.microsoft.com/office/drawing/2014/main" id="{3F1F9147-AF17-63C5-D8A0-FA7E21B4AC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08900" y="5245100"/>
          <a:ext cx="406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6350</xdr:colOff>
      <xdr:row>28</xdr:row>
      <xdr:rowOff>0</xdr:rowOff>
    </xdr:from>
    <xdr:to>
      <xdr:col>12</xdr:col>
      <xdr:colOff>412750</xdr:colOff>
      <xdr:row>28</xdr:row>
      <xdr:rowOff>0</xdr:rowOff>
    </xdr:to>
    <xdr:pic>
      <xdr:nvPicPr>
        <xdr:cNvPr id="4555" name="Object -1017" hidden="1">
          <a:extLst>
            <a:ext uri="{FF2B5EF4-FFF2-40B4-BE49-F238E27FC236}">
              <a16:creationId xmlns:a16="http://schemas.microsoft.com/office/drawing/2014/main" id="{AD101D1B-F6E9-5D10-932B-746292BBA5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08900" y="5245100"/>
          <a:ext cx="406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6350</xdr:colOff>
      <xdr:row>28</xdr:row>
      <xdr:rowOff>0</xdr:rowOff>
    </xdr:from>
    <xdr:to>
      <xdr:col>12</xdr:col>
      <xdr:colOff>412750</xdr:colOff>
      <xdr:row>28</xdr:row>
      <xdr:rowOff>0</xdr:rowOff>
    </xdr:to>
    <xdr:pic>
      <xdr:nvPicPr>
        <xdr:cNvPr id="4556" name="Object -1016" hidden="1">
          <a:extLst>
            <a:ext uri="{FF2B5EF4-FFF2-40B4-BE49-F238E27FC236}">
              <a16:creationId xmlns:a16="http://schemas.microsoft.com/office/drawing/2014/main" id="{7DBD8AD4-A160-AADB-E156-A76EB25A52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08900" y="5245100"/>
          <a:ext cx="406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6350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557" name="Object -1013" hidden="1">
          <a:extLst>
            <a:ext uri="{FF2B5EF4-FFF2-40B4-BE49-F238E27FC236}">
              <a16:creationId xmlns:a16="http://schemas.microsoft.com/office/drawing/2014/main" id="{1089D65F-F5BC-2B56-1B21-F25626C7CA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8100" y="16459200"/>
          <a:ext cx="5778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6350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558" name="Object -1012" hidden="1">
          <a:extLst>
            <a:ext uri="{FF2B5EF4-FFF2-40B4-BE49-F238E27FC236}">
              <a16:creationId xmlns:a16="http://schemas.microsoft.com/office/drawing/2014/main" id="{89F1E54D-9432-6DE6-ABB5-FFEE7563C9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8100" y="16459200"/>
          <a:ext cx="5778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6350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559" name="Object -1011" hidden="1">
          <a:extLst>
            <a:ext uri="{FF2B5EF4-FFF2-40B4-BE49-F238E27FC236}">
              <a16:creationId xmlns:a16="http://schemas.microsoft.com/office/drawing/2014/main" id="{6223A799-5B95-FB19-1342-B8082E3BAD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8100" y="16459200"/>
          <a:ext cx="5778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6350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560" name="Object -1010" hidden="1">
          <a:extLst>
            <a:ext uri="{FF2B5EF4-FFF2-40B4-BE49-F238E27FC236}">
              <a16:creationId xmlns:a16="http://schemas.microsoft.com/office/drawing/2014/main" id="{799FDD7B-1FA4-08A6-67F8-CD8D639C44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8100" y="16459200"/>
          <a:ext cx="5778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6350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561" name="Object -1009" hidden="1">
          <a:extLst>
            <a:ext uri="{FF2B5EF4-FFF2-40B4-BE49-F238E27FC236}">
              <a16:creationId xmlns:a16="http://schemas.microsoft.com/office/drawing/2014/main" id="{C470CC71-8AD0-FD08-6B81-89751A6E5E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8100" y="16459200"/>
          <a:ext cx="5778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6350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562" name="Object -1008" hidden="1">
          <a:extLst>
            <a:ext uri="{FF2B5EF4-FFF2-40B4-BE49-F238E27FC236}">
              <a16:creationId xmlns:a16="http://schemas.microsoft.com/office/drawing/2014/main" id="{DC1CABDB-A55B-7F7E-CA65-BB982AC1CA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8100" y="16459200"/>
          <a:ext cx="5778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6350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563" name="Object -1007" hidden="1">
          <a:extLst>
            <a:ext uri="{FF2B5EF4-FFF2-40B4-BE49-F238E27FC236}">
              <a16:creationId xmlns:a16="http://schemas.microsoft.com/office/drawing/2014/main" id="{EB740F60-5DF9-1123-9B5E-302798F91E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8100" y="16459200"/>
          <a:ext cx="5778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6350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564" name="Object -1006" hidden="1">
          <a:extLst>
            <a:ext uri="{FF2B5EF4-FFF2-40B4-BE49-F238E27FC236}">
              <a16:creationId xmlns:a16="http://schemas.microsoft.com/office/drawing/2014/main" id="{8D150439-96F6-FB3A-8511-A66818B331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8100" y="16459200"/>
          <a:ext cx="5778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6350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565" name="Object -1005" hidden="1">
          <a:extLst>
            <a:ext uri="{FF2B5EF4-FFF2-40B4-BE49-F238E27FC236}">
              <a16:creationId xmlns:a16="http://schemas.microsoft.com/office/drawing/2014/main" id="{216E404D-704E-D051-0EAC-0377419AE4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8100" y="16459200"/>
          <a:ext cx="5778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6350</xdr:colOff>
      <xdr:row>28</xdr:row>
      <xdr:rowOff>0</xdr:rowOff>
    </xdr:from>
    <xdr:to>
      <xdr:col>12</xdr:col>
      <xdr:colOff>412750</xdr:colOff>
      <xdr:row>28</xdr:row>
      <xdr:rowOff>0</xdr:rowOff>
    </xdr:to>
    <xdr:pic>
      <xdr:nvPicPr>
        <xdr:cNvPr id="4566" name="Object -1022" hidden="1">
          <a:extLst>
            <a:ext uri="{FF2B5EF4-FFF2-40B4-BE49-F238E27FC236}">
              <a16:creationId xmlns:a16="http://schemas.microsoft.com/office/drawing/2014/main" id="{4CC8D8A4-6D85-7703-E636-6ABCAB33B6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08900" y="5245100"/>
          <a:ext cx="406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6350</xdr:colOff>
      <xdr:row>28</xdr:row>
      <xdr:rowOff>0</xdr:rowOff>
    </xdr:from>
    <xdr:to>
      <xdr:col>12</xdr:col>
      <xdr:colOff>412750</xdr:colOff>
      <xdr:row>28</xdr:row>
      <xdr:rowOff>0</xdr:rowOff>
    </xdr:to>
    <xdr:pic>
      <xdr:nvPicPr>
        <xdr:cNvPr id="4567" name="Object -1021" hidden="1">
          <a:extLst>
            <a:ext uri="{FF2B5EF4-FFF2-40B4-BE49-F238E27FC236}">
              <a16:creationId xmlns:a16="http://schemas.microsoft.com/office/drawing/2014/main" id="{82C0FE28-79DF-ECEF-1958-B1E820821F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08900" y="5245100"/>
          <a:ext cx="406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6350</xdr:colOff>
      <xdr:row>28</xdr:row>
      <xdr:rowOff>0</xdr:rowOff>
    </xdr:from>
    <xdr:to>
      <xdr:col>12</xdr:col>
      <xdr:colOff>412750</xdr:colOff>
      <xdr:row>28</xdr:row>
      <xdr:rowOff>0</xdr:rowOff>
    </xdr:to>
    <xdr:pic>
      <xdr:nvPicPr>
        <xdr:cNvPr id="4568" name="Object -1020" hidden="1">
          <a:extLst>
            <a:ext uri="{FF2B5EF4-FFF2-40B4-BE49-F238E27FC236}">
              <a16:creationId xmlns:a16="http://schemas.microsoft.com/office/drawing/2014/main" id="{BAEECB38-8B68-F656-F526-AA6C183D85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08900" y="5245100"/>
          <a:ext cx="406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6350</xdr:colOff>
      <xdr:row>28</xdr:row>
      <xdr:rowOff>0</xdr:rowOff>
    </xdr:from>
    <xdr:to>
      <xdr:col>12</xdr:col>
      <xdr:colOff>412750</xdr:colOff>
      <xdr:row>28</xdr:row>
      <xdr:rowOff>0</xdr:rowOff>
    </xdr:to>
    <xdr:pic>
      <xdr:nvPicPr>
        <xdr:cNvPr id="4569" name="Object -1019" hidden="1">
          <a:extLst>
            <a:ext uri="{FF2B5EF4-FFF2-40B4-BE49-F238E27FC236}">
              <a16:creationId xmlns:a16="http://schemas.microsoft.com/office/drawing/2014/main" id="{FA7F2A23-155D-2CB4-CCE9-1CBB533619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08900" y="5245100"/>
          <a:ext cx="406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6350</xdr:colOff>
      <xdr:row>28</xdr:row>
      <xdr:rowOff>0</xdr:rowOff>
    </xdr:from>
    <xdr:to>
      <xdr:col>12</xdr:col>
      <xdr:colOff>412750</xdr:colOff>
      <xdr:row>28</xdr:row>
      <xdr:rowOff>0</xdr:rowOff>
    </xdr:to>
    <xdr:pic>
      <xdr:nvPicPr>
        <xdr:cNvPr id="4570" name="Object -1018" hidden="1">
          <a:extLst>
            <a:ext uri="{FF2B5EF4-FFF2-40B4-BE49-F238E27FC236}">
              <a16:creationId xmlns:a16="http://schemas.microsoft.com/office/drawing/2014/main" id="{1DE80DFA-E1C8-2447-AE86-845E32B0B4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08900" y="5245100"/>
          <a:ext cx="406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6350</xdr:colOff>
      <xdr:row>28</xdr:row>
      <xdr:rowOff>0</xdr:rowOff>
    </xdr:from>
    <xdr:to>
      <xdr:col>12</xdr:col>
      <xdr:colOff>412750</xdr:colOff>
      <xdr:row>28</xdr:row>
      <xdr:rowOff>0</xdr:rowOff>
    </xdr:to>
    <xdr:pic>
      <xdr:nvPicPr>
        <xdr:cNvPr id="4571" name="Object -1017" hidden="1">
          <a:extLst>
            <a:ext uri="{FF2B5EF4-FFF2-40B4-BE49-F238E27FC236}">
              <a16:creationId xmlns:a16="http://schemas.microsoft.com/office/drawing/2014/main" id="{E3D732A7-BA3F-E9E4-5155-FBB0A81A12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08900" y="5245100"/>
          <a:ext cx="406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6350</xdr:colOff>
      <xdr:row>28</xdr:row>
      <xdr:rowOff>0</xdr:rowOff>
    </xdr:from>
    <xdr:to>
      <xdr:col>12</xdr:col>
      <xdr:colOff>412750</xdr:colOff>
      <xdr:row>28</xdr:row>
      <xdr:rowOff>0</xdr:rowOff>
    </xdr:to>
    <xdr:pic>
      <xdr:nvPicPr>
        <xdr:cNvPr id="4572" name="Object -1016" hidden="1">
          <a:extLst>
            <a:ext uri="{FF2B5EF4-FFF2-40B4-BE49-F238E27FC236}">
              <a16:creationId xmlns:a16="http://schemas.microsoft.com/office/drawing/2014/main" id="{828273F9-04D1-4310-7B8D-FECD243313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08900" y="5245100"/>
          <a:ext cx="406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6350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573" name="Object -1013" hidden="1">
          <a:extLst>
            <a:ext uri="{FF2B5EF4-FFF2-40B4-BE49-F238E27FC236}">
              <a16:creationId xmlns:a16="http://schemas.microsoft.com/office/drawing/2014/main" id="{509A44E7-C8B5-34F3-8594-8967CAC9EC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8100" y="16459200"/>
          <a:ext cx="5778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6350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574" name="Object -1012" hidden="1">
          <a:extLst>
            <a:ext uri="{FF2B5EF4-FFF2-40B4-BE49-F238E27FC236}">
              <a16:creationId xmlns:a16="http://schemas.microsoft.com/office/drawing/2014/main" id="{0CBAD501-23F6-E990-BD0A-FC3CEBA074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8100" y="16459200"/>
          <a:ext cx="5778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6350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575" name="Object -1011" hidden="1">
          <a:extLst>
            <a:ext uri="{FF2B5EF4-FFF2-40B4-BE49-F238E27FC236}">
              <a16:creationId xmlns:a16="http://schemas.microsoft.com/office/drawing/2014/main" id="{F0DBCA1E-6DE8-2196-944D-74A5B33619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8100" y="16459200"/>
          <a:ext cx="5778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6350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576" name="Object -1010" hidden="1">
          <a:extLst>
            <a:ext uri="{FF2B5EF4-FFF2-40B4-BE49-F238E27FC236}">
              <a16:creationId xmlns:a16="http://schemas.microsoft.com/office/drawing/2014/main" id="{0256D83E-F415-F049-A440-E9AF939871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8100" y="16459200"/>
          <a:ext cx="5778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6350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577" name="Object -1009" hidden="1">
          <a:extLst>
            <a:ext uri="{FF2B5EF4-FFF2-40B4-BE49-F238E27FC236}">
              <a16:creationId xmlns:a16="http://schemas.microsoft.com/office/drawing/2014/main" id="{219BD05B-2B73-5EC2-D853-49AE4C03E9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8100" y="16459200"/>
          <a:ext cx="5778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6350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578" name="Object -1008" hidden="1">
          <a:extLst>
            <a:ext uri="{FF2B5EF4-FFF2-40B4-BE49-F238E27FC236}">
              <a16:creationId xmlns:a16="http://schemas.microsoft.com/office/drawing/2014/main" id="{6D884520-24CF-3D9E-AD38-5C18A9160A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8100" y="16459200"/>
          <a:ext cx="5778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6350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579" name="Object -1007" hidden="1">
          <a:extLst>
            <a:ext uri="{FF2B5EF4-FFF2-40B4-BE49-F238E27FC236}">
              <a16:creationId xmlns:a16="http://schemas.microsoft.com/office/drawing/2014/main" id="{790B91FA-8078-BCD8-AA8D-121A7083C1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8100" y="16459200"/>
          <a:ext cx="5778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6350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580" name="Object -1006" hidden="1">
          <a:extLst>
            <a:ext uri="{FF2B5EF4-FFF2-40B4-BE49-F238E27FC236}">
              <a16:creationId xmlns:a16="http://schemas.microsoft.com/office/drawing/2014/main" id="{4B699602-A080-B4D4-A8BE-BAF998CA19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8100" y="16459200"/>
          <a:ext cx="5778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6350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581" name="Object -1005" hidden="1">
          <a:extLst>
            <a:ext uri="{FF2B5EF4-FFF2-40B4-BE49-F238E27FC236}">
              <a16:creationId xmlns:a16="http://schemas.microsoft.com/office/drawing/2014/main" id="{2F9E5CAE-C0A3-6B99-77A5-F52B179ADA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8100" y="16459200"/>
          <a:ext cx="5778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6350</xdr:colOff>
      <xdr:row>28</xdr:row>
      <xdr:rowOff>0</xdr:rowOff>
    </xdr:from>
    <xdr:to>
      <xdr:col>12</xdr:col>
      <xdr:colOff>412750</xdr:colOff>
      <xdr:row>28</xdr:row>
      <xdr:rowOff>0</xdr:rowOff>
    </xdr:to>
    <xdr:pic>
      <xdr:nvPicPr>
        <xdr:cNvPr id="4582" name="Object -1022" hidden="1">
          <a:extLst>
            <a:ext uri="{FF2B5EF4-FFF2-40B4-BE49-F238E27FC236}">
              <a16:creationId xmlns:a16="http://schemas.microsoft.com/office/drawing/2014/main" id="{B1BC35FC-60B3-A9CC-CE5D-A86BFA5AFB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08900" y="5245100"/>
          <a:ext cx="406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6350</xdr:colOff>
      <xdr:row>28</xdr:row>
      <xdr:rowOff>0</xdr:rowOff>
    </xdr:from>
    <xdr:to>
      <xdr:col>12</xdr:col>
      <xdr:colOff>412750</xdr:colOff>
      <xdr:row>28</xdr:row>
      <xdr:rowOff>0</xdr:rowOff>
    </xdr:to>
    <xdr:pic>
      <xdr:nvPicPr>
        <xdr:cNvPr id="4583" name="Object -1021" hidden="1">
          <a:extLst>
            <a:ext uri="{FF2B5EF4-FFF2-40B4-BE49-F238E27FC236}">
              <a16:creationId xmlns:a16="http://schemas.microsoft.com/office/drawing/2014/main" id="{FACEAC71-BF50-C344-5996-08596C4EB4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08900" y="5245100"/>
          <a:ext cx="406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6350</xdr:colOff>
      <xdr:row>28</xdr:row>
      <xdr:rowOff>0</xdr:rowOff>
    </xdr:from>
    <xdr:to>
      <xdr:col>12</xdr:col>
      <xdr:colOff>412750</xdr:colOff>
      <xdr:row>28</xdr:row>
      <xdr:rowOff>0</xdr:rowOff>
    </xdr:to>
    <xdr:pic>
      <xdr:nvPicPr>
        <xdr:cNvPr id="4584" name="Object -1020" hidden="1">
          <a:extLst>
            <a:ext uri="{FF2B5EF4-FFF2-40B4-BE49-F238E27FC236}">
              <a16:creationId xmlns:a16="http://schemas.microsoft.com/office/drawing/2014/main" id="{038F5113-33F3-80A7-2A26-2AC0E0B4B4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08900" y="5245100"/>
          <a:ext cx="406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6350</xdr:colOff>
      <xdr:row>28</xdr:row>
      <xdr:rowOff>0</xdr:rowOff>
    </xdr:from>
    <xdr:to>
      <xdr:col>12</xdr:col>
      <xdr:colOff>412750</xdr:colOff>
      <xdr:row>28</xdr:row>
      <xdr:rowOff>0</xdr:rowOff>
    </xdr:to>
    <xdr:pic>
      <xdr:nvPicPr>
        <xdr:cNvPr id="4585" name="Object -1019" hidden="1">
          <a:extLst>
            <a:ext uri="{FF2B5EF4-FFF2-40B4-BE49-F238E27FC236}">
              <a16:creationId xmlns:a16="http://schemas.microsoft.com/office/drawing/2014/main" id="{55069390-53D5-D919-62E0-E553F88C64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08900" y="5245100"/>
          <a:ext cx="406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6350</xdr:colOff>
      <xdr:row>28</xdr:row>
      <xdr:rowOff>0</xdr:rowOff>
    </xdr:from>
    <xdr:to>
      <xdr:col>12</xdr:col>
      <xdr:colOff>412750</xdr:colOff>
      <xdr:row>28</xdr:row>
      <xdr:rowOff>0</xdr:rowOff>
    </xdr:to>
    <xdr:pic>
      <xdr:nvPicPr>
        <xdr:cNvPr id="4586" name="Object -1018" hidden="1">
          <a:extLst>
            <a:ext uri="{FF2B5EF4-FFF2-40B4-BE49-F238E27FC236}">
              <a16:creationId xmlns:a16="http://schemas.microsoft.com/office/drawing/2014/main" id="{C905EA00-1EEE-805B-AF6C-D63C8FE76E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08900" y="5245100"/>
          <a:ext cx="406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6350</xdr:colOff>
      <xdr:row>28</xdr:row>
      <xdr:rowOff>0</xdr:rowOff>
    </xdr:from>
    <xdr:to>
      <xdr:col>12</xdr:col>
      <xdr:colOff>412750</xdr:colOff>
      <xdr:row>28</xdr:row>
      <xdr:rowOff>0</xdr:rowOff>
    </xdr:to>
    <xdr:pic>
      <xdr:nvPicPr>
        <xdr:cNvPr id="4587" name="Object -1017" hidden="1">
          <a:extLst>
            <a:ext uri="{FF2B5EF4-FFF2-40B4-BE49-F238E27FC236}">
              <a16:creationId xmlns:a16="http://schemas.microsoft.com/office/drawing/2014/main" id="{73187536-5351-0FFE-B13C-645E2D9041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08900" y="5245100"/>
          <a:ext cx="406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6350</xdr:colOff>
      <xdr:row>28</xdr:row>
      <xdr:rowOff>0</xdr:rowOff>
    </xdr:from>
    <xdr:to>
      <xdr:col>12</xdr:col>
      <xdr:colOff>412750</xdr:colOff>
      <xdr:row>28</xdr:row>
      <xdr:rowOff>0</xdr:rowOff>
    </xdr:to>
    <xdr:pic>
      <xdr:nvPicPr>
        <xdr:cNvPr id="4588" name="Object -1016" hidden="1">
          <a:extLst>
            <a:ext uri="{FF2B5EF4-FFF2-40B4-BE49-F238E27FC236}">
              <a16:creationId xmlns:a16="http://schemas.microsoft.com/office/drawing/2014/main" id="{77B140A2-F3CB-F934-9F95-4125B3C5D1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08900" y="5245100"/>
          <a:ext cx="406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6350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589" name="Object -1013" hidden="1">
          <a:extLst>
            <a:ext uri="{FF2B5EF4-FFF2-40B4-BE49-F238E27FC236}">
              <a16:creationId xmlns:a16="http://schemas.microsoft.com/office/drawing/2014/main" id="{A0ED6BF6-3986-9D62-BA07-D6FF5DA425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8100" y="16459200"/>
          <a:ext cx="5778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6350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590" name="Object -1012" hidden="1">
          <a:extLst>
            <a:ext uri="{FF2B5EF4-FFF2-40B4-BE49-F238E27FC236}">
              <a16:creationId xmlns:a16="http://schemas.microsoft.com/office/drawing/2014/main" id="{3D6AD9CF-AF07-1D8F-B7C7-B2A0D06408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8100" y="16459200"/>
          <a:ext cx="5778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6350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591" name="Object -1011" hidden="1">
          <a:extLst>
            <a:ext uri="{FF2B5EF4-FFF2-40B4-BE49-F238E27FC236}">
              <a16:creationId xmlns:a16="http://schemas.microsoft.com/office/drawing/2014/main" id="{AE792F07-E420-52E4-4687-00E3A81629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8100" y="16459200"/>
          <a:ext cx="5778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6350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592" name="Object -1010" hidden="1">
          <a:extLst>
            <a:ext uri="{FF2B5EF4-FFF2-40B4-BE49-F238E27FC236}">
              <a16:creationId xmlns:a16="http://schemas.microsoft.com/office/drawing/2014/main" id="{B0DB2E77-CDC7-6370-6DE6-009442BD54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8100" y="16459200"/>
          <a:ext cx="5778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6350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593" name="Object -1009" hidden="1">
          <a:extLst>
            <a:ext uri="{FF2B5EF4-FFF2-40B4-BE49-F238E27FC236}">
              <a16:creationId xmlns:a16="http://schemas.microsoft.com/office/drawing/2014/main" id="{9BA00F17-52D8-053B-EC4C-536CBD6527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8100" y="16459200"/>
          <a:ext cx="5778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6350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594" name="Object -1008" hidden="1">
          <a:extLst>
            <a:ext uri="{FF2B5EF4-FFF2-40B4-BE49-F238E27FC236}">
              <a16:creationId xmlns:a16="http://schemas.microsoft.com/office/drawing/2014/main" id="{B60B4E42-3BC8-1A6F-A563-42EDBC5280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8100" y="16459200"/>
          <a:ext cx="5778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6350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595" name="Object -1007" hidden="1">
          <a:extLst>
            <a:ext uri="{FF2B5EF4-FFF2-40B4-BE49-F238E27FC236}">
              <a16:creationId xmlns:a16="http://schemas.microsoft.com/office/drawing/2014/main" id="{B6FCFE87-6A18-CFF9-0B16-EDFC5AB251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8100" y="16459200"/>
          <a:ext cx="5778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6350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596" name="Object -1006" hidden="1">
          <a:extLst>
            <a:ext uri="{FF2B5EF4-FFF2-40B4-BE49-F238E27FC236}">
              <a16:creationId xmlns:a16="http://schemas.microsoft.com/office/drawing/2014/main" id="{B9EA374D-7186-DF2E-F436-1FE55F9248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8100" y="16459200"/>
          <a:ext cx="5778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6350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597" name="Object -1005" hidden="1">
          <a:extLst>
            <a:ext uri="{FF2B5EF4-FFF2-40B4-BE49-F238E27FC236}">
              <a16:creationId xmlns:a16="http://schemas.microsoft.com/office/drawing/2014/main" id="{A15ED3DA-23AC-0684-39DD-241D13597D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8100" y="16459200"/>
          <a:ext cx="5778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6350</xdr:colOff>
      <xdr:row>28</xdr:row>
      <xdr:rowOff>0</xdr:rowOff>
    </xdr:from>
    <xdr:to>
      <xdr:col>12</xdr:col>
      <xdr:colOff>412750</xdr:colOff>
      <xdr:row>28</xdr:row>
      <xdr:rowOff>0</xdr:rowOff>
    </xdr:to>
    <xdr:pic>
      <xdr:nvPicPr>
        <xdr:cNvPr id="4598" name="Object -1022" hidden="1">
          <a:extLst>
            <a:ext uri="{FF2B5EF4-FFF2-40B4-BE49-F238E27FC236}">
              <a16:creationId xmlns:a16="http://schemas.microsoft.com/office/drawing/2014/main" id="{4230F5B8-576B-43A9-180D-11499EF224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08900" y="5245100"/>
          <a:ext cx="406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6350</xdr:colOff>
      <xdr:row>28</xdr:row>
      <xdr:rowOff>0</xdr:rowOff>
    </xdr:from>
    <xdr:to>
      <xdr:col>12</xdr:col>
      <xdr:colOff>412750</xdr:colOff>
      <xdr:row>28</xdr:row>
      <xdr:rowOff>0</xdr:rowOff>
    </xdr:to>
    <xdr:pic>
      <xdr:nvPicPr>
        <xdr:cNvPr id="4599" name="Object -1021" hidden="1">
          <a:extLst>
            <a:ext uri="{FF2B5EF4-FFF2-40B4-BE49-F238E27FC236}">
              <a16:creationId xmlns:a16="http://schemas.microsoft.com/office/drawing/2014/main" id="{18D1FB4E-610D-F0D8-DAF4-698BEAE81E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08900" y="5245100"/>
          <a:ext cx="406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6350</xdr:colOff>
      <xdr:row>28</xdr:row>
      <xdr:rowOff>0</xdr:rowOff>
    </xdr:from>
    <xdr:to>
      <xdr:col>12</xdr:col>
      <xdr:colOff>412750</xdr:colOff>
      <xdr:row>28</xdr:row>
      <xdr:rowOff>0</xdr:rowOff>
    </xdr:to>
    <xdr:pic>
      <xdr:nvPicPr>
        <xdr:cNvPr id="4600" name="Object -1020" hidden="1">
          <a:extLst>
            <a:ext uri="{FF2B5EF4-FFF2-40B4-BE49-F238E27FC236}">
              <a16:creationId xmlns:a16="http://schemas.microsoft.com/office/drawing/2014/main" id="{33C9D692-DC95-0D26-ABE3-4FBD1D0535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08900" y="5245100"/>
          <a:ext cx="406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6350</xdr:colOff>
      <xdr:row>28</xdr:row>
      <xdr:rowOff>0</xdr:rowOff>
    </xdr:from>
    <xdr:to>
      <xdr:col>12</xdr:col>
      <xdr:colOff>412750</xdr:colOff>
      <xdr:row>28</xdr:row>
      <xdr:rowOff>0</xdr:rowOff>
    </xdr:to>
    <xdr:pic>
      <xdr:nvPicPr>
        <xdr:cNvPr id="4601" name="Object -1019" hidden="1">
          <a:extLst>
            <a:ext uri="{FF2B5EF4-FFF2-40B4-BE49-F238E27FC236}">
              <a16:creationId xmlns:a16="http://schemas.microsoft.com/office/drawing/2014/main" id="{ED3E98BA-B866-D4CC-F9E6-4D665A66FE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08900" y="5245100"/>
          <a:ext cx="406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6350</xdr:colOff>
      <xdr:row>28</xdr:row>
      <xdr:rowOff>0</xdr:rowOff>
    </xdr:from>
    <xdr:to>
      <xdr:col>12</xdr:col>
      <xdr:colOff>412750</xdr:colOff>
      <xdr:row>28</xdr:row>
      <xdr:rowOff>0</xdr:rowOff>
    </xdr:to>
    <xdr:pic>
      <xdr:nvPicPr>
        <xdr:cNvPr id="4602" name="Object -1018" hidden="1">
          <a:extLst>
            <a:ext uri="{FF2B5EF4-FFF2-40B4-BE49-F238E27FC236}">
              <a16:creationId xmlns:a16="http://schemas.microsoft.com/office/drawing/2014/main" id="{C6673334-E796-CC4A-0C5F-89A28E22B3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08900" y="5245100"/>
          <a:ext cx="406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6350</xdr:colOff>
      <xdr:row>28</xdr:row>
      <xdr:rowOff>0</xdr:rowOff>
    </xdr:from>
    <xdr:to>
      <xdr:col>12</xdr:col>
      <xdr:colOff>412750</xdr:colOff>
      <xdr:row>28</xdr:row>
      <xdr:rowOff>0</xdr:rowOff>
    </xdr:to>
    <xdr:pic>
      <xdr:nvPicPr>
        <xdr:cNvPr id="4603" name="Object -1017" hidden="1">
          <a:extLst>
            <a:ext uri="{FF2B5EF4-FFF2-40B4-BE49-F238E27FC236}">
              <a16:creationId xmlns:a16="http://schemas.microsoft.com/office/drawing/2014/main" id="{6B92F46A-6E8E-573E-B7DE-E455287439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08900" y="5245100"/>
          <a:ext cx="406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6350</xdr:colOff>
      <xdr:row>28</xdr:row>
      <xdr:rowOff>0</xdr:rowOff>
    </xdr:from>
    <xdr:to>
      <xdr:col>12</xdr:col>
      <xdr:colOff>412750</xdr:colOff>
      <xdr:row>28</xdr:row>
      <xdr:rowOff>0</xdr:rowOff>
    </xdr:to>
    <xdr:pic>
      <xdr:nvPicPr>
        <xdr:cNvPr id="4604" name="Object -1016" hidden="1">
          <a:extLst>
            <a:ext uri="{FF2B5EF4-FFF2-40B4-BE49-F238E27FC236}">
              <a16:creationId xmlns:a16="http://schemas.microsoft.com/office/drawing/2014/main" id="{D1DB25C4-B962-3D7D-93E2-159324D251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08900" y="5245100"/>
          <a:ext cx="406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6350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605" name="Object -1013" hidden="1">
          <a:extLst>
            <a:ext uri="{FF2B5EF4-FFF2-40B4-BE49-F238E27FC236}">
              <a16:creationId xmlns:a16="http://schemas.microsoft.com/office/drawing/2014/main" id="{79C63EAD-88F4-E8BC-C1A8-CDC62F916D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8100" y="16459200"/>
          <a:ext cx="5778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6350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606" name="Object -1012" hidden="1">
          <a:extLst>
            <a:ext uri="{FF2B5EF4-FFF2-40B4-BE49-F238E27FC236}">
              <a16:creationId xmlns:a16="http://schemas.microsoft.com/office/drawing/2014/main" id="{C217C9A2-CFAE-AA75-A02F-ED943C7DBB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8100" y="16459200"/>
          <a:ext cx="5778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6350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607" name="Object -1011" hidden="1">
          <a:extLst>
            <a:ext uri="{FF2B5EF4-FFF2-40B4-BE49-F238E27FC236}">
              <a16:creationId xmlns:a16="http://schemas.microsoft.com/office/drawing/2014/main" id="{CBA2B65C-8E96-C485-A931-638F5CA991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8100" y="16459200"/>
          <a:ext cx="5778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6350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608" name="Object -1010" hidden="1">
          <a:extLst>
            <a:ext uri="{FF2B5EF4-FFF2-40B4-BE49-F238E27FC236}">
              <a16:creationId xmlns:a16="http://schemas.microsoft.com/office/drawing/2014/main" id="{8B4742D0-67D0-6272-2FC8-CA5EB172E5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8100" y="16459200"/>
          <a:ext cx="5778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6350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609" name="Object -1009" hidden="1">
          <a:extLst>
            <a:ext uri="{FF2B5EF4-FFF2-40B4-BE49-F238E27FC236}">
              <a16:creationId xmlns:a16="http://schemas.microsoft.com/office/drawing/2014/main" id="{88B68B13-C661-795C-8B3F-370DCD983C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8100" y="16459200"/>
          <a:ext cx="5778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6350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610" name="Object -1008" hidden="1">
          <a:extLst>
            <a:ext uri="{FF2B5EF4-FFF2-40B4-BE49-F238E27FC236}">
              <a16:creationId xmlns:a16="http://schemas.microsoft.com/office/drawing/2014/main" id="{0775E5DA-FE66-4777-5E04-370BE33EF4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8100" y="16459200"/>
          <a:ext cx="5778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6350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611" name="Object -1007" hidden="1">
          <a:extLst>
            <a:ext uri="{FF2B5EF4-FFF2-40B4-BE49-F238E27FC236}">
              <a16:creationId xmlns:a16="http://schemas.microsoft.com/office/drawing/2014/main" id="{F9EAB17A-44A9-CB7F-8777-7040CB3C57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8100" y="16459200"/>
          <a:ext cx="5778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6350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612" name="Object -1006" hidden="1">
          <a:extLst>
            <a:ext uri="{FF2B5EF4-FFF2-40B4-BE49-F238E27FC236}">
              <a16:creationId xmlns:a16="http://schemas.microsoft.com/office/drawing/2014/main" id="{70EC8DE4-37C7-CDCB-9DB1-ADB6E35DD7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8100" y="16459200"/>
          <a:ext cx="5778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6350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613" name="Object -1005" hidden="1">
          <a:extLst>
            <a:ext uri="{FF2B5EF4-FFF2-40B4-BE49-F238E27FC236}">
              <a16:creationId xmlns:a16="http://schemas.microsoft.com/office/drawing/2014/main" id="{15020355-3F7B-2346-AC9C-2FA732C497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8100" y="16459200"/>
          <a:ext cx="5778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6350</xdr:colOff>
      <xdr:row>28</xdr:row>
      <xdr:rowOff>0</xdr:rowOff>
    </xdr:from>
    <xdr:to>
      <xdr:col>12</xdr:col>
      <xdr:colOff>412750</xdr:colOff>
      <xdr:row>28</xdr:row>
      <xdr:rowOff>0</xdr:rowOff>
    </xdr:to>
    <xdr:pic>
      <xdr:nvPicPr>
        <xdr:cNvPr id="4614" name="Object -1022" hidden="1">
          <a:extLst>
            <a:ext uri="{FF2B5EF4-FFF2-40B4-BE49-F238E27FC236}">
              <a16:creationId xmlns:a16="http://schemas.microsoft.com/office/drawing/2014/main" id="{217E5383-4689-10BF-F34E-A85EA8570D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08900" y="5245100"/>
          <a:ext cx="406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6350</xdr:colOff>
      <xdr:row>28</xdr:row>
      <xdr:rowOff>0</xdr:rowOff>
    </xdr:from>
    <xdr:to>
      <xdr:col>12</xdr:col>
      <xdr:colOff>412750</xdr:colOff>
      <xdr:row>28</xdr:row>
      <xdr:rowOff>0</xdr:rowOff>
    </xdr:to>
    <xdr:pic>
      <xdr:nvPicPr>
        <xdr:cNvPr id="4615" name="Object -1021" hidden="1">
          <a:extLst>
            <a:ext uri="{FF2B5EF4-FFF2-40B4-BE49-F238E27FC236}">
              <a16:creationId xmlns:a16="http://schemas.microsoft.com/office/drawing/2014/main" id="{1778ED75-48F9-7EDA-913C-67446F0D71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08900" y="5245100"/>
          <a:ext cx="406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6350</xdr:colOff>
      <xdr:row>28</xdr:row>
      <xdr:rowOff>0</xdr:rowOff>
    </xdr:from>
    <xdr:to>
      <xdr:col>12</xdr:col>
      <xdr:colOff>412750</xdr:colOff>
      <xdr:row>28</xdr:row>
      <xdr:rowOff>0</xdr:rowOff>
    </xdr:to>
    <xdr:pic>
      <xdr:nvPicPr>
        <xdr:cNvPr id="4616" name="Object -1020" hidden="1">
          <a:extLst>
            <a:ext uri="{FF2B5EF4-FFF2-40B4-BE49-F238E27FC236}">
              <a16:creationId xmlns:a16="http://schemas.microsoft.com/office/drawing/2014/main" id="{0243FBA4-845A-4335-DF91-FADEDB6903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08900" y="5245100"/>
          <a:ext cx="406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6350</xdr:colOff>
      <xdr:row>28</xdr:row>
      <xdr:rowOff>0</xdr:rowOff>
    </xdr:from>
    <xdr:to>
      <xdr:col>12</xdr:col>
      <xdr:colOff>412750</xdr:colOff>
      <xdr:row>28</xdr:row>
      <xdr:rowOff>0</xdr:rowOff>
    </xdr:to>
    <xdr:pic>
      <xdr:nvPicPr>
        <xdr:cNvPr id="4617" name="Object -1019" hidden="1">
          <a:extLst>
            <a:ext uri="{FF2B5EF4-FFF2-40B4-BE49-F238E27FC236}">
              <a16:creationId xmlns:a16="http://schemas.microsoft.com/office/drawing/2014/main" id="{88330664-A81E-F7C1-0D0C-425BF46915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08900" y="5245100"/>
          <a:ext cx="406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6350</xdr:colOff>
      <xdr:row>28</xdr:row>
      <xdr:rowOff>0</xdr:rowOff>
    </xdr:from>
    <xdr:to>
      <xdr:col>12</xdr:col>
      <xdr:colOff>412750</xdr:colOff>
      <xdr:row>28</xdr:row>
      <xdr:rowOff>0</xdr:rowOff>
    </xdr:to>
    <xdr:pic>
      <xdr:nvPicPr>
        <xdr:cNvPr id="4618" name="Object -1018" hidden="1">
          <a:extLst>
            <a:ext uri="{FF2B5EF4-FFF2-40B4-BE49-F238E27FC236}">
              <a16:creationId xmlns:a16="http://schemas.microsoft.com/office/drawing/2014/main" id="{EC7212AD-A688-632E-0B5C-4D20E90644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08900" y="5245100"/>
          <a:ext cx="406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6350</xdr:colOff>
      <xdr:row>28</xdr:row>
      <xdr:rowOff>0</xdr:rowOff>
    </xdr:from>
    <xdr:to>
      <xdr:col>12</xdr:col>
      <xdr:colOff>412750</xdr:colOff>
      <xdr:row>28</xdr:row>
      <xdr:rowOff>0</xdr:rowOff>
    </xdr:to>
    <xdr:pic>
      <xdr:nvPicPr>
        <xdr:cNvPr id="4619" name="Object -1017" hidden="1">
          <a:extLst>
            <a:ext uri="{FF2B5EF4-FFF2-40B4-BE49-F238E27FC236}">
              <a16:creationId xmlns:a16="http://schemas.microsoft.com/office/drawing/2014/main" id="{5B064EFA-C8F0-793D-CA0E-E0D4E05F28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08900" y="5245100"/>
          <a:ext cx="406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6350</xdr:colOff>
      <xdr:row>28</xdr:row>
      <xdr:rowOff>0</xdr:rowOff>
    </xdr:from>
    <xdr:to>
      <xdr:col>12</xdr:col>
      <xdr:colOff>412750</xdr:colOff>
      <xdr:row>28</xdr:row>
      <xdr:rowOff>0</xdr:rowOff>
    </xdr:to>
    <xdr:pic>
      <xdr:nvPicPr>
        <xdr:cNvPr id="4620" name="Object -1016" hidden="1">
          <a:extLst>
            <a:ext uri="{FF2B5EF4-FFF2-40B4-BE49-F238E27FC236}">
              <a16:creationId xmlns:a16="http://schemas.microsoft.com/office/drawing/2014/main" id="{55DC1B0C-335D-CEA0-819B-94A0AE1804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08900" y="5245100"/>
          <a:ext cx="406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6350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621" name="Object -1013" hidden="1">
          <a:extLst>
            <a:ext uri="{FF2B5EF4-FFF2-40B4-BE49-F238E27FC236}">
              <a16:creationId xmlns:a16="http://schemas.microsoft.com/office/drawing/2014/main" id="{D78E7115-FA31-06E2-EC38-4571440A20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8100" y="16459200"/>
          <a:ext cx="5778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6350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622" name="Object -1012" hidden="1">
          <a:extLst>
            <a:ext uri="{FF2B5EF4-FFF2-40B4-BE49-F238E27FC236}">
              <a16:creationId xmlns:a16="http://schemas.microsoft.com/office/drawing/2014/main" id="{A027AC7C-0956-C427-05EE-CE2D587061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8100" y="16459200"/>
          <a:ext cx="5778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6350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623" name="Object -1011" hidden="1">
          <a:extLst>
            <a:ext uri="{FF2B5EF4-FFF2-40B4-BE49-F238E27FC236}">
              <a16:creationId xmlns:a16="http://schemas.microsoft.com/office/drawing/2014/main" id="{96A67112-8B51-CE90-9645-7EFF8962EB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8100" y="16459200"/>
          <a:ext cx="5778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6350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624" name="Object -1010" hidden="1">
          <a:extLst>
            <a:ext uri="{FF2B5EF4-FFF2-40B4-BE49-F238E27FC236}">
              <a16:creationId xmlns:a16="http://schemas.microsoft.com/office/drawing/2014/main" id="{CF75732C-C646-8AB1-4943-C3572703E8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8100" y="16459200"/>
          <a:ext cx="5778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6350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625" name="Object -1009" hidden="1">
          <a:extLst>
            <a:ext uri="{FF2B5EF4-FFF2-40B4-BE49-F238E27FC236}">
              <a16:creationId xmlns:a16="http://schemas.microsoft.com/office/drawing/2014/main" id="{694C3D2D-139B-8CBB-371B-1A1774B54B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8100" y="16459200"/>
          <a:ext cx="5778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6350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626" name="Object -1008" hidden="1">
          <a:extLst>
            <a:ext uri="{FF2B5EF4-FFF2-40B4-BE49-F238E27FC236}">
              <a16:creationId xmlns:a16="http://schemas.microsoft.com/office/drawing/2014/main" id="{6E725C96-E8A8-BF7B-D309-E2D87AF3B0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8100" y="16459200"/>
          <a:ext cx="5778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6350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627" name="Object -1007" hidden="1">
          <a:extLst>
            <a:ext uri="{FF2B5EF4-FFF2-40B4-BE49-F238E27FC236}">
              <a16:creationId xmlns:a16="http://schemas.microsoft.com/office/drawing/2014/main" id="{30D36EE7-B50C-89DF-CFF7-02420A2B0F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8100" y="16459200"/>
          <a:ext cx="5778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6350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628" name="Object -1006" hidden="1">
          <a:extLst>
            <a:ext uri="{FF2B5EF4-FFF2-40B4-BE49-F238E27FC236}">
              <a16:creationId xmlns:a16="http://schemas.microsoft.com/office/drawing/2014/main" id="{36653E0D-D0E5-0803-F4CE-D6CF0BC441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8100" y="16459200"/>
          <a:ext cx="5778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6350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629" name="Object -1005" hidden="1">
          <a:extLst>
            <a:ext uri="{FF2B5EF4-FFF2-40B4-BE49-F238E27FC236}">
              <a16:creationId xmlns:a16="http://schemas.microsoft.com/office/drawing/2014/main" id="{A9C9AC50-A7F1-F2E1-09B9-EE98E483A4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8100" y="16459200"/>
          <a:ext cx="5778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6350</xdr:colOff>
      <xdr:row>28</xdr:row>
      <xdr:rowOff>0</xdr:rowOff>
    </xdr:from>
    <xdr:to>
      <xdr:col>12</xdr:col>
      <xdr:colOff>412750</xdr:colOff>
      <xdr:row>28</xdr:row>
      <xdr:rowOff>0</xdr:rowOff>
    </xdr:to>
    <xdr:pic>
      <xdr:nvPicPr>
        <xdr:cNvPr id="4630" name="Object -1022" hidden="1">
          <a:extLst>
            <a:ext uri="{FF2B5EF4-FFF2-40B4-BE49-F238E27FC236}">
              <a16:creationId xmlns:a16="http://schemas.microsoft.com/office/drawing/2014/main" id="{6897AB2F-99F8-B279-1EEF-23494736AE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08900" y="5245100"/>
          <a:ext cx="406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6350</xdr:colOff>
      <xdr:row>28</xdr:row>
      <xdr:rowOff>0</xdr:rowOff>
    </xdr:from>
    <xdr:to>
      <xdr:col>12</xdr:col>
      <xdr:colOff>412750</xdr:colOff>
      <xdr:row>28</xdr:row>
      <xdr:rowOff>0</xdr:rowOff>
    </xdr:to>
    <xdr:pic>
      <xdr:nvPicPr>
        <xdr:cNvPr id="4631" name="Object -1021" hidden="1">
          <a:extLst>
            <a:ext uri="{FF2B5EF4-FFF2-40B4-BE49-F238E27FC236}">
              <a16:creationId xmlns:a16="http://schemas.microsoft.com/office/drawing/2014/main" id="{B392FF8F-3819-B741-FE93-C692BE3884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08900" y="5245100"/>
          <a:ext cx="406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6350</xdr:colOff>
      <xdr:row>28</xdr:row>
      <xdr:rowOff>0</xdr:rowOff>
    </xdr:from>
    <xdr:to>
      <xdr:col>12</xdr:col>
      <xdr:colOff>412750</xdr:colOff>
      <xdr:row>28</xdr:row>
      <xdr:rowOff>0</xdr:rowOff>
    </xdr:to>
    <xdr:pic>
      <xdr:nvPicPr>
        <xdr:cNvPr id="4632" name="Object -1020" hidden="1">
          <a:extLst>
            <a:ext uri="{FF2B5EF4-FFF2-40B4-BE49-F238E27FC236}">
              <a16:creationId xmlns:a16="http://schemas.microsoft.com/office/drawing/2014/main" id="{35F90DAA-8216-E500-8D4E-18B13A963A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08900" y="5245100"/>
          <a:ext cx="406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6350</xdr:colOff>
      <xdr:row>28</xdr:row>
      <xdr:rowOff>0</xdr:rowOff>
    </xdr:from>
    <xdr:to>
      <xdr:col>12</xdr:col>
      <xdr:colOff>412750</xdr:colOff>
      <xdr:row>28</xdr:row>
      <xdr:rowOff>0</xdr:rowOff>
    </xdr:to>
    <xdr:pic>
      <xdr:nvPicPr>
        <xdr:cNvPr id="4633" name="Object -1019" hidden="1">
          <a:extLst>
            <a:ext uri="{FF2B5EF4-FFF2-40B4-BE49-F238E27FC236}">
              <a16:creationId xmlns:a16="http://schemas.microsoft.com/office/drawing/2014/main" id="{F07A4F2A-F829-62EA-CB70-F284AE5E0A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08900" y="5245100"/>
          <a:ext cx="406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6350</xdr:colOff>
      <xdr:row>28</xdr:row>
      <xdr:rowOff>0</xdr:rowOff>
    </xdr:from>
    <xdr:to>
      <xdr:col>12</xdr:col>
      <xdr:colOff>412750</xdr:colOff>
      <xdr:row>28</xdr:row>
      <xdr:rowOff>0</xdr:rowOff>
    </xdr:to>
    <xdr:pic>
      <xdr:nvPicPr>
        <xdr:cNvPr id="4634" name="Object -1018" hidden="1">
          <a:extLst>
            <a:ext uri="{FF2B5EF4-FFF2-40B4-BE49-F238E27FC236}">
              <a16:creationId xmlns:a16="http://schemas.microsoft.com/office/drawing/2014/main" id="{22826108-C575-6484-4E0D-094AF4BF85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08900" y="5245100"/>
          <a:ext cx="406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6350</xdr:colOff>
      <xdr:row>28</xdr:row>
      <xdr:rowOff>0</xdr:rowOff>
    </xdr:from>
    <xdr:to>
      <xdr:col>12</xdr:col>
      <xdr:colOff>412750</xdr:colOff>
      <xdr:row>28</xdr:row>
      <xdr:rowOff>0</xdr:rowOff>
    </xdr:to>
    <xdr:pic>
      <xdr:nvPicPr>
        <xdr:cNvPr id="4635" name="Object -1017" hidden="1">
          <a:extLst>
            <a:ext uri="{FF2B5EF4-FFF2-40B4-BE49-F238E27FC236}">
              <a16:creationId xmlns:a16="http://schemas.microsoft.com/office/drawing/2014/main" id="{E74E3204-9743-2400-F2F3-43846794A7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08900" y="5245100"/>
          <a:ext cx="406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6350</xdr:colOff>
      <xdr:row>28</xdr:row>
      <xdr:rowOff>0</xdr:rowOff>
    </xdr:from>
    <xdr:to>
      <xdr:col>12</xdr:col>
      <xdr:colOff>412750</xdr:colOff>
      <xdr:row>28</xdr:row>
      <xdr:rowOff>0</xdr:rowOff>
    </xdr:to>
    <xdr:pic>
      <xdr:nvPicPr>
        <xdr:cNvPr id="4636" name="Object -1016" hidden="1">
          <a:extLst>
            <a:ext uri="{FF2B5EF4-FFF2-40B4-BE49-F238E27FC236}">
              <a16:creationId xmlns:a16="http://schemas.microsoft.com/office/drawing/2014/main" id="{129FD55F-14CD-89CE-FF71-E85858B1CB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08900" y="5245100"/>
          <a:ext cx="406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6350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637" name="Object -1013" hidden="1">
          <a:extLst>
            <a:ext uri="{FF2B5EF4-FFF2-40B4-BE49-F238E27FC236}">
              <a16:creationId xmlns:a16="http://schemas.microsoft.com/office/drawing/2014/main" id="{2B4BB391-3524-B932-7B05-760E86471B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8100" y="16459200"/>
          <a:ext cx="5778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6350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638" name="Object -1012" hidden="1">
          <a:extLst>
            <a:ext uri="{FF2B5EF4-FFF2-40B4-BE49-F238E27FC236}">
              <a16:creationId xmlns:a16="http://schemas.microsoft.com/office/drawing/2014/main" id="{BD886555-5154-97A7-6D44-5E2B3C1FE9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8100" y="16459200"/>
          <a:ext cx="5778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6350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639" name="Object -1011" hidden="1">
          <a:extLst>
            <a:ext uri="{FF2B5EF4-FFF2-40B4-BE49-F238E27FC236}">
              <a16:creationId xmlns:a16="http://schemas.microsoft.com/office/drawing/2014/main" id="{C1D2C9E9-990F-A50D-AE66-44DA161108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8100" y="16459200"/>
          <a:ext cx="5778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6350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640" name="Object -1010" hidden="1">
          <a:extLst>
            <a:ext uri="{FF2B5EF4-FFF2-40B4-BE49-F238E27FC236}">
              <a16:creationId xmlns:a16="http://schemas.microsoft.com/office/drawing/2014/main" id="{2B1D75AF-C689-8D19-B3B8-9DD1DE439D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8100" y="16459200"/>
          <a:ext cx="5778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6350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641" name="Object -1009" hidden="1">
          <a:extLst>
            <a:ext uri="{FF2B5EF4-FFF2-40B4-BE49-F238E27FC236}">
              <a16:creationId xmlns:a16="http://schemas.microsoft.com/office/drawing/2014/main" id="{049CA119-E344-E96C-8865-554FECE29A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8100" y="16459200"/>
          <a:ext cx="5778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6350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642" name="Object -1008" hidden="1">
          <a:extLst>
            <a:ext uri="{FF2B5EF4-FFF2-40B4-BE49-F238E27FC236}">
              <a16:creationId xmlns:a16="http://schemas.microsoft.com/office/drawing/2014/main" id="{5173BB9B-BF1A-5F99-1752-2474017431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8100" y="16459200"/>
          <a:ext cx="5778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6350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643" name="Object -1007" hidden="1">
          <a:extLst>
            <a:ext uri="{FF2B5EF4-FFF2-40B4-BE49-F238E27FC236}">
              <a16:creationId xmlns:a16="http://schemas.microsoft.com/office/drawing/2014/main" id="{9B27FB9D-14BD-2728-300F-5AAF73BCDB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8100" y="16459200"/>
          <a:ext cx="5778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6350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644" name="Object -1006" hidden="1">
          <a:extLst>
            <a:ext uri="{FF2B5EF4-FFF2-40B4-BE49-F238E27FC236}">
              <a16:creationId xmlns:a16="http://schemas.microsoft.com/office/drawing/2014/main" id="{E755486A-BA9D-685F-85E5-F6E2DC40EA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8100" y="16459200"/>
          <a:ext cx="5778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6350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645" name="Object -1005" hidden="1">
          <a:extLst>
            <a:ext uri="{FF2B5EF4-FFF2-40B4-BE49-F238E27FC236}">
              <a16:creationId xmlns:a16="http://schemas.microsoft.com/office/drawing/2014/main" id="{5AC81698-D67F-2DFE-C0EF-629814E34C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8100" y="16459200"/>
          <a:ext cx="5778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6350</xdr:colOff>
      <xdr:row>28</xdr:row>
      <xdr:rowOff>0</xdr:rowOff>
    </xdr:from>
    <xdr:to>
      <xdr:col>12</xdr:col>
      <xdr:colOff>412750</xdr:colOff>
      <xdr:row>28</xdr:row>
      <xdr:rowOff>0</xdr:rowOff>
    </xdr:to>
    <xdr:pic>
      <xdr:nvPicPr>
        <xdr:cNvPr id="4646" name="Object -1022" hidden="1">
          <a:extLst>
            <a:ext uri="{FF2B5EF4-FFF2-40B4-BE49-F238E27FC236}">
              <a16:creationId xmlns:a16="http://schemas.microsoft.com/office/drawing/2014/main" id="{413EBBAD-D93A-3FAE-000E-7EFC219775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08900" y="5245100"/>
          <a:ext cx="406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6350</xdr:colOff>
      <xdr:row>28</xdr:row>
      <xdr:rowOff>0</xdr:rowOff>
    </xdr:from>
    <xdr:to>
      <xdr:col>12</xdr:col>
      <xdr:colOff>412750</xdr:colOff>
      <xdr:row>28</xdr:row>
      <xdr:rowOff>0</xdr:rowOff>
    </xdr:to>
    <xdr:pic>
      <xdr:nvPicPr>
        <xdr:cNvPr id="4647" name="Object -1021" hidden="1">
          <a:extLst>
            <a:ext uri="{FF2B5EF4-FFF2-40B4-BE49-F238E27FC236}">
              <a16:creationId xmlns:a16="http://schemas.microsoft.com/office/drawing/2014/main" id="{BBBF07ED-47CB-669A-4955-D0C227F2B5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08900" y="5245100"/>
          <a:ext cx="406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6350</xdr:colOff>
      <xdr:row>28</xdr:row>
      <xdr:rowOff>0</xdr:rowOff>
    </xdr:from>
    <xdr:to>
      <xdr:col>12</xdr:col>
      <xdr:colOff>412750</xdr:colOff>
      <xdr:row>28</xdr:row>
      <xdr:rowOff>0</xdr:rowOff>
    </xdr:to>
    <xdr:pic>
      <xdr:nvPicPr>
        <xdr:cNvPr id="4648" name="Object -1020" hidden="1">
          <a:extLst>
            <a:ext uri="{FF2B5EF4-FFF2-40B4-BE49-F238E27FC236}">
              <a16:creationId xmlns:a16="http://schemas.microsoft.com/office/drawing/2014/main" id="{6061B821-1B55-CFB4-B0FC-907A3F0C96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08900" y="5245100"/>
          <a:ext cx="406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6350</xdr:colOff>
      <xdr:row>28</xdr:row>
      <xdr:rowOff>0</xdr:rowOff>
    </xdr:from>
    <xdr:to>
      <xdr:col>12</xdr:col>
      <xdr:colOff>412750</xdr:colOff>
      <xdr:row>28</xdr:row>
      <xdr:rowOff>0</xdr:rowOff>
    </xdr:to>
    <xdr:pic>
      <xdr:nvPicPr>
        <xdr:cNvPr id="4649" name="Object -1019" hidden="1">
          <a:extLst>
            <a:ext uri="{FF2B5EF4-FFF2-40B4-BE49-F238E27FC236}">
              <a16:creationId xmlns:a16="http://schemas.microsoft.com/office/drawing/2014/main" id="{519DB606-DE52-79EA-000B-935F641CD5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08900" y="5245100"/>
          <a:ext cx="406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6350</xdr:colOff>
      <xdr:row>28</xdr:row>
      <xdr:rowOff>0</xdr:rowOff>
    </xdr:from>
    <xdr:to>
      <xdr:col>12</xdr:col>
      <xdr:colOff>412750</xdr:colOff>
      <xdr:row>28</xdr:row>
      <xdr:rowOff>0</xdr:rowOff>
    </xdr:to>
    <xdr:pic>
      <xdr:nvPicPr>
        <xdr:cNvPr id="4650" name="Object -1018" hidden="1">
          <a:extLst>
            <a:ext uri="{FF2B5EF4-FFF2-40B4-BE49-F238E27FC236}">
              <a16:creationId xmlns:a16="http://schemas.microsoft.com/office/drawing/2014/main" id="{4CA66FF6-EB9D-8A39-4C65-B8D9134C2C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08900" y="5245100"/>
          <a:ext cx="406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6350</xdr:colOff>
      <xdr:row>28</xdr:row>
      <xdr:rowOff>0</xdr:rowOff>
    </xdr:from>
    <xdr:to>
      <xdr:col>12</xdr:col>
      <xdr:colOff>412750</xdr:colOff>
      <xdr:row>28</xdr:row>
      <xdr:rowOff>0</xdr:rowOff>
    </xdr:to>
    <xdr:pic>
      <xdr:nvPicPr>
        <xdr:cNvPr id="4651" name="Object -1017" hidden="1">
          <a:extLst>
            <a:ext uri="{FF2B5EF4-FFF2-40B4-BE49-F238E27FC236}">
              <a16:creationId xmlns:a16="http://schemas.microsoft.com/office/drawing/2014/main" id="{BCEBD772-9C73-C903-038A-865BA2FF80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08900" y="5245100"/>
          <a:ext cx="406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6350</xdr:colOff>
      <xdr:row>28</xdr:row>
      <xdr:rowOff>0</xdr:rowOff>
    </xdr:from>
    <xdr:to>
      <xdr:col>12</xdr:col>
      <xdr:colOff>412750</xdr:colOff>
      <xdr:row>28</xdr:row>
      <xdr:rowOff>0</xdr:rowOff>
    </xdr:to>
    <xdr:pic>
      <xdr:nvPicPr>
        <xdr:cNvPr id="4652" name="Object -1016" hidden="1">
          <a:extLst>
            <a:ext uri="{FF2B5EF4-FFF2-40B4-BE49-F238E27FC236}">
              <a16:creationId xmlns:a16="http://schemas.microsoft.com/office/drawing/2014/main" id="{887A17FB-4F06-C084-E0E8-3F1F1CED02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08900" y="5245100"/>
          <a:ext cx="406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6350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653" name="Object -1013" hidden="1">
          <a:extLst>
            <a:ext uri="{FF2B5EF4-FFF2-40B4-BE49-F238E27FC236}">
              <a16:creationId xmlns:a16="http://schemas.microsoft.com/office/drawing/2014/main" id="{90FAE77B-86AC-9D01-86B6-55F8FD80D5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8100" y="16459200"/>
          <a:ext cx="5778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6350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654" name="Object -1012" hidden="1">
          <a:extLst>
            <a:ext uri="{FF2B5EF4-FFF2-40B4-BE49-F238E27FC236}">
              <a16:creationId xmlns:a16="http://schemas.microsoft.com/office/drawing/2014/main" id="{418C8D63-CA71-EE56-A246-403C8C1A60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8100" y="16459200"/>
          <a:ext cx="5778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6350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655" name="Object -1011" hidden="1">
          <a:extLst>
            <a:ext uri="{FF2B5EF4-FFF2-40B4-BE49-F238E27FC236}">
              <a16:creationId xmlns:a16="http://schemas.microsoft.com/office/drawing/2014/main" id="{28FFF02E-EBCD-DDC8-7498-B4B3469071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8100" y="16459200"/>
          <a:ext cx="5778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6350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656" name="Object -1010" hidden="1">
          <a:extLst>
            <a:ext uri="{FF2B5EF4-FFF2-40B4-BE49-F238E27FC236}">
              <a16:creationId xmlns:a16="http://schemas.microsoft.com/office/drawing/2014/main" id="{7914EAE9-311C-1E3C-0F30-1CC4292FE3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8100" y="16459200"/>
          <a:ext cx="5778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6350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657" name="Object -1009" hidden="1">
          <a:extLst>
            <a:ext uri="{FF2B5EF4-FFF2-40B4-BE49-F238E27FC236}">
              <a16:creationId xmlns:a16="http://schemas.microsoft.com/office/drawing/2014/main" id="{3BE6F90F-FD18-0E78-74B5-9B753ED3B9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8100" y="16459200"/>
          <a:ext cx="5778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6350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658" name="Object -1008" hidden="1">
          <a:extLst>
            <a:ext uri="{FF2B5EF4-FFF2-40B4-BE49-F238E27FC236}">
              <a16:creationId xmlns:a16="http://schemas.microsoft.com/office/drawing/2014/main" id="{E40CFC7B-1F4F-CE21-1BE7-7206337A3A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8100" y="16459200"/>
          <a:ext cx="5778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6350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659" name="Object -1007" hidden="1">
          <a:extLst>
            <a:ext uri="{FF2B5EF4-FFF2-40B4-BE49-F238E27FC236}">
              <a16:creationId xmlns:a16="http://schemas.microsoft.com/office/drawing/2014/main" id="{F3095ACC-15B3-67B7-4680-A4B2B1A5DA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8100" y="16459200"/>
          <a:ext cx="5778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6350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660" name="Object -1006" hidden="1">
          <a:extLst>
            <a:ext uri="{FF2B5EF4-FFF2-40B4-BE49-F238E27FC236}">
              <a16:creationId xmlns:a16="http://schemas.microsoft.com/office/drawing/2014/main" id="{1CCD90FF-1F0C-EFD8-79D2-03C846A275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8100" y="16459200"/>
          <a:ext cx="5778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6350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661" name="Object -1005" hidden="1">
          <a:extLst>
            <a:ext uri="{FF2B5EF4-FFF2-40B4-BE49-F238E27FC236}">
              <a16:creationId xmlns:a16="http://schemas.microsoft.com/office/drawing/2014/main" id="{F1BCC179-1954-0DCA-2736-2B5B37833B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8100" y="16459200"/>
          <a:ext cx="5778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6350</xdr:colOff>
      <xdr:row>28</xdr:row>
      <xdr:rowOff>0</xdr:rowOff>
    </xdr:from>
    <xdr:to>
      <xdr:col>12</xdr:col>
      <xdr:colOff>412750</xdr:colOff>
      <xdr:row>28</xdr:row>
      <xdr:rowOff>0</xdr:rowOff>
    </xdr:to>
    <xdr:pic>
      <xdr:nvPicPr>
        <xdr:cNvPr id="4662" name="Object -1022" hidden="1">
          <a:extLst>
            <a:ext uri="{FF2B5EF4-FFF2-40B4-BE49-F238E27FC236}">
              <a16:creationId xmlns:a16="http://schemas.microsoft.com/office/drawing/2014/main" id="{423E4B84-0FF0-52F0-FDAF-3B42B22419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08900" y="5245100"/>
          <a:ext cx="406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6350</xdr:colOff>
      <xdr:row>28</xdr:row>
      <xdr:rowOff>0</xdr:rowOff>
    </xdr:from>
    <xdr:to>
      <xdr:col>12</xdr:col>
      <xdr:colOff>412750</xdr:colOff>
      <xdr:row>28</xdr:row>
      <xdr:rowOff>0</xdr:rowOff>
    </xdr:to>
    <xdr:pic>
      <xdr:nvPicPr>
        <xdr:cNvPr id="4663" name="Object -1021" hidden="1">
          <a:extLst>
            <a:ext uri="{FF2B5EF4-FFF2-40B4-BE49-F238E27FC236}">
              <a16:creationId xmlns:a16="http://schemas.microsoft.com/office/drawing/2014/main" id="{1D04019B-E08C-01AA-2F11-395640AF7F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08900" y="5245100"/>
          <a:ext cx="406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6350</xdr:colOff>
      <xdr:row>28</xdr:row>
      <xdr:rowOff>0</xdr:rowOff>
    </xdr:from>
    <xdr:to>
      <xdr:col>12</xdr:col>
      <xdr:colOff>412750</xdr:colOff>
      <xdr:row>28</xdr:row>
      <xdr:rowOff>0</xdr:rowOff>
    </xdr:to>
    <xdr:pic>
      <xdr:nvPicPr>
        <xdr:cNvPr id="4664" name="Object -1020" hidden="1">
          <a:extLst>
            <a:ext uri="{FF2B5EF4-FFF2-40B4-BE49-F238E27FC236}">
              <a16:creationId xmlns:a16="http://schemas.microsoft.com/office/drawing/2014/main" id="{F2B54437-7EF1-8333-E102-9796D3C29B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08900" y="5245100"/>
          <a:ext cx="406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6350</xdr:colOff>
      <xdr:row>28</xdr:row>
      <xdr:rowOff>0</xdr:rowOff>
    </xdr:from>
    <xdr:to>
      <xdr:col>12</xdr:col>
      <xdr:colOff>412750</xdr:colOff>
      <xdr:row>28</xdr:row>
      <xdr:rowOff>0</xdr:rowOff>
    </xdr:to>
    <xdr:pic>
      <xdr:nvPicPr>
        <xdr:cNvPr id="4665" name="Object -1019" hidden="1">
          <a:extLst>
            <a:ext uri="{FF2B5EF4-FFF2-40B4-BE49-F238E27FC236}">
              <a16:creationId xmlns:a16="http://schemas.microsoft.com/office/drawing/2014/main" id="{7CED5E1C-B1E9-6DF8-51CF-C1EB392668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08900" y="5245100"/>
          <a:ext cx="406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6350</xdr:colOff>
      <xdr:row>28</xdr:row>
      <xdr:rowOff>0</xdr:rowOff>
    </xdr:from>
    <xdr:to>
      <xdr:col>12</xdr:col>
      <xdr:colOff>412750</xdr:colOff>
      <xdr:row>28</xdr:row>
      <xdr:rowOff>0</xdr:rowOff>
    </xdr:to>
    <xdr:pic>
      <xdr:nvPicPr>
        <xdr:cNvPr id="4666" name="Object -1018" hidden="1">
          <a:extLst>
            <a:ext uri="{FF2B5EF4-FFF2-40B4-BE49-F238E27FC236}">
              <a16:creationId xmlns:a16="http://schemas.microsoft.com/office/drawing/2014/main" id="{152DA343-4465-61B6-5B22-15D542E32B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08900" y="5245100"/>
          <a:ext cx="406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6350</xdr:colOff>
      <xdr:row>28</xdr:row>
      <xdr:rowOff>0</xdr:rowOff>
    </xdr:from>
    <xdr:to>
      <xdr:col>12</xdr:col>
      <xdr:colOff>412750</xdr:colOff>
      <xdr:row>28</xdr:row>
      <xdr:rowOff>0</xdr:rowOff>
    </xdr:to>
    <xdr:pic>
      <xdr:nvPicPr>
        <xdr:cNvPr id="4667" name="Object -1017" hidden="1">
          <a:extLst>
            <a:ext uri="{FF2B5EF4-FFF2-40B4-BE49-F238E27FC236}">
              <a16:creationId xmlns:a16="http://schemas.microsoft.com/office/drawing/2014/main" id="{4F59B590-368E-72B1-0CDA-2AAEA595C7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08900" y="5245100"/>
          <a:ext cx="406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6350</xdr:colOff>
      <xdr:row>28</xdr:row>
      <xdr:rowOff>0</xdr:rowOff>
    </xdr:from>
    <xdr:to>
      <xdr:col>12</xdr:col>
      <xdr:colOff>412750</xdr:colOff>
      <xdr:row>28</xdr:row>
      <xdr:rowOff>0</xdr:rowOff>
    </xdr:to>
    <xdr:pic>
      <xdr:nvPicPr>
        <xdr:cNvPr id="4668" name="Object -1016" hidden="1">
          <a:extLst>
            <a:ext uri="{FF2B5EF4-FFF2-40B4-BE49-F238E27FC236}">
              <a16:creationId xmlns:a16="http://schemas.microsoft.com/office/drawing/2014/main" id="{4876B315-47A5-907A-D6D3-9432FC2C39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08900" y="5245100"/>
          <a:ext cx="406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6350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669" name="Object -1013" hidden="1">
          <a:extLst>
            <a:ext uri="{FF2B5EF4-FFF2-40B4-BE49-F238E27FC236}">
              <a16:creationId xmlns:a16="http://schemas.microsoft.com/office/drawing/2014/main" id="{5B2D2322-4288-D034-BF67-DB396E2FEB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8100" y="16459200"/>
          <a:ext cx="5778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6350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670" name="Object -1012" hidden="1">
          <a:extLst>
            <a:ext uri="{FF2B5EF4-FFF2-40B4-BE49-F238E27FC236}">
              <a16:creationId xmlns:a16="http://schemas.microsoft.com/office/drawing/2014/main" id="{1C201837-953A-047B-0FE2-CFA9F19CEB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8100" y="16459200"/>
          <a:ext cx="5778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6350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671" name="Object -1011" hidden="1">
          <a:extLst>
            <a:ext uri="{FF2B5EF4-FFF2-40B4-BE49-F238E27FC236}">
              <a16:creationId xmlns:a16="http://schemas.microsoft.com/office/drawing/2014/main" id="{5F151135-C5E0-094F-2A69-90FD536443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8100" y="16459200"/>
          <a:ext cx="5778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6350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672" name="Object -1010" hidden="1">
          <a:extLst>
            <a:ext uri="{FF2B5EF4-FFF2-40B4-BE49-F238E27FC236}">
              <a16:creationId xmlns:a16="http://schemas.microsoft.com/office/drawing/2014/main" id="{3ABAB23D-3123-9648-549F-07E2459EC7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8100" y="16459200"/>
          <a:ext cx="5778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6350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673" name="Object -1009" hidden="1">
          <a:extLst>
            <a:ext uri="{FF2B5EF4-FFF2-40B4-BE49-F238E27FC236}">
              <a16:creationId xmlns:a16="http://schemas.microsoft.com/office/drawing/2014/main" id="{D9E89EC0-9AF5-CB3C-6030-11531AAA97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8100" y="16459200"/>
          <a:ext cx="5778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6350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674" name="Object -1008" hidden="1">
          <a:extLst>
            <a:ext uri="{FF2B5EF4-FFF2-40B4-BE49-F238E27FC236}">
              <a16:creationId xmlns:a16="http://schemas.microsoft.com/office/drawing/2014/main" id="{3CBCD4FD-2801-2012-B914-35FD6D5956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8100" y="16459200"/>
          <a:ext cx="5778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6350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675" name="Object -1007" hidden="1">
          <a:extLst>
            <a:ext uri="{FF2B5EF4-FFF2-40B4-BE49-F238E27FC236}">
              <a16:creationId xmlns:a16="http://schemas.microsoft.com/office/drawing/2014/main" id="{A2C4B185-B936-C3B2-F2C4-49135E82D4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8100" y="16459200"/>
          <a:ext cx="5778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6350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676" name="Object -1006" hidden="1">
          <a:extLst>
            <a:ext uri="{FF2B5EF4-FFF2-40B4-BE49-F238E27FC236}">
              <a16:creationId xmlns:a16="http://schemas.microsoft.com/office/drawing/2014/main" id="{0B241CCE-7E0E-9CD4-F764-CB6C75FC57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8100" y="16459200"/>
          <a:ext cx="5778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6350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677" name="Object -1005" hidden="1">
          <a:extLst>
            <a:ext uri="{FF2B5EF4-FFF2-40B4-BE49-F238E27FC236}">
              <a16:creationId xmlns:a16="http://schemas.microsoft.com/office/drawing/2014/main" id="{B13320AC-281A-C984-9DA1-90EF9707FC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8100" y="16459200"/>
          <a:ext cx="5778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6350</xdr:colOff>
      <xdr:row>28</xdr:row>
      <xdr:rowOff>0</xdr:rowOff>
    </xdr:from>
    <xdr:to>
      <xdr:col>12</xdr:col>
      <xdr:colOff>412750</xdr:colOff>
      <xdr:row>28</xdr:row>
      <xdr:rowOff>0</xdr:rowOff>
    </xdr:to>
    <xdr:pic>
      <xdr:nvPicPr>
        <xdr:cNvPr id="4678" name="Object -1022" hidden="1">
          <a:extLst>
            <a:ext uri="{FF2B5EF4-FFF2-40B4-BE49-F238E27FC236}">
              <a16:creationId xmlns:a16="http://schemas.microsoft.com/office/drawing/2014/main" id="{CDBB82B1-C747-07D6-C653-AC3D8DC181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08900" y="5245100"/>
          <a:ext cx="406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6350</xdr:colOff>
      <xdr:row>28</xdr:row>
      <xdr:rowOff>0</xdr:rowOff>
    </xdr:from>
    <xdr:to>
      <xdr:col>12</xdr:col>
      <xdr:colOff>412750</xdr:colOff>
      <xdr:row>28</xdr:row>
      <xdr:rowOff>0</xdr:rowOff>
    </xdr:to>
    <xdr:pic>
      <xdr:nvPicPr>
        <xdr:cNvPr id="4679" name="Object -1021" hidden="1">
          <a:extLst>
            <a:ext uri="{FF2B5EF4-FFF2-40B4-BE49-F238E27FC236}">
              <a16:creationId xmlns:a16="http://schemas.microsoft.com/office/drawing/2014/main" id="{0049D3E4-3689-240F-7519-5DA613C3B6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08900" y="5245100"/>
          <a:ext cx="406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6350</xdr:colOff>
      <xdr:row>28</xdr:row>
      <xdr:rowOff>0</xdr:rowOff>
    </xdr:from>
    <xdr:to>
      <xdr:col>12</xdr:col>
      <xdr:colOff>412750</xdr:colOff>
      <xdr:row>28</xdr:row>
      <xdr:rowOff>0</xdr:rowOff>
    </xdr:to>
    <xdr:pic>
      <xdr:nvPicPr>
        <xdr:cNvPr id="4680" name="Object -1020" hidden="1">
          <a:extLst>
            <a:ext uri="{FF2B5EF4-FFF2-40B4-BE49-F238E27FC236}">
              <a16:creationId xmlns:a16="http://schemas.microsoft.com/office/drawing/2014/main" id="{29F18BE1-CA50-8EA2-8735-CEF046B052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08900" y="5245100"/>
          <a:ext cx="406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6350</xdr:colOff>
      <xdr:row>28</xdr:row>
      <xdr:rowOff>0</xdr:rowOff>
    </xdr:from>
    <xdr:to>
      <xdr:col>12</xdr:col>
      <xdr:colOff>412750</xdr:colOff>
      <xdr:row>28</xdr:row>
      <xdr:rowOff>0</xdr:rowOff>
    </xdr:to>
    <xdr:pic>
      <xdr:nvPicPr>
        <xdr:cNvPr id="4681" name="Object -1019" hidden="1">
          <a:extLst>
            <a:ext uri="{FF2B5EF4-FFF2-40B4-BE49-F238E27FC236}">
              <a16:creationId xmlns:a16="http://schemas.microsoft.com/office/drawing/2014/main" id="{A27DBA25-5E36-5865-7700-6501C57D12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08900" y="5245100"/>
          <a:ext cx="406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6350</xdr:colOff>
      <xdr:row>28</xdr:row>
      <xdr:rowOff>0</xdr:rowOff>
    </xdr:from>
    <xdr:to>
      <xdr:col>12</xdr:col>
      <xdr:colOff>412750</xdr:colOff>
      <xdr:row>28</xdr:row>
      <xdr:rowOff>0</xdr:rowOff>
    </xdr:to>
    <xdr:pic>
      <xdr:nvPicPr>
        <xdr:cNvPr id="4682" name="Object -1018" hidden="1">
          <a:extLst>
            <a:ext uri="{FF2B5EF4-FFF2-40B4-BE49-F238E27FC236}">
              <a16:creationId xmlns:a16="http://schemas.microsoft.com/office/drawing/2014/main" id="{EB42A242-CE38-76F2-E77D-DE4D1D169D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08900" y="5245100"/>
          <a:ext cx="406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6350</xdr:colOff>
      <xdr:row>28</xdr:row>
      <xdr:rowOff>0</xdr:rowOff>
    </xdr:from>
    <xdr:to>
      <xdr:col>12</xdr:col>
      <xdr:colOff>412750</xdr:colOff>
      <xdr:row>28</xdr:row>
      <xdr:rowOff>0</xdr:rowOff>
    </xdr:to>
    <xdr:pic>
      <xdr:nvPicPr>
        <xdr:cNvPr id="4683" name="Object -1017" hidden="1">
          <a:extLst>
            <a:ext uri="{FF2B5EF4-FFF2-40B4-BE49-F238E27FC236}">
              <a16:creationId xmlns:a16="http://schemas.microsoft.com/office/drawing/2014/main" id="{6E393FCF-0F6D-CE1F-68E5-884649F4B2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08900" y="5245100"/>
          <a:ext cx="406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6350</xdr:colOff>
      <xdr:row>28</xdr:row>
      <xdr:rowOff>0</xdr:rowOff>
    </xdr:from>
    <xdr:to>
      <xdr:col>12</xdr:col>
      <xdr:colOff>412750</xdr:colOff>
      <xdr:row>28</xdr:row>
      <xdr:rowOff>0</xdr:rowOff>
    </xdr:to>
    <xdr:pic>
      <xdr:nvPicPr>
        <xdr:cNvPr id="4684" name="Object -1016" hidden="1">
          <a:extLst>
            <a:ext uri="{FF2B5EF4-FFF2-40B4-BE49-F238E27FC236}">
              <a16:creationId xmlns:a16="http://schemas.microsoft.com/office/drawing/2014/main" id="{CD9AF60D-0577-D541-DC79-8593A66EDE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08900" y="5245100"/>
          <a:ext cx="406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6350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685" name="Object -1013" hidden="1">
          <a:extLst>
            <a:ext uri="{FF2B5EF4-FFF2-40B4-BE49-F238E27FC236}">
              <a16:creationId xmlns:a16="http://schemas.microsoft.com/office/drawing/2014/main" id="{0B07864E-B4FE-2FD6-2C1A-FC2840E96D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8100" y="16459200"/>
          <a:ext cx="5778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6350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686" name="Object -1012" hidden="1">
          <a:extLst>
            <a:ext uri="{FF2B5EF4-FFF2-40B4-BE49-F238E27FC236}">
              <a16:creationId xmlns:a16="http://schemas.microsoft.com/office/drawing/2014/main" id="{02801B4E-9B52-2F1B-8CBA-684A2E14BB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8100" y="16459200"/>
          <a:ext cx="5778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6350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687" name="Object -1011" hidden="1">
          <a:extLst>
            <a:ext uri="{FF2B5EF4-FFF2-40B4-BE49-F238E27FC236}">
              <a16:creationId xmlns:a16="http://schemas.microsoft.com/office/drawing/2014/main" id="{34A24237-86F4-7770-3199-29EC3CC2CF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8100" y="16459200"/>
          <a:ext cx="5778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6350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688" name="Object -1010" hidden="1">
          <a:extLst>
            <a:ext uri="{FF2B5EF4-FFF2-40B4-BE49-F238E27FC236}">
              <a16:creationId xmlns:a16="http://schemas.microsoft.com/office/drawing/2014/main" id="{734FB5CB-9F61-FB38-1EB8-2B0A27319A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8100" y="16459200"/>
          <a:ext cx="5778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6350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689" name="Object -1009" hidden="1">
          <a:extLst>
            <a:ext uri="{FF2B5EF4-FFF2-40B4-BE49-F238E27FC236}">
              <a16:creationId xmlns:a16="http://schemas.microsoft.com/office/drawing/2014/main" id="{A1CBE896-0059-E52D-41F1-0D7229A5C5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8100" y="16459200"/>
          <a:ext cx="5778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6350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690" name="Object -1008" hidden="1">
          <a:extLst>
            <a:ext uri="{FF2B5EF4-FFF2-40B4-BE49-F238E27FC236}">
              <a16:creationId xmlns:a16="http://schemas.microsoft.com/office/drawing/2014/main" id="{C665A890-33F4-EB9E-E3B8-AF3E127234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8100" y="16459200"/>
          <a:ext cx="5778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6350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691" name="Object -1007" hidden="1">
          <a:extLst>
            <a:ext uri="{FF2B5EF4-FFF2-40B4-BE49-F238E27FC236}">
              <a16:creationId xmlns:a16="http://schemas.microsoft.com/office/drawing/2014/main" id="{6B7C7A1A-2BB3-D0BF-EAF8-0C26C5345E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8100" y="16459200"/>
          <a:ext cx="5778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6350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692" name="Object -1006" hidden="1">
          <a:extLst>
            <a:ext uri="{FF2B5EF4-FFF2-40B4-BE49-F238E27FC236}">
              <a16:creationId xmlns:a16="http://schemas.microsoft.com/office/drawing/2014/main" id="{2613CCCF-C1AD-D884-4E39-21CB1D0236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8100" y="16459200"/>
          <a:ext cx="5778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6350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693" name="Object -1005" hidden="1">
          <a:extLst>
            <a:ext uri="{FF2B5EF4-FFF2-40B4-BE49-F238E27FC236}">
              <a16:creationId xmlns:a16="http://schemas.microsoft.com/office/drawing/2014/main" id="{7B34F1F4-21F3-5534-44AF-32880B5156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8100" y="16459200"/>
          <a:ext cx="5778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6350</xdr:colOff>
      <xdr:row>28</xdr:row>
      <xdr:rowOff>0</xdr:rowOff>
    </xdr:from>
    <xdr:to>
      <xdr:col>12</xdr:col>
      <xdr:colOff>412750</xdr:colOff>
      <xdr:row>28</xdr:row>
      <xdr:rowOff>0</xdr:rowOff>
    </xdr:to>
    <xdr:pic>
      <xdr:nvPicPr>
        <xdr:cNvPr id="4694" name="Object -1022" hidden="1">
          <a:extLst>
            <a:ext uri="{FF2B5EF4-FFF2-40B4-BE49-F238E27FC236}">
              <a16:creationId xmlns:a16="http://schemas.microsoft.com/office/drawing/2014/main" id="{22B13A12-48D8-3474-2482-234C7DC4DA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08900" y="5245100"/>
          <a:ext cx="406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6350</xdr:colOff>
      <xdr:row>28</xdr:row>
      <xdr:rowOff>0</xdr:rowOff>
    </xdr:from>
    <xdr:to>
      <xdr:col>12</xdr:col>
      <xdr:colOff>412750</xdr:colOff>
      <xdr:row>28</xdr:row>
      <xdr:rowOff>0</xdr:rowOff>
    </xdr:to>
    <xdr:pic>
      <xdr:nvPicPr>
        <xdr:cNvPr id="4695" name="Object -1021" hidden="1">
          <a:extLst>
            <a:ext uri="{FF2B5EF4-FFF2-40B4-BE49-F238E27FC236}">
              <a16:creationId xmlns:a16="http://schemas.microsoft.com/office/drawing/2014/main" id="{7C9E10DB-4EF2-A7E5-9D47-D67A1325E2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08900" y="5245100"/>
          <a:ext cx="406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6350</xdr:colOff>
      <xdr:row>28</xdr:row>
      <xdr:rowOff>0</xdr:rowOff>
    </xdr:from>
    <xdr:to>
      <xdr:col>12</xdr:col>
      <xdr:colOff>412750</xdr:colOff>
      <xdr:row>28</xdr:row>
      <xdr:rowOff>0</xdr:rowOff>
    </xdr:to>
    <xdr:pic>
      <xdr:nvPicPr>
        <xdr:cNvPr id="4696" name="Object -1020" hidden="1">
          <a:extLst>
            <a:ext uri="{FF2B5EF4-FFF2-40B4-BE49-F238E27FC236}">
              <a16:creationId xmlns:a16="http://schemas.microsoft.com/office/drawing/2014/main" id="{748A4831-E450-EEB3-E455-B08BAFE5EA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08900" y="5245100"/>
          <a:ext cx="406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6350</xdr:colOff>
      <xdr:row>28</xdr:row>
      <xdr:rowOff>0</xdr:rowOff>
    </xdr:from>
    <xdr:to>
      <xdr:col>12</xdr:col>
      <xdr:colOff>412750</xdr:colOff>
      <xdr:row>28</xdr:row>
      <xdr:rowOff>0</xdr:rowOff>
    </xdr:to>
    <xdr:pic>
      <xdr:nvPicPr>
        <xdr:cNvPr id="4697" name="Object -1019" hidden="1">
          <a:extLst>
            <a:ext uri="{FF2B5EF4-FFF2-40B4-BE49-F238E27FC236}">
              <a16:creationId xmlns:a16="http://schemas.microsoft.com/office/drawing/2014/main" id="{A5F388E9-1D67-2AE6-B075-E225002C97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08900" y="5245100"/>
          <a:ext cx="406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6350</xdr:colOff>
      <xdr:row>28</xdr:row>
      <xdr:rowOff>0</xdr:rowOff>
    </xdr:from>
    <xdr:to>
      <xdr:col>12</xdr:col>
      <xdr:colOff>412750</xdr:colOff>
      <xdr:row>28</xdr:row>
      <xdr:rowOff>0</xdr:rowOff>
    </xdr:to>
    <xdr:pic>
      <xdr:nvPicPr>
        <xdr:cNvPr id="4698" name="Object -1018" hidden="1">
          <a:extLst>
            <a:ext uri="{FF2B5EF4-FFF2-40B4-BE49-F238E27FC236}">
              <a16:creationId xmlns:a16="http://schemas.microsoft.com/office/drawing/2014/main" id="{AB9276AD-3760-18C1-E0E2-BCF16030E0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08900" y="5245100"/>
          <a:ext cx="406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6350</xdr:colOff>
      <xdr:row>28</xdr:row>
      <xdr:rowOff>0</xdr:rowOff>
    </xdr:from>
    <xdr:to>
      <xdr:col>12</xdr:col>
      <xdr:colOff>412750</xdr:colOff>
      <xdr:row>28</xdr:row>
      <xdr:rowOff>0</xdr:rowOff>
    </xdr:to>
    <xdr:pic>
      <xdr:nvPicPr>
        <xdr:cNvPr id="4699" name="Object -1017" hidden="1">
          <a:extLst>
            <a:ext uri="{FF2B5EF4-FFF2-40B4-BE49-F238E27FC236}">
              <a16:creationId xmlns:a16="http://schemas.microsoft.com/office/drawing/2014/main" id="{A9E5A64D-6A04-8A92-87B4-A926E91F66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08900" y="5245100"/>
          <a:ext cx="406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6350</xdr:colOff>
      <xdr:row>28</xdr:row>
      <xdr:rowOff>0</xdr:rowOff>
    </xdr:from>
    <xdr:to>
      <xdr:col>12</xdr:col>
      <xdr:colOff>412750</xdr:colOff>
      <xdr:row>28</xdr:row>
      <xdr:rowOff>0</xdr:rowOff>
    </xdr:to>
    <xdr:pic>
      <xdr:nvPicPr>
        <xdr:cNvPr id="4700" name="Object -1016" hidden="1">
          <a:extLst>
            <a:ext uri="{FF2B5EF4-FFF2-40B4-BE49-F238E27FC236}">
              <a16:creationId xmlns:a16="http://schemas.microsoft.com/office/drawing/2014/main" id="{5ABB83F8-CA10-5BBB-5173-EE2EDBA051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08900" y="5245100"/>
          <a:ext cx="406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6350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701" name="Object -1013" hidden="1">
          <a:extLst>
            <a:ext uri="{FF2B5EF4-FFF2-40B4-BE49-F238E27FC236}">
              <a16:creationId xmlns:a16="http://schemas.microsoft.com/office/drawing/2014/main" id="{2E1D0460-90A7-A6A7-0099-A67925D384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8100" y="16459200"/>
          <a:ext cx="5778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6350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702" name="Object -1012" hidden="1">
          <a:extLst>
            <a:ext uri="{FF2B5EF4-FFF2-40B4-BE49-F238E27FC236}">
              <a16:creationId xmlns:a16="http://schemas.microsoft.com/office/drawing/2014/main" id="{86DCE2C9-8B9E-E17F-EEB3-33698209A7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8100" y="16459200"/>
          <a:ext cx="5778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6350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703" name="Object -1011" hidden="1">
          <a:extLst>
            <a:ext uri="{FF2B5EF4-FFF2-40B4-BE49-F238E27FC236}">
              <a16:creationId xmlns:a16="http://schemas.microsoft.com/office/drawing/2014/main" id="{6FEC30C8-325E-DAB1-1133-C8719DF93E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8100" y="16459200"/>
          <a:ext cx="5778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6350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704" name="Object -1010" hidden="1">
          <a:extLst>
            <a:ext uri="{FF2B5EF4-FFF2-40B4-BE49-F238E27FC236}">
              <a16:creationId xmlns:a16="http://schemas.microsoft.com/office/drawing/2014/main" id="{5D3FBAEF-6AAA-85D4-7A1D-968E1DDB08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8100" y="16459200"/>
          <a:ext cx="5778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6350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705" name="Object -1009" hidden="1">
          <a:extLst>
            <a:ext uri="{FF2B5EF4-FFF2-40B4-BE49-F238E27FC236}">
              <a16:creationId xmlns:a16="http://schemas.microsoft.com/office/drawing/2014/main" id="{ACF1B62A-66BA-D532-13D5-5023E53180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8100" y="16459200"/>
          <a:ext cx="5778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6350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706" name="Object -1008" hidden="1">
          <a:extLst>
            <a:ext uri="{FF2B5EF4-FFF2-40B4-BE49-F238E27FC236}">
              <a16:creationId xmlns:a16="http://schemas.microsoft.com/office/drawing/2014/main" id="{EBCC89CE-CCDD-CE71-21C3-7A11FFE3B4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8100" y="16459200"/>
          <a:ext cx="5778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6350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707" name="Object -1007" hidden="1">
          <a:extLst>
            <a:ext uri="{FF2B5EF4-FFF2-40B4-BE49-F238E27FC236}">
              <a16:creationId xmlns:a16="http://schemas.microsoft.com/office/drawing/2014/main" id="{5F512EC3-A1EE-97AA-6CED-F79253BA6A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8100" y="16459200"/>
          <a:ext cx="5778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6350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708" name="Object -1006" hidden="1">
          <a:extLst>
            <a:ext uri="{FF2B5EF4-FFF2-40B4-BE49-F238E27FC236}">
              <a16:creationId xmlns:a16="http://schemas.microsoft.com/office/drawing/2014/main" id="{B1E5C519-EFD7-5862-BBA0-95F3072153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8100" y="16459200"/>
          <a:ext cx="5778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6350</xdr:colOff>
      <xdr:row>84</xdr:row>
      <xdr:rowOff>0</xdr:rowOff>
    </xdr:from>
    <xdr:to>
      <xdr:col>11</xdr:col>
      <xdr:colOff>0</xdr:colOff>
      <xdr:row>84</xdr:row>
      <xdr:rowOff>0</xdr:rowOff>
    </xdr:to>
    <xdr:pic>
      <xdr:nvPicPr>
        <xdr:cNvPr id="4709" name="Object -1005" hidden="1">
          <a:extLst>
            <a:ext uri="{FF2B5EF4-FFF2-40B4-BE49-F238E27FC236}">
              <a16:creationId xmlns:a16="http://schemas.microsoft.com/office/drawing/2014/main" id="{6041BE8B-D5CC-5C1F-7965-D6D8309D04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8100" y="16459200"/>
          <a:ext cx="57785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isram\Documents\Soft%20Laragon%20Tambah\sudah%20cek\Doppler\15-9-2023\Doppler-15-9-2023.xlsx" TargetMode="External"/><Relationship Id="rId1" Type="http://schemas.openxmlformats.org/officeDocument/2006/relationships/externalLinkPath" Target="/Users/isram/Documents/Soft%20Laragon%20Tambah/sudah%20cek/Doppler/15-9-2023/Doppler-15-9-202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laragon/www/bpfkbanjarbaru/public/alkes_excel_file/ECG_Recorder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Z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laragon/www/bpfkbanjarbaru/public/alkes_excel_file/Doppl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ERTIFIKAT"/>
      <sheetName val="Lembar Kerja"/>
      <sheetName val="Riwayat Revisi"/>
      <sheetName val="UB"/>
      <sheetName val="ID"/>
      <sheetName val="LH"/>
      <sheetName val="DB ESA"/>
      <sheetName val="DB Thermohygro"/>
      <sheetName val="Penyelia"/>
      <sheetName val="FORECAST"/>
      <sheetName val="DATA SERTIFIKAT PS320"/>
      <sheetName val="cetik"/>
      <sheetName val="kesimpulan"/>
    </sheetNames>
    <sheetDataSet>
      <sheetData sheetId="0"/>
      <sheetData sheetId="1"/>
      <sheetData sheetId="2"/>
      <sheetData sheetId="3"/>
      <sheetData sheetId="4">
        <row r="18">
          <cell r="E18">
            <v>220.2</v>
          </cell>
        </row>
        <row r="27">
          <cell r="I27" t="str">
            <v>OL</v>
          </cell>
        </row>
        <row r="28">
          <cell r="I28">
            <v>0.122</v>
          </cell>
        </row>
        <row r="29">
          <cell r="I29">
            <v>14</v>
          </cell>
          <cell r="N29">
            <v>12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iwayat Revisi"/>
      <sheetName val="LK"/>
      <sheetName val="bank kata"/>
      <sheetName val="ID"/>
      <sheetName val="ESA"/>
      <sheetName val="PENYELIA"/>
      <sheetName val="LH"/>
      <sheetName val="SERTIFIKAT"/>
      <sheetName val="DB Thermohygro"/>
      <sheetName val="DB ECG"/>
      <sheetName val="UB"/>
      <sheetName val="DB CALIPER"/>
    </sheetNames>
    <sheetDataSet>
      <sheetData sheetId="0"/>
      <sheetData sheetId="1"/>
      <sheetData sheetId="2"/>
      <sheetData sheetId="3">
        <row r="1">
          <cell r="A1" t="str">
            <v>INPUT DATA KALIBRASI ELECTROCARDIOGRAPH</v>
          </cell>
        </row>
        <row r="2">
          <cell r="I2" t="str">
            <v>10 / III - 21 / E - 003.30 DL</v>
          </cell>
        </row>
        <row r="14">
          <cell r="E14">
            <v>25</v>
          </cell>
          <cell r="F14">
            <v>25.3</v>
          </cell>
        </row>
        <row r="15">
          <cell r="E15">
            <v>65.099999999999994</v>
          </cell>
          <cell r="F15">
            <v>65.2</v>
          </cell>
        </row>
        <row r="75">
          <cell r="B75" t="str">
            <v>Thermohygrobarometer, Merek : EXTECH, Model : SD700, SN : A.100616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embar Kerja"/>
      <sheetName val="Riwayat Revisi"/>
      <sheetName val="ID"/>
      <sheetName val="UB"/>
      <sheetName val="Penyelia"/>
      <sheetName val="LH"/>
      <sheetName val="SERTIFIKAT"/>
      <sheetName val="FORECAST"/>
      <sheetName val="DATA SERTIFIKAT PS320"/>
      <sheetName val="DB Suhu"/>
      <sheetName val="DB ESA"/>
      <sheetName val="Cetik cetik"/>
      <sheetName val="kesimpulan"/>
    </sheetNames>
    <sheetDataSet>
      <sheetData sheetId="0"/>
      <sheetData sheetId="1"/>
      <sheetData sheetId="2">
        <row r="2">
          <cell r="I2" t="str">
            <v>1 / IV - 21 / E - 00.000 DL</v>
          </cell>
        </row>
      </sheetData>
      <sheetData sheetId="3"/>
      <sheetData sheetId="4"/>
      <sheetData sheetId="5">
        <row r="8">
          <cell r="E8">
            <v>1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RTIFIKAT"/>
      <sheetName val="Lembar Kerja"/>
      <sheetName val="Riwayat Revisi"/>
      <sheetName val="UB"/>
      <sheetName val="ID"/>
      <sheetName val="DB ESA"/>
      <sheetName val="DB Thermohygro"/>
      <sheetName val="Penyelia"/>
      <sheetName val="LH"/>
      <sheetName val="FORECAST"/>
      <sheetName val="DATA SERTIFIKAT PS320"/>
      <sheetName val="cetik"/>
      <sheetName val="kesimpulan"/>
    </sheetNames>
    <sheetDataSet>
      <sheetData sheetId="0"/>
      <sheetData sheetId="1"/>
      <sheetData sheetId="2"/>
      <sheetData sheetId="3"/>
      <sheetData sheetId="4">
        <row r="59">
          <cell r="B59" t="str">
            <v>Septia Khairunnisa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4.bin"/><Relationship Id="rId13" Type="http://schemas.openxmlformats.org/officeDocument/2006/relationships/oleObject" Target="../embeddings/oleObject9.bin"/><Relationship Id="rId18" Type="http://schemas.openxmlformats.org/officeDocument/2006/relationships/oleObject" Target="../embeddings/oleObject14.bin"/><Relationship Id="rId3" Type="http://schemas.openxmlformats.org/officeDocument/2006/relationships/vmlDrawing" Target="../drawings/vmlDrawing1.vml"/><Relationship Id="rId7" Type="http://schemas.openxmlformats.org/officeDocument/2006/relationships/oleObject" Target="../embeddings/oleObject3.bin"/><Relationship Id="rId12" Type="http://schemas.openxmlformats.org/officeDocument/2006/relationships/oleObject" Target="../embeddings/oleObject8.bin"/><Relationship Id="rId17" Type="http://schemas.openxmlformats.org/officeDocument/2006/relationships/oleObject" Target="../embeddings/oleObject13.bin"/><Relationship Id="rId2" Type="http://schemas.openxmlformats.org/officeDocument/2006/relationships/drawing" Target="../drawings/drawing1.xml"/><Relationship Id="rId16" Type="http://schemas.openxmlformats.org/officeDocument/2006/relationships/oleObject" Target="../embeddings/oleObject12.bin"/><Relationship Id="rId20" Type="http://schemas.openxmlformats.org/officeDocument/2006/relationships/oleObject" Target="../embeddings/oleObject16.bin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oleObject2.bin"/><Relationship Id="rId11" Type="http://schemas.openxmlformats.org/officeDocument/2006/relationships/oleObject" Target="../embeddings/oleObject7.bin"/><Relationship Id="rId5" Type="http://schemas.openxmlformats.org/officeDocument/2006/relationships/image" Target="../media/image1.emf"/><Relationship Id="rId15" Type="http://schemas.openxmlformats.org/officeDocument/2006/relationships/oleObject" Target="../embeddings/oleObject11.bin"/><Relationship Id="rId10" Type="http://schemas.openxmlformats.org/officeDocument/2006/relationships/oleObject" Target="../embeddings/oleObject6.bin"/><Relationship Id="rId19" Type="http://schemas.openxmlformats.org/officeDocument/2006/relationships/oleObject" Target="../embeddings/oleObject15.bin"/><Relationship Id="rId4" Type="http://schemas.openxmlformats.org/officeDocument/2006/relationships/oleObject" Target="../embeddings/oleObject1.bin"/><Relationship Id="rId9" Type="http://schemas.openxmlformats.org/officeDocument/2006/relationships/oleObject" Target="../embeddings/oleObject5.bin"/><Relationship Id="rId14" Type="http://schemas.openxmlformats.org/officeDocument/2006/relationships/oleObject" Target="../embeddings/oleObject1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84B3B-F230-4385-A708-7049421E8CDF}">
  <sheetPr>
    <tabColor rgb="FF00B050"/>
  </sheetPr>
  <dimension ref="A1:X249"/>
  <sheetViews>
    <sheetView topLeftCell="A195" zoomScale="108" zoomScaleNormal="108" workbookViewId="0">
      <selection activeCell="B204" sqref="B204"/>
    </sheetView>
  </sheetViews>
  <sheetFormatPr defaultColWidth="9" defaultRowHeight="12.5" x14ac:dyDescent="0.25"/>
  <cols>
    <col min="1" max="1" width="10.26953125" style="767" customWidth="1"/>
    <col min="2" max="2" width="10.453125" style="767" bestFit="1" customWidth="1"/>
    <col min="3" max="3" width="10.54296875" style="767" bestFit="1" customWidth="1"/>
    <col min="4" max="4" width="30" style="767" bestFit="1" customWidth="1"/>
    <col min="5" max="11" width="9" style="767"/>
    <col min="12" max="12" width="12.1796875" style="767" customWidth="1"/>
    <col min="13" max="13" width="12.26953125" style="767" customWidth="1"/>
    <col min="14" max="23" width="9" style="767"/>
    <col min="24" max="24" width="12.81640625" style="767" customWidth="1"/>
    <col min="25" max="16384" width="9" style="767"/>
  </cols>
  <sheetData>
    <row r="1" spans="1:22" ht="18" x14ac:dyDescent="0.25">
      <c r="A1" s="1022" t="s">
        <v>268</v>
      </c>
      <c r="B1" s="1023"/>
      <c r="C1" s="1023"/>
      <c r="D1" s="1023"/>
      <c r="E1" s="1023"/>
      <c r="F1" s="1023"/>
      <c r="G1" s="1023"/>
      <c r="H1" s="1023"/>
      <c r="I1" s="1023"/>
      <c r="J1" s="1023"/>
      <c r="K1" s="1023"/>
      <c r="L1" s="1023"/>
      <c r="M1" s="1023"/>
      <c r="N1" s="1023"/>
      <c r="O1" s="1023"/>
      <c r="P1" s="1023"/>
      <c r="Q1" s="1023"/>
      <c r="R1" s="1023"/>
      <c r="S1" s="1023"/>
      <c r="T1" s="1024"/>
      <c r="V1" s="767" t="s">
        <v>77</v>
      </c>
    </row>
    <row r="2" spans="1:22" ht="15" customHeight="1" x14ac:dyDescent="0.25">
      <c r="A2" s="1018" t="s">
        <v>269</v>
      </c>
      <c r="B2" s="1019" t="s">
        <v>470</v>
      </c>
      <c r="C2" s="1019"/>
      <c r="D2" s="1019"/>
      <c r="E2" s="1019"/>
      <c r="F2" s="1019"/>
      <c r="G2" s="849"/>
      <c r="H2" s="1018" t="s">
        <v>270</v>
      </c>
      <c r="I2" s="1019" t="s">
        <v>471</v>
      </c>
      <c r="J2" s="1019"/>
      <c r="K2" s="1019"/>
      <c r="L2" s="1019"/>
      <c r="M2" s="1019"/>
      <c r="N2" s="850"/>
      <c r="O2" s="1018" t="s">
        <v>271</v>
      </c>
      <c r="P2" s="1019" t="s">
        <v>472</v>
      </c>
      <c r="Q2" s="1019"/>
      <c r="R2" s="1019"/>
      <c r="S2" s="1019"/>
      <c r="T2" s="1019"/>
    </row>
    <row r="3" spans="1:22" ht="15" customHeight="1" x14ac:dyDescent="0.3">
      <c r="A3" s="1018"/>
      <c r="B3" s="1020" t="s">
        <v>272</v>
      </c>
      <c r="C3" s="1020"/>
      <c r="D3" s="1020"/>
      <c r="E3" s="1020"/>
      <c r="F3" s="1020"/>
      <c r="G3" s="851"/>
      <c r="H3" s="1018"/>
      <c r="I3" s="1020" t="s">
        <v>272</v>
      </c>
      <c r="J3" s="1020"/>
      <c r="K3" s="1020"/>
      <c r="L3" s="1020"/>
      <c r="M3" s="1020"/>
      <c r="N3" s="852"/>
      <c r="O3" s="1018"/>
      <c r="P3" s="1021" t="s">
        <v>272</v>
      </c>
      <c r="Q3" s="1021"/>
      <c r="R3" s="1021"/>
      <c r="S3" s="1021"/>
      <c r="T3" s="1021"/>
    </row>
    <row r="4" spans="1:22" ht="12.75" customHeight="1" x14ac:dyDescent="0.25">
      <c r="A4" s="1018"/>
      <c r="B4" s="1015" t="s">
        <v>273</v>
      </c>
      <c r="C4" s="1015"/>
      <c r="D4" s="1015"/>
      <c r="E4" s="1015" t="s">
        <v>274</v>
      </c>
      <c r="F4" s="1015" t="s">
        <v>167</v>
      </c>
      <c r="G4" s="855"/>
      <c r="H4" s="1018"/>
      <c r="I4" s="1015" t="str">
        <f>B4</f>
        <v>Setting VAC</v>
      </c>
      <c r="J4" s="1015"/>
      <c r="K4" s="1015"/>
      <c r="L4" s="1015" t="s">
        <v>274</v>
      </c>
      <c r="M4" s="1015" t="s">
        <v>167</v>
      </c>
      <c r="N4" s="855"/>
      <c r="O4" s="1018"/>
      <c r="P4" s="1015" t="str">
        <f>B4</f>
        <v>Setting VAC</v>
      </c>
      <c r="Q4" s="1015"/>
      <c r="R4" s="1015"/>
      <c r="S4" s="1015" t="s">
        <v>274</v>
      </c>
      <c r="T4" s="1015" t="s">
        <v>167</v>
      </c>
    </row>
    <row r="5" spans="1:22" ht="15" customHeight="1" x14ac:dyDescent="0.25">
      <c r="A5" s="1018"/>
      <c r="B5" s="853" t="s">
        <v>275</v>
      </c>
      <c r="C5" s="854">
        <v>2019</v>
      </c>
      <c r="D5" s="854">
        <v>2020</v>
      </c>
      <c r="E5" s="1015"/>
      <c r="F5" s="1015"/>
      <c r="G5" s="855"/>
      <c r="H5" s="1018"/>
      <c r="I5" s="853" t="s">
        <v>275</v>
      </c>
      <c r="J5" s="854">
        <v>2017</v>
      </c>
      <c r="K5" s="854">
        <v>2019</v>
      </c>
      <c r="L5" s="1015"/>
      <c r="M5" s="1015"/>
      <c r="N5" s="855"/>
      <c r="O5" s="1018"/>
      <c r="P5" s="853" t="s">
        <v>275</v>
      </c>
      <c r="Q5" s="854">
        <v>2018</v>
      </c>
      <c r="R5" s="854">
        <v>2022</v>
      </c>
      <c r="S5" s="1015"/>
      <c r="T5" s="1015"/>
    </row>
    <row r="6" spans="1:22" ht="15" customHeight="1" x14ac:dyDescent="0.25">
      <c r="A6" s="1018"/>
      <c r="B6" s="856">
        <v>150</v>
      </c>
      <c r="C6" s="857">
        <v>0.76</v>
      </c>
      <c r="D6" s="857">
        <v>0.31</v>
      </c>
      <c r="E6" s="858">
        <f t="shared" ref="E6:E10" si="0">0.5*(MAX(C6:D6)-MIN(C6:D6))</f>
        <v>0.22500000000000001</v>
      </c>
      <c r="F6" s="859">
        <v>0.47</v>
      </c>
      <c r="G6" s="855"/>
      <c r="H6" s="1018"/>
      <c r="I6" s="856">
        <v>150</v>
      </c>
      <c r="J6" s="859">
        <v>0.23</v>
      </c>
      <c r="K6" s="857">
        <v>0.15</v>
      </c>
      <c r="L6" s="858">
        <f t="shared" ref="L6:L10" si="1">0.5*(MAX(J6:K6)-MIN(J6:K6))</f>
        <v>4.0000000000000008E-2</v>
      </c>
      <c r="M6" s="859">
        <v>0.47</v>
      </c>
      <c r="N6" s="855" t="s">
        <v>77</v>
      </c>
      <c r="O6" s="1018"/>
      <c r="P6" s="860">
        <v>150</v>
      </c>
      <c r="Q6" s="859">
        <v>-7.0000000000000007E-2</v>
      </c>
      <c r="R6" s="859">
        <v>-1.43</v>
      </c>
      <c r="S6" s="858">
        <f t="shared" ref="S6:S10" si="2">0.5*(MAX(Q6:R6)-MIN(Q6:R6))</f>
        <v>0.67999999999999994</v>
      </c>
      <c r="T6" s="861">
        <v>1.2</v>
      </c>
    </row>
    <row r="7" spans="1:22" ht="12.75" customHeight="1" x14ac:dyDescent="0.25">
      <c r="A7" s="1018"/>
      <c r="B7" s="856">
        <v>180</v>
      </c>
      <c r="C7" s="857">
        <v>-0.13</v>
      </c>
      <c r="D7" s="857">
        <v>0.1</v>
      </c>
      <c r="E7" s="858">
        <f t="shared" si="0"/>
        <v>0.115</v>
      </c>
      <c r="F7" s="859">
        <v>0.47</v>
      </c>
      <c r="G7" s="855"/>
      <c r="H7" s="1018"/>
      <c r="I7" s="856">
        <v>180</v>
      </c>
      <c r="J7" s="859">
        <v>-0.06</v>
      </c>
      <c r="K7" s="857">
        <v>0.12</v>
      </c>
      <c r="L7" s="858">
        <f t="shared" si="1"/>
        <v>0.09</v>
      </c>
      <c r="M7" s="859">
        <v>0.47</v>
      </c>
      <c r="N7" s="855"/>
      <c r="O7" s="1018"/>
      <c r="P7" s="862">
        <v>180</v>
      </c>
      <c r="Q7" s="859">
        <v>-0.13</v>
      </c>
      <c r="R7" s="859">
        <v>-1.81</v>
      </c>
      <c r="S7" s="858">
        <f t="shared" si="2"/>
        <v>0.84000000000000008</v>
      </c>
      <c r="T7" s="861">
        <v>1.2</v>
      </c>
    </row>
    <row r="8" spans="1:22" ht="12.75" customHeight="1" x14ac:dyDescent="0.25">
      <c r="A8" s="1018"/>
      <c r="B8" s="856">
        <v>200</v>
      </c>
      <c r="C8" s="857">
        <v>-0.16</v>
      </c>
      <c r="D8" s="857">
        <v>-0.04</v>
      </c>
      <c r="E8" s="858">
        <f t="shared" si="0"/>
        <v>0.06</v>
      </c>
      <c r="F8" s="859">
        <v>0.47</v>
      </c>
      <c r="G8" s="855"/>
      <c r="H8" s="1018"/>
      <c r="I8" s="856">
        <v>200</v>
      </c>
      <c r="J8" s="859">
        <v>-0.18</v>
      </c>
      <c r="K8" s="857">
        <v>0.06</v>
      </c>
      <c r="L8" s="858">
        <f t="shared" si="1"/>
        <v>0.12</v>
      </c>
      <c r="M8" s="859">
        <v>0.47</v>
      </c>
      <c r="N8" s="855"/>
      <c r="O8" s="1018"/>
      <c r="P8" s="862">
        <v>200</v>
      </c>
      <c r="Q8" s="859">
        <v>-0.26</v>
      </c>
      <c r="R8" s="859">
        <v>-2.0499999999999998</v>
      </c>
      <c r="S8" s="858">
        <f t="shared" si="2"/>
        <v>0.89499999999999991</v>
      </c>
      <c r="T8" s="861">
        <v>1.2</v>
      </c>
    </row>
    <row r="9" spans="1:22" ht="12.75" customHeight="1" x14ac:dyDescent="0.25">
      <c r="A9" s="1018"/>
      <c r="B9" s="856">
        <v>220</v>
      </c>
      <c r="C9" s="857">
        <v>-0.18</v>
      </c>
      <c r="D9" s="857">
        <v>-0.28000000000000003</v>
      </c>
      <c r="E9" s="858">
        <f t="shared" si="0"/>
        <v>5.0000000000000017E-2</v>
      </c>
      <c r="F9" s="859">
        <v>0.47</v>
      </c>
      <c r="G9" s="855"/>
      <c r="H9" s="1018"/>
      <c r="I9" s="856">
        <v>220</v>
      </c>
      <c r="J9" s="859">
        <v>-0.03</v>
      </c>
      <c r="K9" s="857">
        <v>0.05</v>
      </c>
      <c r="L9" s="858">
        <f t="shared" si="1"/>
        <v>0.04</v>
      </c>
      <c r="M9" s="859">
        <v>0.47</v>
      </c>
      <c r="N9" s="855"/>
      <c r="O9" s="1018"/>
      <c r="P9" s="862">
        <v>220</v>
      </c>
      <c r="Q9" s="859">
        <v>-0.28999999999999998</v>
      </c>
      <c r="R9" s="859">
        <v>-2.29</v>
      </c>
      <c r="S9" s="858">
        <f t="shared" si="2"/>
        <v>1</v>
      </c>
      <c r="T9" s="861">
        <v>1.2</v>
      </c>
    </row>
    <row r="10" spans="1:22" ht="12.75" customHeight="1" x14ac:dyDescent="0.25">
      <c r="A10" s="1018"/>
      <c r="B10" s="856">
        <v>230</v>
      </c>
      <c r="C10" s="857">
        <v>-0.26</v>
      </c>
      <c r="D10" s="857">
        <v>-0.2</v>
      </c>
      <c r="E10" s="858">
        <f t="shared" si="0"/>
        <v>0.03</v>
      </c>
      <c r="F10" s="859">
        <v>0.47</v>
      </c>
      <c r="G10" s="855"/>
      <c r="H10" s="1018"/>
      <c r="I10" s="856">
        <v>230</v>
      </c>
      <c r="J10" s="859">
        <v>-10.02</v>
      </c>
      <c r="K10" s="857">
        <v>0.05</v>
      </c>
      <c r="L10" s="858">
        <f t="shared" si="1"/>
        <v>5.0350000000000001</v>
      </c>
      <c r="M10" s="859">
        <v>0.47</v>
      </c>
      <c r="N10" s="855"/>
      <c r="O10" s="1018"/>
      <c r="P10" s="862">
        <v>230</v>
      </c>
      <c r="Q10" s="859">
        <v>-0.23</v>
      </c>
      <c r="R10" s="859">
        <v>-11.79</v>
      </c>
      <c r="S10" s="858">
        <f t="shared" si="2"/>
        <v>5.7799999999999994</v>
      </c>
      <c r="T10" s="861">
        <v>1.2</v>
      </c>
    </row>
    <row r="11" spans="1:22" ht="12.75" customHeight="1" x14ac:dyDescent="0.25">
      <c r="A11" s="1018"/>
      <c r="B11" s="856">
        <v>250</v>
      </c>
      <c r="C11" s="857">
        <v>9.9999999999999995E-7</v>
      </c>
      <c r="D11" s="857">
        <v>9.9999999999999995E-7</v>
      </c>
      <c r="E11" s="858">
        <v>9.9999999999999995E-7</v>
      </c>
      <c r="F11" s="859">
        <v>0.47</v>
      </c>
      <c r="G11" s="855"/>
      <c r="H11" s="1018"/>
      <c r="I11" s="856">
        <v>250</v>
      </c>
      <c r="J11" s="859">
        <v>9.9999999999999995E-7</v>
      </c>
      <c r="K11" s="857">
        <v>9.9999999999999995E-7</v>
      </c>
      <c r="L11" s="858">
        <v>9.9999999999999995E-7</v>
      </c>
      <c r="M11" s="859">
        <v>0.47</v>
      </c>
      <c r="N11" s="855"/>
      <c r="O11" s="1018"/>
      <c r="P11" s="862">
        <v>250</v>
      </c>
      <c r="Q11" s="859">
        <v>9.9999999999999995E-7</v>
      </c>
      <c r="R11" s="859">
        <v>9.9999999999999995E-7</v>
      </c>
      <c r="S11" s="858">
        <v>9.9999999999999995E-7</v>
      </c>
      <c r="T11" s="861">
        <v>1.2</v>
      </c>
    </row>
    <row r="12" spans="1:22" ht="12.75" customHeight="1" x14ac:dyDescent="0.25">
      <c r="A12" s="1018"/>
      <c r="B12" s="1014" t="s">
        <v>276</v>
      </c>
      <c r="C12" s="1014"/>
      <c r="D12" s="1014"/>
      <c r="E12" s="1015" t="s">
        <v>274</v>
      </c>
      <c r="F12" s="1015" t="s">
        <v>167</v>
      </c>
      <c r="G12" s="855"/>
      <c r="H12" s="1018"/>
      <c r="I12" s="1014" t="str">
        <f>B12</f>
        <v>Current Leakage</v>
      </c>
      <c r="J12" s="1014"/>
      <c r="K12" s="1014"/>
      <c r="L12" s="1015" t="s">
        <v>274</v>
      </c>
      <c r="M12" s="1015" t="s">
        <v>167</v>
      </c>
      <c r="N12" s="855"/>
      <c r="O12" s="1018"/>
      <c r="P12" s="1014" t="str">
        <f>B12</f>
        <v>Current Leakage</v>
      </c>
      <c r="Q12" s="1014"/>
      <c r="R12" s="1014"/>
      <c r="S12" s="1015" t="s">
        <v>274</v>
      </c>
      <c r="T12" s="1015" t="s">
        <v>167</v>
      </c>
    </row>
    <row r="13" spans="1:22" ht="15" customHeight="1" x14ac:dyDescent="0.25">
      <c r="A13" s="1018"/>
      <c r="B13" s="853" t="s">
        <v>277</v>
      </c>
      <c r="C13" s="854">
        <f>C5</f>
        <v>2019</v>
      </c>
      <c r="D13" s="854">
        <f>D5</f>
        <v>2020</v>
      </c>
      <c r="E13" s="1015"/>
      <c r="F13" s="1015"/>
      <c r="G13" s="855"/>
      <c r="H13" s="1018"/>
      <c r="I13" s="853" t="s">
        <v>277</v>
      </c>
      <c r="J13" s="854">
        <f>J5</f>
        <v>2017</v>
      </c>
      <c r="K13" s="854">
        <f>K5</f>
        <v>2019</v>
      </c>
      <c r="L13" s="1015"/>
      <c r="M13" s="1015"/>
      <c r="N13" s="855"/>
      <c r="O13" s="1018"/>
      <c r="P13" s="853" t="s">
        <v>277</v>
      </c>
      <c r="Q13" s="854">
        <f>Q5</f>
        <v>2018</v>
      </c>
      <c r="R13" s="854">
        <f>R5</f>
        <v>2022</v>
      </c>
      <c r="S13" s="1015"/>
      <c r="T13" s="1015"/>
    </row>
    <row r="14" spans="1:22" ht="12.75" customHeight="1" x14ac:dyDescent="0.25">
      <c r="A14" s="1018"/>
      <c r="B14" s="862">
        <v>9.9999999999999995E-7</v>
      </c>
      <c r="C14" s="863">
        <v>9.9999999999999995E-7</v>
      </c>
      <c r="D14" s="863">
        <v>9.9999999999999995E-7</v>
      </c>
      <c r="E14" s="858">
        <v>9.9999999999999995E-7</v>
      </c>
      <c r="F14" s="862">
        <v>0.28999999999999998</v>
      </c>
      <c r="G14" s="855"/>
      <c r="H14" s="1018"/>
      <c r="I14" s="862">
        <v>9.9999999999999995E-7</v>
      </c>
      <c r="J14" s="863">
        <v>9.9999999999999995E-7</v>
      </c>
      <c r="K14" s="863">
        <v>9.9999999999999995E-7</v>
      </c>
      <c r="L14" s="858">
        <v>9.9999999999999995E-7</v>
      </c>
      <c r="M14" s="862">
        <v>0.28999999999999998</v>
      </c>
      <c r="N14" s="855"/>
      <c r="O14" s="1018"/>
      <c r="P14" s="862">
        <v>9.9999999999999995E-7</v>
      </c>
      <c r="Q14" s="863">
        <v>9.9999999999999995E-7</v>
      </c>
      <c r="R14" s="863">
        <v>9.9999999999999995E-7</v>
      </c>
      <c r="S14" s="858">
        <v>9.9999999999999995E-7</v>
      </c>
      <c r="T14" s="862">
        <v>0.59</v>
      </c>
    </row>
    <row r="15" spans="1:22" ht="12.75" customHeight="1" x14ac:dyDescent="0.25">
      <c r="A15" s="1018"/>
      <c r="B15" s="862">
        <v>50</v>
      </c>
      <c r="C15" s="857">
        <v>-0.06</v>
      </c>
      <c r="D15" s="857">
        <v>0.1</v>
      </c>
      <c r="E15" s="858">
        <f t="shared" ref="E15:E19" si="3">0.5*(MAX(C15:D15)-MIN(C15:D15))</f>
        <v>0.08</v>
      </c>
      <c r="F15" s="862">
        <v>0.28999999999999998</v>
      </c>
      <c r="G15" s="855"/>
      <c r="H15" s="1018"/>
      <c r="I15" s="862">
        <v>50</v>
      </c>
      <c r="J15" s="859">
        <v>0.1</v>
      </c>
      <c r="K15" s="857">
        <v>0.1</v>
      </c>
      <c r="L15" s="858">
        <v>9.9999999999999995E-7</v>
      </c>
      <c r="M15" s="862">
        <v>0.28999999999999998</v>
      </c>
      <c r="N15" s="855"/>
      <c r="O15" s="1018"/>
      <c r="P15" s="862">
        <v>50</v>
      </c>
      <c r="Q15" s="859">
        <v>2</v>
      </c>
      <c r="R15" s="859">
        <v>9.1</v>
      </c>
      <c r="S15" s="858">
        <f t="shared" ref="S15:S19" si="4">0.5*(MAX(Q15:R15)-MIN(Q15:R15))</f>
        <v>3.55</v>
      </c>
      <c r="T15" s="862">
        <v>0.59</v>
      </c>
    </row>
    <row r="16" spans="1:22" ht="12.75" customHeight="1" x14ac:dyDescent="0.25">
      <c r="A16" s="1018"/>
      <c r="B16" s="862">
        <v>100</v>
      </c>
      <c r="C16" s="857">
        <v>-0.06</v>
      </c>
      <c r="D16" s="857">
        <v>0.2</v>
      </c>
      <c r="E16" s="858">
        <f t="shared" si="3"/>
        <v>0.13</v>
      </c>
      <c r="F16" s="862">
        <v>0.28999999999999998</v>
      </c>
      <c r="G16" s="855"/>
      <c r="H16" s="1018"/>
      <c r="I16" s="862">
        <v>100</v>
      </c>
      <c r="J16" s="859">
        <v>2.2000000000000002</v>
      </c>
      <c r="K16" s="857">
        <v>0.4</v>
      </c>
      <c r="L16" s="858">
        <f t="shared" ref="L16:L19" si="5">0.5*(MAX(J16:K16)-MIN(J16:K16))</f>
        <v>0.90000000000000013</v>
      </c>
      <c r="M16" s="862">
        <v>0.28999999999999998</v>
      </c>
      <c r="N16" s="855"/>
      <c r="O16" s="1018"/>
      <c r="P16" s="862">
        <v>100</v>
      </c>
      <c r="Q16" s="859">
        <v>2</v>
      </c>
      <c r="R16" s="859">
        <v>6</v>
      </c>
      <c r="S16" s="858">
        <f t="shared" si="4"/>
        <v>2</v>
      </c>
      <c r="T16" s="862">
        <v>0.59</v>
      </c>
    </row>
    <row r="17" spans="1:20" ht="12.75" customHeight="1" x14ac:dyDescent="0.25">
      <c r="A17" s="1018"/>
      <c r="B17" s="862">
        <v>200</v>
      </c>
      <c r="C17" s="857">
        <v>0</v>
      </c>
      <c r="D17" s="857">
        <v>0.4</v>
      </c>
      <c r="E17" s="858">
        <f t="shared" si="3"/>
        <v>0.2</v>
      </c>
      <c r="F17" s="862">
        <v>0.28999999999999998</v>
      </c>
      <c r="G17" s="855"/>
      <c r="H17" s="1018"/>
      <c r="I17" s="862">
        <v>200</v>
      </c>
      <c r="J17" s="859">
        <v>3.3</v>
      </c>
      <c r="K17" s="857">
        <v>0.7</v>
      </c>
      <c r="L17" s="858">
        <f t="shared" si="5"/>
        <v>1.2999999999999998</v>
      </c>
      <c r="M17" s="862">
        <v>0.28999999999999998</v>
      </c>
      <c r="N17" s="855"/>
      <c r="O17" s="1018"/>
      <c r="P17" s="862">
        <v>200</v>
      </c>
      <c r="Q17" s="859">
        <v>3.6</v>
      </c>
      <c r="R17" s="859">
        <v>-3.6</v>
      </c>
      <c r="S17" s="858">
        <f t="shared" si="4"/>
        <v>3.6</v>
      </c>
      <c r="T17" s="862">
        <v>0.59</v>
      </c>
    </row>
    <row r="18" spans="1:20" ht="12.75" customHeight="1" x14ac:dyDescent="0.25">
      <c r="A18" s="1018"/>
      <c r="B18" s="862">
        <v>500</v>
      </c>
      <c r="C18" s="857">
        <v>-0.9</v>
      </c>
      <c r="D18" s="857">
        <v>3.8</v>
      </c>
      <c r="E18" s="858">
        <f t="shared" si="3"/>
        <v>2.35</v>
      </c>
      <c r="F18" s="862">
        <v>0.28999999999999998</v>
      </c>
      <c r="G18" s="855"/>
      <c r="H18" s="1018"/>
      <c r="I18" s="862">
        <v>500</v>
      </c>
      <c r="J18" s="859">
        <v>20</v>
      </c>
      <c r="K18" s="857">
        <v>0.8</v>
      </c>
      <c r="L18" s="858">
        <f t="shared" si="5"/>
        <v>9.6</v>
      </c>
      <c r="M18" s="862">
        <v>0.28999999999999998</v>
      </c>
      <c r="N18" s="855"/>
      <c r="O18" s="1018"/>
      <c r="P18" s="862">
        <v>500</v>
      </c>
      <c r="Q18" s="859">
        <v>2.9</v>
      </c>
      <c r="R18" s="859">
        <v>-18.8</v>
      </c>
      <c r="S18" s="858">
        <f t="shared" si="4"/>
        <v>10.85</v>
      </c>
      <c r="T18" s="862">
        <v>0.59</v>
      </c>
    </row>
    <row r="19" spans="1:20" ht="12.75" customHeight="1" x14ac:dyDescent="0.25">
      <c r="A19" s="1018"/>
      <c r="B19" s="862">
        <v>1000</v>
      </c>
      <c r="C19" s="857">
        <v>-3.0000000000000001E-3</v>
      </c>
      <c r="D19" s="857">
        <v>9</v>
      </c>
      <c r="E19" s="858">
        <f t="shared" si="3"/>
        <v>4.5015000000000001</v>
      </c>
      <c r="F19" s="862">
        <v>0.28999999999999998</v>
      </c>
      <c r="G19" s="855"/>
      <c r="H19" s="1018"/>
      <c r="I19" s="862">
        <v>1000</v>
      </c>
      <c r="J19" s="864">
        <v>2</v>
      </c>
      <c r="K19" s="857">
        <v>8.0000000000000002E-3</v>
      </c>
      <c r="L19" s="858">
        <f t="shared" si="5"/>
        <v>0.996</v>
      </c>
      <c r="M19" s="862">
        <v>0.28999999999999998</v>
      </c>
      <c r="N19" s="855"/>
      <c r="O19" s="1018"/>
      <c r="P19" s="862">
        <v>1000</v>
      </c>
      <c r="Q19" s="859">
        <v>3</v>
      </c>
      <c r="R19" s="859">
        <v>-47</v>
      </c>
      <c r="S19" s="858">
        <f t="shared" si="4"/>
        <v>25</v>
      </c>
      <c r="T19" s="862">
        <v>0.59</v>
      </c>
    </row>
    <row r="20" spans="1:20" ht="12.75" customHeight="1" x14ac:dyDescent="0.25">
      <c r="A20" s="1018"/>
      <c r="B20" s="1014" t="s">
        <v>278</v>
      </c>
      <c r="C20" s="1014"/>
      <c r="D20" s="1014"/>
      <c r="E20" s="1015" t="s">
        <v>274</v>
      </c>
      <c r="F20" s="1015" t="s">
        <v>167</v>
      </c>
      <c r="G20" s="855"/>
      <c r="H20" s="1018"/>
      <c r="I20" s="1014" t="str">
        <f>B20</f>
        <v>Main-PE</v>
      </c>
      <c r="J20" s="1014"/>
      <c r="K20" s="1014"/>
      <c r="L20" s="1015" t="s">
        <v>274</v>
      </c>
      <c r="M20" s="1015" t="s">
        <v>167</v>
      </c>
      <c r="N20" s="855"/>
      <c r="O20" s="1018"/>
      <c r="P20" s="1014" t="str">
        <f>B20</f>
        <v>Main-PE</v>
      </c>
      <c r="Q20" s="1014"/>
      <c r="R20" s="1014"/>
      <c r="S20" s="1015" t="s">
        <v>274</v>
      </c>
      <c r="T20" s="1015" t="s">
        <v>167</v>
      </c>
    </row>
    <row r="21" spans="1:20" ht="15" customHeight="1" x14ac:dyDescent="0.25">
      <c r="A21" s="1018"/>
      <c r="B21" s="853" t="s">
        <v>473</v>
      </c>
      <c r="C21" s="854">
        <v>2019</v>
      </c>
      <c r="D21" s="854">
        <v>2015</v>
      </c>
      <c r="E21" s="1015"/>
      <c r="F21" s="1015"/>
      <c r="G21" s="855"/>
      <c r="H21" s="1018"/>
      <c r="I21" s="853" t="s">
        <v>473</v>
      </c>
      <c r="J21" s="854">
        <f>J5</f>
        <v>2017</v>
      </c>
      <c r="K21" s="854">
        <f>K5</f>
        <v>2019</v>
      </c>
      <c r="L21" s="1015"/>
      <c r="M21" s="1015"/>
      <c r="N21" s="855"/>
      <c r="O21" s="1018"/>
      <c r="P21" s="853" t="s">
        <v>473</v>
      </c>
      <c r="Q21" s="854">
        <f>Q5</f>
        <v>2018</v>
      </c>
      <c r="R21" s="854">
        <f>R5</f>
        <v>2022</v>
      </c>
      <c r="S21" s="1015"/>
      <c r="T21" s="1015"/>
    </row>
    <row r="22" spans="1:20" ht="12.75" customHeight="1" x14ac:dyDescent="0.25">
      <c r="A22" s="1018"/>
      <c r="B22" s="862">
        <v>10</v>
      </c>
      <c r="C22" s="859" t="s">
        <v>100</v>
      </c>
      <c r="D22" s="857">
        <v>9.9999999999999995E-7</v>
      </c>
      <c r="E22" s="858">
        <v>9.9999999999999995E-7</v>
      </c>
      <c r="F22" s="861">
        <v>1.4</v>
      </c>
      <c r="G22" s="855"/>
      <c r="H22" s="1018"/>
      <c r="I22" s="862">
        <v>10</v>
      </c>
      <c r="J22" s="859">
        <v>0</v>
      </c>
      <c r="K22" s="857">
        <v>0.1</v>
      </c>
      <c r="L22" s="858">
        <f t="shared" ref="L22:L25" si="6">0.5*(MAX(J22:K22)-MIN(J22:K22))</f>
        <v>0.05</v>
      </c>
      <c r="M22" s="859">
        <v>1.3</v>
      </c>
      <c r="N22" s="855"/>
      <c r="O22" s="1018"/>
      <c r="P22" s="862">
        <v>10</v>
      </c>
      <c r="Q22" s="857">
        <v>9.9999999999999995E-7</v>
      </c>
      <c r="R22" s="857">
        <v>9.9999999999999995E-7</v>
      </c>
      <c r="S22" s="858">
        <v>9.9999999999999995E-7</v>
      </c>
      <c r="T22" s="861">
        <v>5.1000000000000004E-2</v>
      </c>
    </row>
    <row r="23" spans="1:20" ht="12.75" customHeight="1" x14ac:dyDescent="0.25">
      <c r="A23" s="1018"/>
      <c r="B23" s="862">
        <v>20</v>
      </c>
      <c r="C23" s="859" t="s">
        <v>100</v>
      </c>
      <c r="D23" s="857">
        <v>9.9999999999999995E-7</v>
      </c>
      <c r="E23" s="858">
        <v>9.9999999999999995E-7</v>
      </c>
      <c r="F23" s="861">
        <v>1.4</v>
      </c>
      <c r="G23" s="855"/>
      <c r="H23" s="1018"/>
      <c r="I23" s="862">
        <v>20</v>
      </c>
      <c r="J23" s="859">
        <v>0.1</v>
      </c>
      <c r="K23" s="857">
        <v>0.2</v>
      </c>
      <c r="L23" s="858">
        <f t="shared" si="6"/>
        <v>0.05</v>
      </c>
      <c r="M23" s="859">
        <v>1.3</v>
      </c>
      <c r="N23" s="855"/>
      <c r="O23" s="1018"/>
      <c r="P23" s="862">
        <v>20</v>
      </c>
      <c r="Q23" s="857">
        <v>9.9999999999999995E-7</v>
      </c>
      <c r="R23" s="857">
        <v>9.9999999999999995E-7</v>
      </c>
      <c r="S23" s="858">
        <v>9.9999999999999995E-7</v>
      </c>
      <c r="T23" s="861">
        <v>5.1000000000000004E-2</v>
      </c>
    </row>
    <row r="24" spans="1:20" ht="12.75" customHeight="1" x14ac:dyDescent="0.25">
      <c r="A24" s="1018"/>
      <c r="B24" s="862">
        <v>50</v>
      </c>
      <c r="C24" s="859" t="s">
        <v>100</v>
      </c>
      <c r="D24" s="857">
        <v>9.9999999999999995E-7</v>
      </c>
      <c r="E24" s="858">
        <v>9.9999999999999995E-7</v>
      </c>
      <c r="F24" s="861">
        <v>1.4</v>
      </c>
      <c r="G24" s="855"/>
      <c r="H24" s="1018"/>
      <c r="I24" s="862">
        <v>50</v>
      </c>
      <c r="J24" s="859">
        <v>0.1</v>
      </c>
      <c r="K24" s="857">
        <v>0.3</v>
      </c>
      <c r="L24" s="858">
        <f t="shared" si="6"/>
        <v>9.9999999999999992E-2</v>
      </c>
      <c r="M24" s="859">
        <v>1.3</v>
      </c>
      <c r="N24" s="855"/>
      <c r="O24" s="1018"/>
      <c r="P24" s="862">
        <v>50</v>
      </c>
      <c r="Q24" s="859">
        <v>0.3</v>
      </c>
      <c r="R24" s="859">
        <v>0.1</v>
      </c>
      <c r="S24" s="858">
        <f t="shared" ref="S24:S25" si="7">0.5*(MAX(Q24:R24)-MIN(Q24:R24))</f>
        <v>9.9999999999999992E-2</v>
      </c>
      <c r="T24" s="861">
        <v>5.1000000000000004E-2</v>
      </c>
    </row>
    <row r="25" spans="1:20" ht="12.75" customHeight="1" x14ac:dyDescent="0.25">
      <c r="A25" s="1018"/>
      <c r="B25" s="862">
        <v>100</v>
      </c>
      <c r="C25" s="859" t="s">
        <v>100</v>
      </c>
      <c r="D25" s="859">
        <v>-0.3</v>
      </c>
      <c r="E25" s="858">
        <v>9.9999999999999995E-7</v>
      </c>
      <c r="F25" s="861">
        <v>1.4</v>
      </c>
      <c r="G25" s="855"/>
      <c r="H25" s="1018"/>
      <c r="I25" s="862">
        <v>100</v>
      </c>
      <c r="J25" s="857">
        <v>9.9999999999999995E-7</v>
      </c>
      <c r="K25" s="857">
        <v>0.3</v>
      </c>
      <c r="L25" s="858">
        <f t="shared" si="6"/>
        <v>0.14999950000000001</v>
      </c>
      <c r="M25" s="859">
        <v>1.3</v>
      </c>
      <c r="N25" s="855"/>
      <c r="O25" s="1018"/>
      <c r="P25" s="862">
        <v>100</v>
      </c>
      <c r="Q25" s="859">
        <v>0.6</v>
      </c>
      <c r="R25" s="859">
        <v>0.1</v>
      </c>
      <c r="S25" s="858">
        <f t="shared" si="7"/>
        <v>0.25</v>
      </c>
      <c r="T25" s="861">
        <v>5.1000000000000004E-2</v>
      </c>
    </row>
    <row r="26" spans="1:20" ht="12.75" customHeight="1" x14ac:dyDescent="0.25">
      <c r="A26" s="1018"/>
      <c r="B26" s="1014" t="s">
        <v>279</v>
      </c>
      <c r="C26" s="1014"/>
      <c r="D26" s="1014"/>
      <c r="E26" s="1015" t="s">
        <v>274</v>
      </c>
      <c r="F26" s="1015" t="s">
        <v>167</v>
      </c>
      <c r="G26" s="855"/>
      <c r="H26" s="1018"/>
      <c r="I26" s="1014" t="str">
        <f>B26</f>
        <v>Resistance</v>
      </c>
      <c r="J26" s="1014"/>
      <c r="K26" s="1014"/>
      <c r="L26" s="1015" t="s">
        <v>274</v>
      </c>
      <c r="M26" s="1015" t="s">
        <v>167</v>
      </c>
      <c r="N26" s="855"/>
      <c r="O26" s="1018"/>
      <c r="P26" s="1014" t="str">
        <f>B26</f>
        <v>Resistance</v>
      </c>
      <c r="Q26" s="1014"/>
      <c r="R26" s="1014"/>
      <c r="S26" s="1015" t="s">
        <v>274</v>
      </c>
      <c r="T26" s="1015" t="s">
        <v>167</v>
      </c>
    </row>
    <row r="27" spans="1:20" ht="15" customHeight="1" x14ac:dyDescent="0.25">
      <c r="A27" s="1018"/>
      <c r="B27" s="853" t="s">
        <v>474</v>
      </c>
      <c r="C27" s="854">
        <f>C5</f>
        <v>2019</v>
      </c>
      <c r="D27" s="854">
        <f>D5</f>
        <v>2020</v>
      </c>
      <c r="E27" s="1015"/>
      <c r="F27" s="1015"/>
      <c r="G27" s="855"/>
      <c r="H27" s="1018"/>
      <c r="I27" s="853" t="s">
        <v>474</v>
      </c>
      <c r="J27" s="854">
        <f>J5</f>
        <v>2017</v>
      </c>
      <c r="K27" s="854">
        <f>K5</f>
        <v>2019</v>
      </c>
      <c r="L27" s="1015"/>
      <c r="M27" s="1015"/>
      <c r="N27" s="855"/>
      <c r="O27" s="1018"/>
      <c r="P27" s="853" t="s">
        <v>474</v>
      </c>
      <c r="Q27" s="854">
        <f>Q5</f>
        <v>2018</v>
      </c>
      <c r="R27" s="854">
        <f>R5</f>
        <v>2022</v>
      </c>
      <c r="S27" s="1015"/>
      <c r="T27" s="1015"/>
    </row>
    <row r="28" spans="1:20" ht="12.75" customHeight="1" x14ac:dyDescent="0.25">
      <c r="A28" s="1018"/>
      <c r="B28" s="862">
        <v>0.01</v>
      </c>
      <c r="C28" s="857">
        <v>9.9999999999999995E-7</v>
      </c>
      <c r="D28" s="857">
        <v>9.9999999999999995E-7</v>
      </c>
      <c r="E28" s="858">
        <v>9.9999999999999995E-7</v>
      </c>
      <c r="F28" s="862">
        <v>0.43</v>
      </c>
      <c r="G28" s="855"/>
      <c r="H28" s="1018"/>
      <c r="I28" s="862">
        <v>0.01</v>
      </c>
      <c r="J28" s="857">
        <v>9.9999999999999995E-7</v>
      </c>
      <c r="K28" s="857">
        <v>9.9999999999999995E-7</v>
      </c>
      <c r="L28" s="858">
        <v>9.9999999999999995E-7</v>
      </c>
      <c r="M28" s="862">
        <v>0.43</v>
      </c>
      <c r="N28" s="855"/>
      <c r="O28" s="1018"/>
      <c r="P28" s="862">
        <v>0.01</v>
      </c>
      <c r="Q28" s="857">
        <v>9.9999999999999995E-7</v>
      </c>
      <c r="R28" s="857">
        <v>9.9999999999999995E-7</v>
      </c>
      <c r="S28" s="858">
        <v>9.9999999999999995E-7</v>
      </c>
      <c r="T28" s="864">
        <v>1.2</v>
      </c>
    </row>
    <row r="29" spans="1:20" ht="12.75" customHeight="1" x14ac:dyDescent="0.25">
      <c r="A29" s="1018"/>
      <c r="B29" s="862">
        <v>0.1</v>
      </c>
      <c r="C29" s="865">
        <v>2E-3</v>
      </c>
      <c r="D29" s="865">
        <v>-1E-3</v>
      </c>
      <c r="E29" s="858">
        <v>9.9999999999999995E-7</v>
      </c>
      <c r="F29" s="862">
        <v>0.43</v>
      </c>
      <c r="G29" s="855"/>
      <c r="H29" s="1018"/>
      <c r="I29" s="862">
        <v>0.1</v>
      </c>
      <c r="J29" s="864">
        <v>5.0000000000000001E-3</v>
      </c>
      <c r="K29" s="865">
        <v>6.0000000000000001E-3</v>
      </c>
      <c r="L29" s="858">
        <v>9.9999999999999995E-7</v>
      </c>
      <c r="M29" s="862">
        <v>0.43</v>
      </c>
      <c r="N29" s="855"/>
      <c r="O29" s="1018"/>
      <c r="P29" s="862">
        <v>0.1</v>
      </c>
      <c r="Q29" s="857">
        <v>9.9999999999999995E-7</v>
      </c>
      <c r="R29" s="857">
        <v>9.9999999999999995E-7</v>
      </c>
      <c r="S29" s="858">
        <v>9.9999999999999995E-7</v>
      </c>
      <c r="T29" s="864">
        <v>1.2</v>
      </c>
    </row>
    <row r="30" spans="1:20" ht="12.75" customHeight="1" x14ac:dyDescent="0.25">
      <c r="A30" s="1018"/>
      <c r="B30" s="862">
        <v>1</v>
      </c>
      <c r="C30" s="865">
        <v>1.2E-2</v>
      </c>
      <c r="D30" s="865">
        <v>4.0000000000000001E-3</v>
      </c>
      <c r="E30" s="858">
        <v>9.9999999999999995E-7</v>
      </c>
      <c r="F30" s="862">
        <v>0.43</v>
      </c>
      <c r="G30" s="855"/>
      <c r="H30" s="1018"/>
      <c r="I30" s="862">
        <v>1</v>
      </c>
      <c r="J30" s="864">
        <v>5.5E-2</v>
      </c>
      <c r="K30" s="865">
        <v>4.4999999999999998E-2</v>
      </c>
      <c r="L30" s="858">
        <f t="shared" ref="L30" si="8">0.5*(MAX(J30:K30)-MIN(J30:K30))</f>
        <v>5.000000000000001E-3</v>
      </c>
      <c r="M30" s="862">
        <v>0.43</v>
      </c>
      <c r="N30" s="855"/>
      <c r="O30" s="1018"/>
      <c r="P30" s="862">
        <v>1</v>
      </c>
      <c r="Q30" s="857">
        <v>9.9999999999999995E-7</v>
      </c>
      <c r="R30" s="864">
        <v>3.0000000000000001E-3</v>
      </c>
      <c r="S30" s="858">
        <v>9.9999999999999995E-7</v>
      </c>
      <c r="T30" s="864">
        <v>1.2</v>
      </c>
    </row>
    <row r="31" spans="1:20" ht="12.75" customHeight="1" x14ac:dyDescent="0.25">
      <c r="A31" s="1018"/>
      <c r="B31" s="862">
        <v>2</v>
      </c>
      <c r="C31" s="857">
        <v>9.9999999999999995E-7</v>
      </c>
      <c r="D31" s="865">
        <v>7.0000000000000001E-3</v>
      </c>
      <c r="E31" s="858">
        <v>9.9999999999999995E-7</v>
      </c>
      <c r="F31" s="862">
        <v>0.43</v>
      </c>
      <c r="G31" s="855"/>
      <c r="H31" s="1018"/>
      <c r="I31" s="862">
        <v>2</v>
      </c>
      <c r="J31" s="857">
        <v>9.9999999999999995E-7</v>
      </c>
      <c r="K31" s="857">
        <v>9.9999999999999995E-7</v>
      </c>
      <c r="L31" s="858">
        <v>9.9999999999999995E-7</v>
      </c>
      <c r="M31" s="862">
        <v>0.43</v>
      </c>
      <c r="N31" s="855"/>
      <c r="O31" s="1018"/>
      <c r="P31" s="862">
        <v>2</v>
      </c>
      <c r="Q31" s="857">
        <v>9.9999999999999995E-7</v>
      </c>
      <c r="R31" s="864">
        <v>4.0000000000000001E-3</v>
      </c>
      <c r="S31" s="858">
        <v>9.9999999999999995E-7</v>
      </c>
      <c r="T31" s="864">
        <v>1.2</v>
      </c>
    </row>
    <row r="32" spans="1:20" x14ac:dyDescent="0.25">
      <c r="A32" s="866"/>
      <c r="B32" s="855"/>
      <c r="C32" s="855"/>
      <c r="D32" s="855"/>
      <c r="E32" s="855"/>
      <c r="F32" s="855"/>
      <c r="G32" s="855"/>
      <c r="H32" s="855"/>
      <c r="I32" s="855"/>
      <c r="J32" s="855"/>
      <c r="K32" s="855"/>
      <c r="L32" s="855"/>
      <c r="M32" s="855"/>
      <c r="N32" s="855"/>
      <c r="O32" s="855"/>
      <c r="P32" s="855"/>
      <c r="Q32" s="855"/>
      <c r="R32" s="855"/>
      <c r="S32" s="855"/>
      <c r="T32" s="867"/>
    </row>
    <row r="33" spans="1:20" ht="15" customHeight="1" x14ac:dyDescent="0.25">
      <c r="A33" s="1018" t="s">
        <v>280</v>
      </c>
      <c r="B33" s="1015" t="s">
        <v>475</v>
      </c>
      <c r="C33" s="1015"/>
      <c r="D33" s="1015"/>
      <c r="E33" s="1015"/>
      <c r="F33" s="1015"/>
      <c r="G33" s="868"/>
      <c r="H33" s="1018" t="s">
        <v>281</v>
      </c>
      <c r="I33" s="1019" t="s">
        <v>476</v>
      </c>
      <c r="J33" s="1019"/>
      <c r="K33" s="1019"/>
      <c r="L33" s="1019"/>
      <c r="M33" s="1019"/>
      <c r="N33" s="850"/>
      <c r="O33" s="1018" t="s">
        <v>282</v>
      </c>
      <c r="P33" s="1015" t="s">
        <v>477</v>
      </c>
      <c r="Q33" s="1015"/>
      <c r="R33" s="1015"/>
      <c r="S33" s="1015"/>
      <c r="T33" s="1015"/>
    </row>
    <row r="34" spans="1:20" ht="15" customHeight="1" x14ac:dyDescent="0.3">
      <c r="A34" s="1018"/>
      <c r="B34" s="1020" t="s">
        <v>272</v>
      </c>
      <c r="C34" s="1020"/>
      <c r="D34" s="1020"/>
      <c r="E34" s="1020"/>
      <c r="F34" s="1020"/>
      <c r="G34" s="851"/>
      <c r="H34" s="1018"/>
      <c r="I34" s="1020" t="s">
        <v>272</v>
      </c>
      <c r="J34" s="1020"/>
      <c r="K34" s="1020"/>
      <c r="L34" s="1020"/>
      <c r="M34" s="1020"/>
      <c r="N34" s="852"/>
      <c r="O34" s="1018"/>
      <c r="P34" s="1020" t="s">
        <v>272</v>
      </c>
      <c r="Q34" s="1020"/>
      <c r="R34" s="1020"/>
      <c r="S34" s="1020"/>
      <c r="T34" s="1020"/>
    </row>
    <row r="35" spans="1:20" ht="12.75" customHeight="1" x14ac:dyDescent="0.25">
      <c r="A35" s="1018"/>
      <c r="B35" s="1015" t="str">
        <f>B4</f>
        <v>Setting VAC</v>
      </c>
      <c r="C35" s="1015"/>
      <c r="D35" s="1015"/>
      <c r="E35" s="854" t="s">
        <v>274</v>
      </c>
      <c r="F35" s="854" t="s">
        <v>167</v>
      </c>
      <c r="G35" s="855"/>
      <c r="H35" s="1018"/>
      <c r="I35" s="1015" t="str">
        <f>B35</f>
        <v>Setting VAC</v>
      </c>
      <c r="J35" s="1015"/>
      <c r="K35" s="1015"/>
      <c r="L35" s="854" t="s">
        <v>274</v>
      </c>
      <c r="M35" s="854" t="s">
        <v>167</v>
      </c>
      <c r="N35" s="855"/>
      <c r="O35" s="1018"/>
      <c r="P35" s="1015" t="str">
        <f>I35</f>
        <v>Setting VAC</v>
      </c>
      <c r="Q35" s="1015"/>
      <c r="R35" s="1015"/>
      <c r="S35" s="1015" t="s">
        <v>274</v>
      </c>
      <c r="T35" s="1015" t="s">
        <v>167</v>
      </c>
    </row>
    <row r="36" spans="1:20" ht="15" customHeight="1" x14ac:dyDescent="0.25">
      <c r="A36" s="1018"/>
      <c r="B36" s="853" t="s">
        <v>275</v>
      </c>
      <c r="C36" s="854">
        <v>2017</v>
      </c>
      <c r="D36" s="854">
        <v>2019</v>
      </c>
      <c r="E36" s="854"/>
      <c r="F36" s="854"/>
      <c r="G36" s="855"/>
      <c r="H36" s="1018"/>
      <c r="I36" s="853" t="s">
        <v>275</v>
      </c>
      <c r="J36" s="854">
        <v>2017</v>
      </c>
      <c r="K36" s="854">
        <v>2019</v>
      </c>
      <c r="L36" s="854"/>
      <c r="M36" s="854"/>
      <c r="N36" s="855"/>
      <c r="O36" s="1018"/>
      <c r="P36" s="853" t="s">
        <v>275</v>
      </c>
      <c r="Q36" s="854">
        <v>2018</v>
      </c>
      <c r="R36" s="854">
        <v>2019</v>
      </c>
      <c r="S36" s="1015"/>
      <c r="T36" s="1015"/>
    </row>
    <row r="37" spans="1:20" ht="12.75" customHeight="1" x14ac:dyDescent="0.25">
      <c r="A37" s="1018"/>
      <c r="B37" s="862">
        <v>150</v>
      </c>
      <c r="C37" s="859">
        <v>-0.09</v>
      </c>
      <c r="D37" s="859">
        <v>0.11</v>
      </c>
      <c r="E37" s="858">
        <f>0.5*(MAX(C37:D37)-MIN(C37:D37))</f>
        <v>0.1</v>
      </c>
      <c r="F37" s="862">
        <v>0.47</v>
      </c>
      <c r="G37" s="855"/>
      <c r="H37" s="1018"/>
      <c r="I37" s="869">
        <v>150</v>
      </c>
      <c r="J37" s="859">
        <v>-0.06</v>
      </c>
      <c r="K37" s="859">
        <v>0.02</v>
      </c>
      <c r="L37" s="858">
        <f t="shared" ref="L37:L41" si="9">0.5*(MAX(J37:K37)-MIN(J37:K37))</f>
        <v>0.04</v>
      </c>
      <c r="M37" s="862">
        <v>0.47</v>
      </c>
      <c r="N37" s="855"/>
      <c r="O37" s="1018"/>
      <c r="P37" s="856">
        <v>150</v>
      </c>
      <c r="Q37" s="859">
        <v>0.03</v>
      </c>
      <c r="R37" s="859">
        <v>-0.15</v>
      </c>
      <c r="S37" s="858">
        <f t="shared" ref="S37:S41" si="10">0.5*(MAX(Q37:R37)-MIN(Q37:R37))</f>
        <v>0.09</v>
      </c>
      <c r="T37" s="861">
        <v>1.2</v>
      </c>
    </row>
    <row r="38" spans="1:20" ht="12.75" customHeight="1" x14ac:dyDescent="0.25">
      <c r="A38" s="1018"/>
      <c r="B38" s="862">
        <v>180</v>
      </c>
      <c r="C38" s="859">
        <v>-0.09</v>
      </c>
      <c r="D38" s="859">
        <v>0.03</v>
      </c>
      <c r="E38" s="858">
        <f t="shared" ref="E38:E41" si="11">0.5*(MAX(C38:D38)-MIN(C38:D38))</f>
        <v>0.06</v>
      </c>
      <c r="F38" s="862">
        <v>0.47</v>
      </c>
      <c r="G38" s="855"/>
      <c r="H38" s="1018"/>
      <c r="I38" s="869">
        <v>180</v>
      </c>
      <c r="J38" s="859">
        <v>-0.11</v>
      </c>
      <c r="K38" s="859">
        <v>0.1</v>
      </c>
      <c r="L38" s="858">
        <f t="shared" si="9"/>
        <v>0.10500000000000001</v>
      </c>
      <c r="M38" s="862">
        <v>0.47</v>
      </c>
      <c r="N38" s="855"/>
      <c r="O38" s="1018"/>
      <c r="P38" s="856">
        <v>180</v>
      </c>
      <c r="Q38" s="857">
        <v>9.9999999999999995E-7</v>
      </c>
      <c r="R38" s="859">
        <v>-0.11</v>
      </c>
      <c r="S38" s="858">
        <f t="shared" si="10"/>
        <v>5.5000500000000001E-2</v>
      </c>
      <c r="T38" s="861">
        <v>1.2</v>
      </c>
    </row>
    <row r="39" spans="1:20" ht="12.75" customHeight="1" x14ac:dyDescent="0.25">
      <c r="A39" s="1018"/>
      <c r="B39" s="862">
        <v>200</v>
      </c>
      <c r="C39" s="859">
        <v>-0.14000000000000001</v>
      </c>
      <c r="D39" s="859">
        <v>0.05</v>
      </c>
      <c r="E39" s="858">
        <f t="shared" si="11"/>
        <v>9.5000000000000001E-2</v>
      </c>
      <c r="F39" s="862">
        <v>0.47</v>
      </c>
      <c r="G39" s="855"/>
      <c r="H39" s="1018"/>
      <c r="I39" s="869">
        <v>200</v>
      </c>
      <c r="J39" s="859">
        <v>-0.17</v>
      </c>
      <c r="K39" s="859">
        <v>-0.03</v>
      </c>
      <c r="L39" s="858">
        <f t="shared" si="9"/>
        <v>7.0000000000000007E-2</v>
      </c>
      <c r="M39" s="862">
        <v>0.47</v>
      </c>
      <c r="N39" s="855"/>
      <c r="O39" s="1018"/>
      <c r="P39" s="856">
        <v>200</v>
      </c>
      <c r="Q39" s="859">
        <v>0.05</v>
      </c>
      <c r="R39" s="859">
        <v>-0.1</v>
      </c>
      <c r="S39" s="858">
        <f t="shared" si="10"/>
        <v>7.5000000000000011E-2</v>
      </c>
      <c r="T39" s="861">
        <v>1.2</v>
      </c>
    </row>
    <row r="40" spans="1:20" ht="12.75" customHeight="1" x14ac:dyDescent="0.25">
      <c r="A40" s="1018"/>
      <c r="B40" s="862">
        <v>220</v>
      </c>
      <c r="C40" s="859">
        <v>-0.19</v>
      </c>
      <c r="D40" s="859">
        <v>0.1</v>
      </c>
      <c r="E40" s="858">
        <f t="shared" si="11"/>
        <v>0.14500000000000002</v>
      </c>
      <c r="F40" s="862">
        <v>0.47</v>
      </c>
      <c r="G40" s="855"/>
      <c r="H40" s="1018"/>
      <c r="I40" s="869">
        <v>220</v>
      </c>
      <c r="J40" s="859">
        <v>-0.25</v>
      </c>
      <c r="K40" s="859">
        <v>0.38</v>
      </c>
      <c r="L40" s="858">
        <f t="shared" si="9"/>
        <v>0.315</v>
      </c>
      <c r="M40" s="862">
        <v>0.47</v>
      </c>
      <c r="N40" s="855"/>
      <c r="O40" s="1018"/>
      <c r="P40" s="856">
        <v>220</v>
      </c>
      <c r="Q40" s="859">
        <v>0.05</v>
      </c>
      <c r="R40" s="859">
        <v>-0.13</v>
      </c>
      <c r="S40" s="858">
        <f t="shared" si="10"/>
        <v>0.09</v>
      </c>
      <c r="T40" s="861">
        <v>1.2</v>
      </c>
    </row>
    <row r="41" spans="1:20" ht="12.75" customHeight="1" x14ac:dyDescent="0.25">
      <c r="A41" s="1018"/>
      <c r="B41" s="862">
        <v>230</v>
      </c>
      <c r="C41" s="859">
        <v>-0.2</v>
      </c>
      <c r="D41" s="859">
        <v>0.36799999999999999</v>
      </c>
      <c r="E41" s="858">
        <f t="shared" si="11"/>
        <v>0.28400000000000003</v>
      </c>
      <c r="F41" s="862">
        <v>0.47</v>
      </c>
      <c r="G41" s="855"/>
      <c r="H41" s="1018"/>
      <c r="I41" s="869">
        <v>230</v>
      </c>
      <c r="J41" s="859">
        <v>-0.23</v>
      </c>
      <c r="K41" s="859">
        <v>-0.16</v>
      </c>
      <c r="L41" s="858">
        <f t="shared" si="9"/>
        <v>3.5000000000000003E-2</v>
      </c>
      <c r="M41" s="862">
        <v>0.47</v>
      </c>
      <c r="N41" s="855"/>
      <c r="O41" s="1018"/>
      <c r="P41" s="856">
        <v>230</v>
      </c>
      <c r="Q41" s="859">
        <v>-0.05</v>
      </c>
      <c r="R41" s="859">
        <v>-0.15</v>
      </c>
      <c r="S41" s="858">
        <f t="shared" si="10"/>
        <v>4.9999999999999996E-2</v>
      </c>
      <c r="T41" s="861">
        <v>1.2</v>
      </c>
    </row>
    <row r="42" spans="1:20" ht="12.75" customHeight="1" x14ac:dyDescent="0.25">
      <c r="A42" s="1018"/>
      <c r="B42" s="862">
        <v>250</v>
      </c>
      <c r="C42" s="857">
        <v>9.9999999999999995E-7</v>
      </c>
      <c r="D42" s="857">
        <v>9.9999999999999995E-7</v>
      </c>
      <c r="E42" s="858">
        <v>9.9999999999999995E-7</v>
      </c>
      <c r="F42" s="862">
        <v>0.47</v>
      </c>
      <c r="G42" s="855"/>
      <c r="H42" s="1018"/>
      <c r="I42" s="869">
        <v>250</v>
      </c>
      <c r="J42" s="857">
        <v>9.9999999999999995E-7</v>
      </c>
      <c r="K42" s="857">
        <v>9.9999999999999995E-7</v>
      </c>
      <c r="L42" s="858">
        <v>9.9999999999999995E-7</v>
      </c>
      <c r="M42" s="862">
        <v>0.47</v>
      </c>
      <c r="N42" s="855"/>
      <c r="O42" s="1018"/>
      <c r="P42" s="856">
        <v>250</v>
      </c>
      <c r="Q42" s="857">
        <v>9.9999999999999995E-7</v>
      </c>
      <c r="R42" s="857">
        <v>9.9999999999999995E-7</v>
      </c>
      <c r="S42" s="858">
        <v>9.9999999999999995E-7</v>
      </c>
      <c r="T42" s="861">
        <v>1.2</v>
      </c>
    </row>
    <row r="43" spans="1:20" ht="12.75" customHeight="1" x14ac:dyDescent="0.25">
      <c r="A43" s="1018"/>
      <c r="B43" s="1014" t="str">
        <f>B12</f>
        <v>Current Leakage</v>
      </c>
      <c r="C43" s="1014"/>
      <c r="D43" s="1014"/>
      <c r="E43" s="854" t="s">
        <v>274</v>
      </c>
      <c r="F43" s="854" t="s">
        <v>167</v>
      </c>
      <c r="G43" s="855"/>
      <c r="H43" s="1018"/>
      <c r="I43" s="1014" t="str">
        <f>B43</f>
        <v>Current Leakage</v>
      </c>
      <c r="J43" s="1014"/>
      <c r="K43" s="1014"/>
      <c r="L43" s="854" t="s">
        <v>274</v>
      </c>
      <c r="M43" s="854" t="s">
        <v>167</v>
      </c>
      <c r="N43" s="855"/>
      <c r="O43" s="1018"/>
      <c r="P43" s="1014" t="str">
        <f>I43</f>
        <v>Current Leakage</v>
      </c>
      <c r="Q43" s="1014"/>
      <c r="R43" s="1014"/>
      <c r="S43" s="1015" t="s">
        <v>274</v>
      </c>
      <c r="T43" s="1015" t="s">
        <v>167</v>
      </c>
    </row>
    <row r="44" spans="1:20" ht="15" customHeight="1" x14ac:dyDescent="0.25">
      <c r="A44" s="1018"/>
      <c r="B44" s="853" t="s">
        <v>277</v>
      </c>
      <c r="C44" s="854">
        <f>C36</f>
        <v>2017</v>
      </c>
      <c r="D44" s="854">
        <f>D36</f>
        <v>2019</v>
      </c>
      <c r="E44" s="854"/>
      <c r="F44" s="854"/>
      <c r="G44" s="855"/>
      <c r="H44" s="1018"/>
      <c r="I44" s="853" t="s">
        <v>277</v>
      </c>
      <c r="J44" s="854">
        <f>J36</f>
        <v>2017</v>
      </c>
      <c r="K44" s="854">
        <f>K36</f>
        <v>2019</v>
      </c>
      <c r="L44" s="854"/>
      <c r="M44" s="854"/>
      <c r="N44" s="855"/>
      <c r="O44" s="1018"/>
      <c r="P44" s="853" t="s">
        <v>277</v>
      </c>
      <c r="Q44" s="854">
        <f>Q36</f>
        <v>2018</v>
      </c>
      <c r="R44" s="854">
        <f>R36</f>
        <v>2019</v>
      </c>
      <c r="S44" s="1015"/>
      <c r="T44" s="1015"/>
    </row>
    <row r="45" spans="1:20" ht="12.75" customHeight="1" x14ac:dyDescent="0.25">
      <c r="A45" s="1018"/>
      <c r="B45" s="862">
        <v>0</v>
      </c>
      <c r="C45" s="857">
        <v>9.9999999999999995E-7</v>
      </c>
      <c r="D45" s="857">
        <v>9.9999999999999995E-7</v>
      </c>
      <c r="E45" s="858">
        <v>9.9999999999999995E-7</v>
      </c>
      <c r="F45" s="862">
        <v>0.28999999999999998</v>
      </c>
      <c r="G45" s="855"/>
      <c r="H45" s="1018"/>
      <c r="I45" s="869">
        <v>0</v>
      </c>
      <c r="J45" s="857">
        <v>9.9999999999999995E-7</v>
      </c>
      <c r="K45" s="857">
        <v>9.9999999999999995E-7</v>
      </c>
      <c r="L45" s="858">
        <v>9.9999999999999995E-7</v>
      </c>
      <c r="M45" s="862">
        <v>0.28999999999999998</v>
      </c>
      <c r="N45" s="855"/>
      <c r="O45" s="1018"/>
      <c r="P45" s="862">
        <v>9.9999999999999995E-7</v>
      </c>
      <c r="Q45" s="857">
        <v>9.9999999999999995E-7</v>
      </c>
      <c r="R45" s="857">
        <v>9.9999999999999995E-7</v>
      </c>
      <c r="S45" s="858">
        <v>9.9999999999999995E-7</v>
      </c>
      <c r="T45" s="862">
        <v>0.59</v>
      </c>
    </row>
    <row r="46" spans="1:20" ht="12.75" customHeight="1" x14ac:dyDescent="0.25">
      <c r="A46" s="1018"/>
      <c r="B46" s="862">
        <v>50</v>
      </c>
      <c r="C46" s="859">
        <v>-0.1</v>
      </c>
      <c r="D46" s="859">
        <v>0.2</v>
      </c>
      <c r="E46" s="858">
        <f t="shared" ref="E46:E50" si="12">0.5*(MAX(C46:D46)-MIN(C46:D46))</f>
        <v>0.15000000000000002</v>
      </c>
      <c r="F46" s="862">
        <v>0.28999999999999998</v>
      </c>
      <c r="G46" s="855"/>
      <c r="H46" s="1018"/>
      <c r="I46" s="869">
        <v>50</v>
      </c>
      <c r="J46" s="859">
        <v>4.7</v>
      </c>
      <c r="K46" s="859">
        <v>-0.33</v>
      </c>
      <c r="L46" s="858">
        <f t="shared" ref="L46:L50" si="13">0.5*(MAX(J46:K46)-MIN(J46:K46))</f>
        <v>2.5150000000000001</v>
      </c>
      <c r="M46" s="862">
        <v>0.28999999999999998</v>
      </c>
      <c r="N46" s="855"/>
      <c r="O46" s="1018"/>
      <c r="P46" s="862">
        <v>50</v>
      </c>
      <c r="Q46" s="859">
        <v>2.1</v>
      </c>
      <c r="R46" s="859">
        <v>2.6</v>
      </c>
      <c r="S46" s="858">
        <f t="shared" ref="S46:S50" si="14">0.5*(MAX(Q46:R46)-MIN(Q46:R46))</f>
        <v>0.25</v>
      </c>
      <c r="T46" s="862">
        <v>0.59</v>
      </c>
    </row>
    <row r="47" spans="1:20" ht="12.75" customHeight="1" x14ac:dyDescent="0.25">
      <c r="A47" s="1018"/>
      <c r="B47" s="862">
        <v>100</v>
      </c>
      <c r="C47" s="859">
        <v>-0.1</v>
      </c>
      <c r="D47" s="859">
        <v>0.3</v>
      </c>
      <c r="E47" s="858">
        <f t="shared" si="12"/>
        <v>0.2</v>
      </c>
      <c r="F47" s="862">
        <v>0.28999999999999998</v>
      </c>
      <c r="G47" s="855"/>
      <c r="H47" s="1018"/>
      <c r="I47" s="869">
        <v>100</v>
      </c>
      <c r="J47" s="859">
        <v>4.4000000000000004</v>
      </c>
      <c r="K47" s="859">
        <v>-0.42</v>
      </c>
      <c r="L47" s="858">
        <f t="shared" si="13"/>
        <v>2.41</v>
      </c>
      <c r="M47" s="862">
        <v>0.28999999999999998</v>
      </c>
      <c r="N47" s="855"/>
      <c r="O47" s="1018"/>
      <c r="P47" s="862">
        <v>100</v>
      </c>
      <c r="Q47" s="859">
        <v>2.2999999999999998</v>
      </c>
      <c r="R47" s="859">
        <v>2.6</v>
      </c>
      <c r="S47" s="858">
        <f t="shared" si="14"/>
        <v>0.15000000000000013</v>
      </c>
      <c r="T47" s="862">
        <v>0.59</v>
      </c>
    </row>
    <row r="48" spans="1:20" ht="12.75" customHeight="1" x14ac:dyDescent="0.25">
      <c r="A48" s="1018"/>
      <c r="B48" s="862">
        <v>200</v>
      </c>
      <c r="C48" s="859">
        <v>1.1000000000000001</v>
      </c>
      <c r="D48" s="859">
        <v>1.4</v>
      </c>
      <c r="E48" s="858">
        <f t="shared" si="12"/>
        <v>0.14999999999999991</v>
      </c>
      <c r="F48" s="862">
        <v>0.28999999999999998</v>
      </c>
      <c r="G48" s="855"/>
      <c r="H48" s="1018"/>
      <c r="I48" s="869">
        <v>200</v>
      </c>
      <c r="J48" s="859">
        <v>15.6</v>
      </c>
      <c r="K48" s="859">
        <v>1.3</v>
      </c>
      <c r="L48" s="858">
        <f t="shared" si="13"/>
        <v>7.1499999999999995</v>
      </c>
      <c r="M48" s="862">
        <v>0.28999999999999998</v>
      </c>
      <c r="N48" s="855"/>
      <c r="O48" s="1018"/>
      <c r="P48" s="862">
        <v>200</v>
      </c>
      <c r="Q48" s="859">
        <v>0.2</v>
      </c>
      <c r="R48" s="859">
        <v>3.1</v>
      </c>
      <c r="S48" s="858">
        <f t="shared" si="14"/>
        <v>1.45</v>
      </c>
      <c r="T48" s="862">
        <v>0.59</v>
      </c>
    </row>
    <row r="49" spans="1:20" ht="12.75" customHeight="1" x14ac:dyDescent="0.25">
      <c r="A49" s="1018"/>
      <c r="B49" s="862">
        <v>500</v>
      </c>
      <c r="C49" s="859">
        <v>0.9</v>
      </c>
      <c r="D49" s="859">
        <v>2.8</v>
      </c>
      <c r="E49" s="858">
        <f t="shared" si="12"/>
        <v>0.95</v>
      </c>
      <c r="F49" s="862">
        <v>0.28999999999999998</v>
      </c>
      <c r="G49" s="855"/>
      <c r="H49" s="1018"/>
      <c r="I49" s="869">
        <v>500</v>
      </c>
      <c r="J49" s="859">
        <v>14.3</v>
      </c>
      <c r="K49" s="859">
        <v>0.7</v>
      </c>
      <c r="L49" s="858">
        <f t="shared" si="13"/>
        <v>6.8000000000000007</v>
      </c>
      <c r="M49" s="862">
        <v>0.28999999999999998</v>
      </c>
      <c r="N49" s="855"/>
      <c r="O49" s="1018"/>
      <c r="P49" s="862">
        <v>500</v>
      </c>
      <c r="Q49" s="859">
        <v>2.8</v>
      </c>
      <c r="R49" s="859">
        <v>3.9</v>
      </c>
      <c r="S49" s="858">
        <f t="shared" si="14"/>
        <v>0.55000000000000004</v>
      </c>
      <c r="T49" s="862">
        <v>0.59</v>
      </c>
    </row>
    <row r="50" spans="1:20" ht="12.75" customHeight="1" x14ac:dyDescent="0.25">
      <c r="A50" s="1018"/>
      <c r="B50" s="862">
        <v>1000</v>
      </c>
      <c r="C50" s="859">
        <v>2</v>
      </c>
      <c r="D50" s="859">
        <v>1.2E-2</v>
      </c>
      <c r="E50" s="858">
        <f t="shared" si="12"/>
        <v>0.99399999999999999</v>
      </c>
      <c r="F50" s="862">
        <v>0.28999999999999998</v>
      </c>
      <c r="G50" s="855"/>
      <c r="H50" s="1018"/>
      <c r="I50" s="869">
        <v>1000</v>
      </c>
      <c r="J50" s="859">
        <v>15</v>
      </c>
      <c r="K50" s="859">
        <v>2E-3</v>
      </c>
      <c r="L50" s="858">
        <f t="shared" si="13"/>
        <v>7.4989999999999997</v>
      </c>
      <c r="M50" s="862">
        <v>0.28999999999999998</v>
      </c>
      <c r="N50" s="855"/>
      <c r="O50" s="1018"/>
      <c r="P50" s="862">
        <v>1000</v>
      </c>
      <c r="Q50" s="864">
        <v>13</v>
      </c>
      <c r="R50" s="864">
        <v>5.0000000000000001E-3</v>
      </c>
      <c r="S50" s="858">
        <f t="shared" si="14"/>
        <v>6.4974999999999996</v>
      </c>
      <c r="T50" s="862">
        <v>0.59</v>
      </c>
    </row>
    <row r="51" spans="1:20" ht="12.75" customHeight="1" x14ac:dyDescent="0.25">
      <c r="A51" s="1018"/>
      <c r="B51" s="1014" t="str">
        <f>B20</f>
        <v>Main-PE</v>
      </c>
      <c r="C51" s="1014"/>
      <c r="D51" s="1014"/>
      <c r="E51" s="854" t="s">
        <v>274</v>
      </c>
      <c r="F51" s="854" t="s">
        <v>167</v>
      </c>
      <c r="G51" s="855"/>
      <c r="H51" s="1018"/>
      <c r="I51" s="1014" t="str">
        <f>B51</f>
        <v>Main-PE</v>
      </c>
      <c r="J51" s="1014"/>
      <c r="K51" s="1014"/>
      <c r="L51" s="854" t="s">
        <v>274</v>
      </c>
      <c r="M51" s="854" t="s">
        <v>167</v>
      </c>
      <c r="N51" s="855"/>
      <c r="O51" s="1018"/>
      <c r="P51" s="1014" t="str">
        <f>I51</f>
        <v>Main-PE</v>
      </c>
      <c r="Q51" s="1014"/>
      <c r="R51" s="1014"/>
      <c r="S51" s="1015" t="s">
        <v>274</v>
      </c>
      <c r="T51" s="1015" t="s">
        <v>167</v>
      </c>
    </row>
    <row r="52" spans="1:20" ht="15" customHeight="1" x14ac:dyDescent="0.25">
      <c r="A52" s="1018"/>
      <c r="B52" s="853" t="s">
        <v>473</v>
      </c>
      <c r="C52" s="854">
        <f>C36</f>
        <v>2017</v>
      </c>
      <c r="D52" s="854">
        <f>D36</f>
        <v>2019</v>
      </c>
      <c r="E52" s="854"/>
      <c r="F52" s="854"/>
      <c r="G52" s="855"/>
      <c r="H52" s="1018"/>
      <c r="I52" s="853" t="s">
        <v>473</v>
      </c>
      <c r="J52" s="854">
        <f>J36</f>
        <v>2017</v>
      </c>
      <c r="K52" s="854">
        <f>K36</f>
        <v>2019</v>
      </c>
      <c r="L52" s="854"/>
      <c r="M52" s="854"/>
      <c r="N52" s="855"/>
      <c r="O52" s="1018"/>
      <c r="P52" s="853" t="s">
        <v>473</v>
      </c>
      <c r="Q52" s="854">
        <f>Q36</f>
        <v>2018</v>
      </c>
      <c r="R52" s="854">
        <f>R36</f>
        <v>2019</v>
      </c>
      <c r="S52" s="1015"/>
      <c r="T52" s="1015"/>
    </row>
    <row r="53" spans="1:20" ht="12.75" customHeight="1" x14ac:dyDescent="0.25">
      <c r="A53" s="1018"/>
      <c r="B53" s="862">
        <v>10</v>
      </c>
      <c r="C53" s="857">
        <v>9.9999999999999995E-7</v>
      </c>
      <c r="D53" s="859">
        <v>0.1</v>
      </c>
      <c r="E53" s="858">
        <f>0.5*(MAX(C53:D53)-MIN(C53:D53))</f>
        <v>4.9999500000000002E-2</v>
      </c>
      <c r="F53" s="861">
        <v>1.3</v>
      </c>
      <c r="G53" s="855"/>
      <c r="H53" s="1018"/>
      <c r="I53" s="862">
        <v>10</v>
      </c>
      <c r="J53" s="857">
        <v>9.9999999999999995E-7</v>
      </c>
      <c r="K53" s="859">
        <v>0.1</v>
      </c>
      <c r="L53" s="858">
        <f>0.5*(MAX(J53:K53)-MIN(J53:K53))</f>
        <v>4.9999500000000002E-2</v>
      </c>
      <c r="M53" s="861">
        <v>1.3</v>
      </c>
      <c r="N53" s="855"/>
      <c r="O53" s="1018"/>
      <c r="P53" s="862">
        <v>10</v>
      </c>
      <c r="Q53" s="857">
        <v>9.9999999999999995E-7</v>
      </c>
      <c r="R53" s="859">
        <v>0.1</v>
      </c>
      <c r="S53" s="858">
        <f t="shared" ref="S53:S56" si="15">0.5*(MAX(Q53:R53)-MIN(Q53:R53))</f>
        <v>4.9999500000000002E-2</v>
      </c>
      <c r="T53" s="861">
        <v>1.7</v>
      </c>
    </row>
    <row r="54" spans="1:20" ht="12.75" customHeight="1" x14ac:dyDescent="0.25">
      <c r="A54" s="1018"/>
      <c r="B54" s="862">
        <v>20</v>
      </c>
      <c r="C54" s="859">
        <v>0.1</v>
      </c>
      <c r="D54" s="859">
        <v>0.2</v>
      </c>
      <c r="E54" s="858">
        <f t="shared" ref="E54:E56" si="16">0.5*(MAX(C54:D54)-MIN(C54:D54))</f>
        <v>0.05</v>
      </c>
      <c r="F54" s="861">
        <v>1.3</v>
      </c>
      <c r="G54" s="855"/>
      <c r="H54" s="1018"/>
      <c r="I54" s="862">
        <v>20</v>
      </c>
      <c r="J54" s="859">
        <v>0.1</v>
      </c>
      <c r="K54" s="859">
        <v>0.1</v>
      </c>
      <c r="L54" s="858">
        <v>9.9999999999999995E-7</v>
      </c>
      <c r="M54" s="861">
        <v>1.3</v>
      </c>
      <c r="N54" s="855"/>
      <c r="O54" s="1018"/>
      <c r="P54" s="862">
        <v>20</v>
      </c>
      <c r="Q54" s="859">
        <v>0.1</v>
      </c>
      <c r="R54" s="859">
        <v>0.1</v>
      </c>
      <c r="S54" s="858">
        <v>9.9999999999999995E-7</v>
      </c>
      <c r="T54" s="861">
        <v>1.7</v>
      </c>
    </row>
    <row r="55" spans="1:20" ht="12.75" customHeight="1" x14ac:dyDescent="0.25">
      <c r="A55" s="1018"/>
      <c r="B55" s="862">
        <v>50</v>
      </c>
      <c r="C55" s="859">
        <v>0.3</v>
      </c>
      <c r="D55" s="859">
        <v>0.5</v>
      </c>
      <c r="E55" s="858">
        <f t="shared" si="16"/>
        <v>0.1</v>
      </c>
      <c r="F55" s="861">
        <v>1.3</v>
      </c>
      <c r="G55" s="855"/>
      <c r="H55" s="1018"/>
      <c r="I55" s="862">
        <v>50</v>
      </c>
      <c r="J55" s="859">
        <v>0.3</v>
      </c>
      <c r="K55" s="859">
        <v>0.4</v>
      </c>
      <c r="L55" s="858">
        <f>0.5*(MAX(J55:K55)-MIN(J55:K55))</f>
        <v>5.0000000000000017E-2</v>
      </c>
      <c r="M55" s="861">
        <v>1.3</v>
      </c>
      <c r="N55" s="855"/>
      <c r="O55" s="1018"/>
      <c r="P55" s="862">
        <v>50</v>
      </c>
      <c r="Q55" s="859">
        <v>0.3</v>
      </c>
      <c r="R55" s="859">
        <v>0.3</v>
      </c>
      <c r="S55" s="858">
        <v>9.9999999999999995E-7</v>
      </c>
      <c r="T55" s="861">
        <v>1.7</v>
      </c>
    </row>
    <row r="56" spans="1:20" ht="12.75" customHeight="1" x14ac:dyDescent="0.25">
      <c r="A56" s="1018"/>
      <c r="B56" s="862">
        <v>100</v>
      </c>
      <c r="C56" s="859">
        <v>0.6</v>
      </c>
      <c r="D56" s="859">
        <v>1</v>
      </c>
      <c r="E56" s="858">
        <f t="shared" si="16"/>
        <v>0.2</v>
      </c>
      <c r="F56" s="861">
        <v>1.3</v>
      </c>
      <c r="G56" s="855"/>
      <c r="H56" s="1018"/>
      <c r="I56" s="862">
        <v>100</v>
      </c>
      <c r="J56" s="859">
        <v>1.3</v>
      </c>
      <c r="K56" s="859">
        <v>0.8</v>
      </c>
      <c r="L56" s="858">
        <f>0.5*(MAX(J56:K56)-MIN(J56:K56))</f>
        <v>0.25</v>
      </c>
      <c r="M56" s="861">
        <v>1.3</v>
      </c>
      <c r="N56" s="855"/>
      <c r="O56" s="1018"/>
      <c r="P56" s="862">
        <v>100</v>
      </c>
      <c r="Q56" s="859">
        <v>0.9</v>
      </c>
      <c r="R56" s="859">
        <v>0.6</v>
      </c>
      <c r="S56" s="858">
        <f t="shared" si="15"/>
        <v>0.15000000000000002</v>
      </c>
      <c r="T56" s="861">
        <v>1.7</v>
      </c>
    </row>
    <row r="57" spans="1:20" ht="12.75" customHeight="1" x14ac:dyDescent="0.25">
      <c r="A57" s="1018"/>
      <c r="B57" s="1014" t="str">
        <f>B26</f>
        <v>Resistance</v>
      </c>
      <c r="C57" s="1014"/>
      <c r="D57" s="1014"/>
      <c r="E57" s="854" t="s">
        <v>274</v>
      </c>
      <c r="F57" s="854" t="s">
        <v>167</v>
      </c>
      <c r="G57" s="855"/>
      <c r="H57" s="1018"/>
      <c r="I57" s="1014" t="str">
        <f>B57</f>
        <v>Resistance</v>
      </c>
      <c r="J57" s="1014"/>
      <c r="K57" s="1014"/>
      <c r="L57" s="854" t="s">
        <v>274</v>
      </c>
      <c r="M57" s="854" t="s">
        <v>167</v>
      </c>
      <c r="N57" s="855"/>
      <c r="O57" s="1018"/>
      <c r="P57" s="1014" t="str">
        <f>I57</f>
        <v>Resistance</v>
      </c>
      <c r="Q57" s="1014"/>
      <c r="R57" s="1014"/>
      <c r="S57" s="1015" t="s">
        <v>274</v>
      </c>
      <c r="T57" s="1015" t="s">
        <v>167</v>
      </c>
    </row>
    <row r="58" spans="1:20" ht="15" customHeight="1" x14ac:dyDescent="0.25">
      <c r="A58" s="1018"/>
      <c r="B58" s="853" t="s">
        <v>474</v>
      </c>
      <c r="C58" s="854">
        <f>C36</f>
        <v>2017</v>
      </c>
      <c r="D58" s="854">
        <f>D36</f>
        <v>2019</v>
      </c>
      <c r="E58" s="854"/>
      <c r="F58" s="854"/>
      <c r="G58" s="855"/>
      <c r="H58" s="1018"/>
      <c r="I58" s="853" t="s">
        <v>474</v>
      </c>
      <c r="J58" s="854">
        <f>J36</f>
        <v>2017</v>
      </c>
      <c r="K58" s="854">
        <f>K36</f>
        <v>2019</v>
      </c>
      <c r="L58" s="854"/>
      <c r="M58" s="854"/>
      <c r="N58" s="855"/>
      <c r="O58" s="1018"/>
      <c r="P58" s="853" t="s">
        <v>474</v>
      </c>
      <c r="Q58" s="854">
        <f>Q36</f>
        <v>2018</v>
      </c>
      <c r="R58" s="854">
        <f>R36</f>
        <v>2019</v>
      </c>
      <c r="S58" s="1015"/>
      <c r="T58" s="1015"/>
    </row>
    <row r="59" spans="1:20" ht="12.75" customHeight="1" x14ac:dyDescent="0.25">
      <c r="A59" s="1018"/>
      <c r="B59" s="862">
        <v>0.01</v>
      </c>
      <c r="C59" s="857">
        <v>9.9999999999999995E-7</v>
      </c>
      <c r="D59" s="857">
        <v>9.9999999999999995E-7</v>
      </c>
      <c r="E59" s="858">
        <v>9.9999999999999995E-7</v>
      </c>
      <c r="F59" s="862">
        <v>0.43</v>
      </c>
      <c r="G59" s="855"/>
      <c r="H59" s="1018"/>
      <c r="I59" s="869">
        <v>0.01</v>
      </c>
      <c r="J59" s="857">
        <v>9.9999999999999995E-7</v>
      </c>
      <c r="K59" s="857">
        <v>9.9999999999999995E-7</v>
      </c>
      <c r="L59" s="858">
        <v>9.9999999999999995E-7</v>
      </c>
      <c r="M59" s="862">
        <v>0.43</v>
      </c>
      <c r="N59" s="855"/>
      <c r="O59" s="1018"/>
      <c r="P59" s="862">
        <v>0.01</v>
      </c>
      <c r="Q59" s="857">
        <v>9.9999999999999995E-7</v>
      </c>
      <c r="R59" s="857">
        <v>9.9999999999999995E-7</v>
      </c>
      <c r="S59" s="858">
        <v>9.9999999999999995E-7</v>
      </c>
      <c r="T59" s="862">
        <v>1.2</v>
      </c>
    </row>
    <row r="60" spans="1:20" ht="12.75" customHeight="1" x14ac:dyDescent="0.25">
      <c r="A60" s="1018"/>
      <c r="B60" s="862">
        <v>0.1</v>
      </c>
      <c r="C60" s="864">
        <v>6.0000000000000001E-3</v>
      </c>
      <c r="D60" s="857">
        <v>9.9999999999999995E-7</v>
      </c>
      <c r="E60" s="858">
        <v>9.9999999999999995E-7</v>
      </c>
      <c r="F60" s="862">
        <v>0.43</v>
      </c>
      <c r="G60" s="855"/>
      <c r="H60" s="1018"/>
      <c r="I60" s="869">
        <v>0.1</v>
      </c>
      <c r="J60" s="864">
        <v>2E-3</v>
      </c>
      <c r="K60" s="864">
        <v>2E-3</v>
      </c>
      <c r="L60" s="858">
        <v>9.9999999999999995E-7</v>
      </c>
      <c r="M60" s="862">
        <v>0.43</v>
      </c>
      <c r="N60" s="855"/>
      <c r="O60" s="1018"/>
      <c r="P60" s="862">
        <v>0.1</v>
      </c>
      <c r="Q60" s="864">
        <v>1E-3</v>
      </c>
      <c r="R60" s="864">
        <v>-2E-3</v>
      </c>
      <c r="S60" s="858">
        <v>9.9999999999999995E-7</v>
      </c>
      <c r="T60" s="862">
        <v>1.2</v>
      </c>
    </row>
    <row r="61" spans="1:20" ht="12.75" customHeight="1" x14ac:dyDescent="0.25">
      <c r="A61" s="1018"/>
      <c r="B61" s="862">
        <v>1</v>
      </c>
      <c r="C61" s="864">
        <v>7.0000000000000001E-3</v>
      </c>
      <c r="D61" s="864">
        <v>-1E-3</v>
      </c>
      <c r="E61" s="858">
        <v>9.9999999999999995E-7</v>
      </c>
      <c r="F61" s="862">
        <v>0.43</v>
      </c>
      <c r="G61" s="855"/>
      <c r="H61" s="1018"/>
      <c r="I61" s="869">
        <v>1</v>
      </c>
      <c r="J61" s="864">
        <v>3.0000000000000001E-3</v>
      </c>
      <c r="K61" s="864">
        <v>1.2E-2</v>
      </c>
      <c r="L61" s="858">
        <v>9.9999999999999995E-7</v>
      </c>
      <c r="M61" s="862">
        <v>0.43</v>
      </c>
      <c r="N61" s="855"/>
      <c r="O61" s="1018"/>
      <c r="P61" s="862">
        <v>1</v>
      </c>
      <c r="Q61" s="864">
        <v>2E-3</v>
      </c>
      <c r="R61" s="864">
        <v>-1E-3</v>
      </c>
      <c r="S61" s="858">
        <v>9.9999999999999995E-7</v>
      </c>
      <c r="T61" s="862">
        <v>1.2</v>
      </c>
    </row>
    <row r="62" spans="1:20" ht="12.75" customHeight="1" x14ac:dyDescent="0.25">
      <c r="A62" s="1018"/>
      <c r="B62" s="862">
        <v>2</v>
      </c>
      <c r="C62" s="857">
        <v>9.9999999999999995E-7</v>
      </c>
      <c r="D62" s="857">
        <v>9.9999999999999995E-7</v>
      </c>
      <c r="E62" s="858">
        <v>9.9999999999999995E-7</v>
      </c>
      <c r="F62" s="862">
        <v>0.43</v>
      </c>
      <c r="G62" s="855"/>
      <c r="H62" s="1018"/>
      <c r="I62" s="869">
        <v>2</v>
      </c>
      <c r="J62" s="857">
        <v>9.9999999999999995E-7</v>
      </c>
      <c r="K62" s="857">
        <v>9.9999999999999995E-7</v>
      </c>
      <c r="L62" s="858">
        <v>9.9999999999999995E-7</v>
      </c>
      <c r="M62" s="862">
        <v>0.43</v>
      </c>
      <c r="N62" s="855"/>
      <c r="O62" s="1018"/>
      <c r="P62" s="862">
        <v>2</v>
      </c>
      <c r="Q62" s="857">
        <v>9.9999999999999995E-7</v>
      </c>
      <c r="R62" s="857">
        <v>9.9999999999999995E-7</v>
      </c>
      <c r="S62" s="858">
        <v>9.9999999999999995E-7</v>
      </c>
      <c r="T62" s="862">
        <v>1.2</v>
      </c>
    </row>
    <row r="63" spans="1:20" ht="15.5" x14ac:dyDescent="0.25">
      <c r="A63" s="870"/>
      <c r="B63" s="871"/>
      <c r="C63" s="872"/>
      <c r="D63" s="872"/>
      <c r="E63" s="872"/>
      <c r="F63" s="872"/>
      <c r="G63" s="855"/>
      <c r="H63" s="873"/>
      <c r="I63" s="874"/>
      <c r="J63" s="872"/>
      <c r="K63" s="872"/>
      <c r="L63" s="872"/>
      <c r="M63" s="872"/>
      <c r="N63" s="855"/>
      <c r="O63" s="873"/>
      <c r="P63" s="871"/>
      <c r="Q63" s="872"/>
      <c r="R63" s="855"/>
      <c r="S63" s="855"/>
      <c r="T63" s="867"/>
    </row>
    <row r="64" spans="1:20" ht="15" customHeight="1" x14ac:dyDescent="0.25">
      <c r="A64" s="1018" t="s">
        <v>283</v>
      </c>
      <c r="B64" s="1015" t="s">
        <v>478</v>
      </c>
      <c r="C64" s="1015"/>
      <c r="D64" s="1015"/>
      <c r="E64" s="1015"/>
      <c r="F64" s="1015"/>
      <c r="G64" s="849"/>
      <c r="H64" s="1018" t="s">
        <v>479</v>
      </c>
      <c r="I64" s="1019" t="s">
        <v>480</v>
      </c>
      <c r="J64" s="1019"/>
      <c r="K64" s="1019"/>
      <c r="L64" s="1019"/>
      <c r="M64" s="1019"/>
      <c r="N64" s="850"/>
      <c r="O64" s="1018" t="s">
        <v>54</v>
      </c>
      <c r="P64" s="1019" t="s">
        <v>481</v>
      </c>
      <c r="Q64" s="1019"/>
      <c r="R64" s="1019"/>
      <c r="S64" s="1019"/>
      <c r="T64" s="1019"/>
    </row>
    <row r="65" spans="1:20" ht="15" customHeight="1" x14ac:dyDescent="0.3">
      <c r="A65" s="1018"/>
      <c r="B65" s="1020" t="s">
        <v>272</v>
      </c>
      <c r="C65" s="1020"/>
      <c r="D65" s="1020"/>
      <c r="E65" s="1020"/>
      <c r="F65" s="1020"/>
      <c r="G65" s="851"/>
      <c r="H65" s="1018"/>
      <c r="I65" s="1021" t="s">
        <v>272</v>
      </c>
      <c r="J65" s="1021"/>
      <c r="K65" s="1021"/>
      <c r="L65" s="1021"/>
      <c r="M65" s="1021"/>
      <c r="N65" s="852"/>
      <c r="O65" s="1018"/>
      <c r="P65" s="1021" t="s">
        <v>272</v>
      </c>
      <c r="Q65" s="1021"/>
      <c r="R65" s="1021"/>
      <c r="S65" s="1021"/>
      <c r="T65" s="1021"/>
    </row>
    <row r="66" spans="1:20" ht="12.75" customHeight="1" x14ac:dyDescent="0.25">
      <c r="A66" s="1018"/>
      <c r="B66" s="1015" t="s">
        <v>273</v>
      </c>
      <c r="C66" s="1015"/>
      <c r="D66" s="1015"/>
      <c r="E66" s="1015" t="s">
        <v>274</v>
      </c>
      <c r="F66" s="1015" t="s">
        <v>167</v>
      </c>
      <c r="G66" s="855"/>
      <c r="H66" s="1018"/>
      <c r="I66" s="1015" t="str">
        <f>B66</f>
        <v>Setting VAC</v>
      </c>
      <c r="J66" s="1015"/>
      <c r="K66" s="1015"/>
      <c r="L66" s="1015" t="s">
        <v>274</v>
      </c>
      <c r="M66" s="1015" t="s">
        <v>167</v>
      </c>
      <c r="N66" s="855"/>
      <c r="O66" s="1018"/>
      <c r="P66" s="1015" t="str">
        <f>B66</f>
        <v>Setting VAC</v>
      </c>
      <c r="Q66" s="1015"/>
      <c r="R66" s="1015"/>
      <c r="S66" s="1015" t="s">
        <v>274</v>
      </c>
      <c r="T66" s="1015" t="s">
        <v>167</v>
      </c>
    </row>
    <row r="67" spans="1:20" ht="15" customHeight="1" x14ac:dyDescent="0.25">
      <c r="A67" s="1018"/>
      <c r="B67" s="853" t="s">
        <v>275</v>
      </c>
      <c r="C67" s="854">
        <v>2019</v>
      </c>
      <c r="D67" s="854">
        <v>2020</v>
      </c>
      <c r="E67" s="1015"/>
      <c r="F67" s="1015"/>
      <c r="G67" s="855"/>
      <c r="H67" s="1018"/>
      <c r="I67" s="853" t="s">
        <v>275</v>
      </c>
      <c r="J67" s="854">
        <v>2019</v>
      </c>
      <c r="K67" s="854">
        <v>2020</v>
      </c>
      <c r="L67" s="1015"/>
      <c r="M67" s="1015"/>
      <c r="N67" s="855"/>
      <c r="O67" s="1018"/>
      <c r="P67" s="853" t="s">
        <v>275</v>
      </c>
      <c r="Q67" s="854">
        <v>2020</v>
      </c>
      <c r="R67" s="854">
        <v>2022</v>
      </c>
      <c r="S67" s="1015"/>
      <c r="T67" s="1015"/>
    </row>
    <row r="68" spans="1:20" ht="12.75" customHeight="1" x14ac:dyDescent="0.25">
      <c r="A68" s="1018"/>
      <c r="B68" s="856">
        <v>150</v>
      </c>
      <c r="C68" s="857">
        <v>0.21</v>
      </c>
      <c r="D68" s="857">
        <v>0.21</v>
      </c>
      <c r="E68" s="858">
        <v>9.9999999999999995E-7</v>
      </c>
      <c r="F68" s="861">
        <v>1.2</v>
      </c>
      <c r="G68" s="855"/>
      <c r="H68" s="1018"/>
      <c r="I68" s="856">
        <v>150</v>
      </c>
      <c r="J68" s="857">
        <v>9.9999999999999995E-7</v>
      </c>
      <c r="K68" s="857">
        <v>-0.17</v>
      </c>
      <c r="L68" s="858">
        <f>0.5*(MAX(J68:K68)-MIN(J68:K68))</f>
        <v>8.5000500000000007E-2</v>
      </c>
      <c r="M68" s="857">
        <v>1.2</v>
      </c>
      <c r="N68" s="855"/>
      <c r="O68" s="1018"/>
      <c r="P68" s="856">
        <v>150</v>
      </c>
      <c r="Q68" s="857">
        <v>-0.24</v>
      </c>
      <c r="R68" s="857">
        <v>-0.17</v>
      </c>
      <c r="S68" s="858">
        <f t="shared" ref="S68:S73" si="17">0.5*(MAX(Q68:R68)-MIN(Q68:R68))</f>
        <v>3.4999999999999989E-2</v>
      </c>
      <c r="T68" s="857">
        <v>1.2</v>
      </c>
    </row>
    <row r="69" spans="1:20" ht="12.75" customHeight="1" x14ac:dyDescent="0.25">
      <c r="A69" s="1018"/>
      <c r="B69" s="856">
        <v>180</v>
      </c>
      <c r="C69" s="857">
        <v>0.33</v>
      </c>
      <c r="D69" s="857">
        <v>0.33</v>
      </c>
      <c r="E69" s="858">
        <v>9.9999999999999995E-7</v>
      </c>
      <c r="F69" s="861">
        <v>1.2</v>
      </c>
      <c r="G69" s="855"/>
      <c r="H69" s="1018"/>
      <c r="I69" s="856">
        <v>180</v>
      </c>
      <c r="J69" s="857">
        <v>9.9999999999999995E-7</v>
      </c>
      <c r="K69" s="857">
        <v>-0.22</v>
      </c>
      <c r="L69" s="858">
        <f t="shared" ref="L69:L72" si="18">0.5*(MAX(J69:K69)-MIN(J69:K69))</f>
        <v>0.1100005</v>
      </c>
      <c r="M69" s="857">
        <v>1.2</v>
      </c>
      <c r="N69" s="855"/>
      <c r="O69" s="1018"/>
      <c r="P69" s="856">
        <v>180</v>
      </c>
      <c r="Q69" s="857">
        <v>-0.14000000000000001</v>
      </c>
      <c r="R69" s="857">
        <v>-0.39</v>
      </c>
      <c r="S69" s="858">
        <f t="shared" si="17"/>
        <v>0.125</v>
      </c>
      <c r="T69" s="857">
        <v>1.2</v>
      </c>
    </row>
    <row r="70" spans="1:20" ht="12.75" customHeight="1" x14ac:dyDescent="0.25">
      <c r="A70" s="1018"/>
      <c r="B70" s="856">
        <v>200</v>
      </c>
      <c r="C70" s="857">
        <v>0.34</v>
      </c>
      <c r="D70" s="857">
        <v>0.34</v>
      </c>
      <c r="E70" s="858">
        <v>9.9999999999999995E-7</v>
      </c>
      <c r="F70" s="861">
        <v>1.2</v>
      </c>
      <c r="G70" s="855"/>
      <c r="H70" s="1018"/>
      <c r="I70" s="856">
        <v>200</v>
      </c>
      <c r="J70" s="857">
        <v>9.9999999999999995E-7</v>
      </c>
      <c r="K70" s="857">
        <v>-0.33</v>
      </c>
      <c r="L70" s="858">
        <f t="shared" si="18"/>
        <v>0.16500049999999999</v>
      </c>
      <c r="M70" s="857">
        <v>1.2</v>
      </c>
      <c r="N70" s="855"/>
      <c r="O70" s="1018"/>
      <c r="P70" s="856">
        <v>200</v>
      </c>
      <c r="Q70" s="857">
        <v>-0.33</v>
      </c>
      <c r="R70" s="857">
        <v>-0.23</v>
      </c>
      <c r="S70" s="858">
        <f t="shared" si="17"/>
        <v>0.05</v>
      </c>
      <c r="T70" s="857">
        <v>1.2</v>
      </c>
    </row>
    <row r="71" spans="1:20" ht="12.75" customHeight="1" x14ac:dyDescent="0.25">
      <c r="A71" s="1018"/>
      <c r="B71" s="856">
        <v>220</v>
      </c>
      <c r="C71" s="857">
        <v>0.37</v>
      </c>
      <c r="D71" s="857">
        <v>0.37</v>
      </c>
      <c r="E71" s="858">
        <v>9.9999999999999995E-7</v>
      </c>
      <c r="F71" s="861">
        <v>1.2</v>
      </c>
      <c r="G71" s="855"/>
      <c r="H71" s="1018"/>
      <c r="I71" s="856">
        <v>220</v>
      </c>
      <c r="J71" s="857">
        <v>9.9999999999999995E-7</v>
      </c>
      <c r="K71" s="857">
        <v>-0.39</v>
      </c>
      <c r="L71" s="858">
        <f t="shared" si="18"/>
        <v>0.19500049999999999</v>
      </c>
      <c r="M71" s="857">
        <v>1.2</v>
      </c>
      <c r="N71" s="855"/>
      <c r="O71" s="1018"/>
      <c r="P71" s="856">
        <v>220</v>
      </c>
      <c r="Q71" s="857">
        <v>-0.45</v>
      </c>
      <c r="R71" s="857">
        <v>-0.45</v>
      </c>
      <c r="S71" s="858">
        <v>9.9999999999999995E-7</v>
      </c>
      <c r="T71" s="857">
        <v>1.2</v>
      </c>
    </row>
    <row r="72" spans="1:20" ht="12.75" customHeight="1" x14ac:dyDescent="0.25">
      <c r="A72" s="1018"/>
      <c r="B72" s="856">
        <v>230</v>
      </c>
      <c r="C72" s="857">
        <v>0.47</v>
      </c>
      <c r="D72" s="857">
        <v>0.47</v>
      </c>
      <c r="E72" s="858">
        <v>9.9999999999999995E-7</v>
      </c>
      <c r="F72" s="861">
        <v>1.2</v>
      </c>
      <c r="G72" s="855"/>
      <c r="H72" s="1018"/>
      <c r="I72" s="856">
        <v>230</v>
      </c>
      <c r="J72" s="857">
        <v>9.9999999999999995E-7</v>
      </c>
      <c r="K72" s="857">
        <v>-0.39</v>
      </c>
      <c r="L72" s="858">
        <f t="shared" si="18"/>
        <v>0.19500049999999999</v>
      </c>
      <c r="M72" s="857">
        <v>1.2</v>
      </c>
      <c r="N72" s="855"/>
      <c r="O72" s="1018"/>
      <c r="P72" s="856">
        <v>230</v>
      </c>
      <c r="Q72" s="857">
        <v>-0.54</v>
      </c>
      <c r="R72" s="857">
        <v>-0.16</v>
      </c>
      <c r="S72" s="858">
        <f t="shared" si="17"/>
        <v>0.19</v>
      </c>
      <c r="T72" s="857">
        <v>1.2</v>
      </c>
    </row>
    <row r="73" spans="1:20" ht="12.75" customHeight="1" x14ac:dyDescent="0.25">
      <c r="A73" s="1018"/>
      <c r="B73" s="856">
        <v>250</v>
      </c>
      <c r="C73" s="857">
        <v>9.9999999999999995E-7</v>
      </c>
      <c r="D73" s="857">
        <v>9.9999999999999995E-7</v>
      </c>
      <c r="E73" s="858">
        <v>9.9999999999999995E-7</v>
      </c>
      <c r="F73" s="861">
        <v>1.2</v>
      </c>
      <c r="G73" s="855"/>
      <c r="H73" s="1018"/>
      <c r="I73" s="856">
        <v>250</v>
      </c>
      <c r="J73" s="857">
        <v>9.9999999999999995E-7</v>
      </c>
      <c r="K73" s="857">
        <v>9.9999999999999995E-7</v>
      </c>
      <c r="L73" s="858">
        <v>9.9999999999999995E-7</v>
      </c>
      <c r="M73" s="857">
        <v>1.2</v>
      </c>
      <c r="N73" s="855"/>
      <c r="O73" s="1018"/>
      <c r="P73" s="856">
        <v>250</v>
      </c>
      <c r="Q73" s="857">
        <v>9.9999999999999995E-7</v>
      </c>
      <c r="R73" s="857">
        <v>-0.15</v>
      </c>
      <c r="S73" s="858">
        <f t="shared" si="17"/>
        <v>7.5000499999999998E-2</v>
      </c>
      <c r="T73" s="857">
        <v>1.2</v>
      </c>
    </row>
    <row r="74" spans="1:20" ht="12.75" customHeight="1" x14ac:dyDescent="0.25">
      <c r="A74" s="1018"/>
      <c r="B74" s="1014" t="s">
        <v>276</v>
      </c>
      <c r="C74" s="1014"/>
      <c r="D74" s="1014"/>
      <c r="E74" s="1015" t="s">
        <v>274</v>
      </c>
      <c r="F74" s="1015" t="s">
        <v>167</v>
      </c>
      <c r="G74" s="855"/>
      <c r="H74" s="1018"/>
      <c r="I74" s="1014" t="str">
        <f>B74</f>
        <v>Current Leakage</v>
      </c>
      <c r="J74" s="1014"/>
      <c r="K74" s="1014"/>
      <c r="L74" s="1015" t="s">
        <v>274</v>
      </c>
      <c r="M74" s="1015" t="s">
        <v>167</v>
      </c>
      <c r="N74" s="855"/>
      <c r="O74" s="1018"/>
      <c r="P74" s="1014" t="str">
        <f>B74</f>
        <v>Current Leakage</v>
      </c>
      <c r="Q74" s="1014"/>
      <c r="R74" s="1014"/>
      <c r="S74" s="1015" t="s">
        <v>274</v>
      </c>
      <c r="T74" s="1015" t="s">
        <v>167</v>
      </c>
    </row>
    <row r="75" spans="1:20" ht="15" customHeight="1" x14ac:dyDescent="0.25">
      <c r="A75" s="1018"/>
      <c r="B75" s="853" t="s">
        <v>277</v>
      </c>
      <c r="C75" s="854">
        <f>C67</f>
        <v>2019</v>
      </c>
      <c r="D75" s="854">
        <f>D67</f>
        <v>2020</v>
      </c>
      <c r="E75" s="1015"/>
      <c r="F75" s="1015"/>
      <c r="G75" s="855"/>
      <c r="H75" s="1018"/>
      <c r="I75" s="853" t="s">
        <v>277</v>
      </c>
      <c r="J75" s="854">
        <f>J67</f>
        <v>2019</v>
      </c>
      <c r="K75" s="854">
        <f>K67</f>
        <v>2020</v>
      </c>
      <c r="L75" s="1015"/>
      <c r="M75" s="1015"/>
      <c r="N75" s="855"/>
      <c r="O75" s="1018"/>
      <c r="P75" s="853" t="s">
        <v>277</v>
      </c>
      <c r="Q75" s="854">
        <f>Q67</f>
        <v>2020</v>
      </c>
      <c r="R75" s="854">
        <f>R67</f>
        <v>2022</v>
      </c>
      <c r="S75" s="1015"/>
      <c r="T75" s="1015"/>
    </row>
    <row r="76" spans="1:20" ht="12.75" customHeight="1" x14ac:dyDescent="0.25">
      <c r="A76" s="1018"/>
      <c r="B76" s="862">
        <v>0</v>
      </c>
      <c r="C76" s="857">
        <v>9.9999999999999995E-7</v>
      </c>
      <c r="D76" s="857">
        <v>9.9999999999999995E-7</v>
      </c>
      <c r="E76" s="858">
        <v>9.9999999999999995E-7</v>
      </c>
      <c r="F76" s="862">
        <v>0.59</v>
      </c>
      <c r="G76" s="855"/>
      <c r="H76" s="1018"/>
      <c r="I76" s="862">
        <v>0</v>
      </c>
      <c r="J76" s="857">
        <v>9.9999999999999995E-7</v>
      </c>
      <c r="K76" s="857">
        <v>9.9999999999999995E-7</v>
      </c>
      <c r="L76" s="858">
        <v>9.9999999999999995E-7</v>
      </c>
      <c r="M76" s="875">
        <v>0.59</v>
      </c>
      <c r="N76" s="855"/>
      <c r="O76" s="1018"/>
      <c r="P76" s="862">
        <v>9.9999999999999995E-7</v>
      </c>
      <c r="Q76" s="857">
        <v>9.9999999999999995E-7</v>
      </c>
      <c r="R76" s="857">
        <v>9.9999999999999995E-7</v>
      </c>
      <c r="S76" s="858">
        <v>9.9999999999999995E-7</v>
      </c>
      <c r="T76" s="857">
        <v>0.59</v>
      </c>
    </row>
    <row r="77" spans="1:20" ht="12.75" customHeight="1" x14ac:dyDescent="0.25">
      <c r="A77" s="1018"/>
      <c r="B77" s="862">
        <v>50</v>
      </c>
      <c r="C77" s="857">
        <v>1.7</v>
      </c>
      <c r="D77" s="857">
        <v>1.7</v>
      </c>
      <c r="E77" s="858">
        <v>9.9999999999999995E-7</v>
      </c>
      <c r="F77" s="862">
        <v>0.59</v>
      </c>
      <c r="G77" s="855"/>
      <c r="H77" s="1018"/>
      <c r="I77" s="862">
        <v>50</v>
      </c>
      <c r="J77" s="857">
        <v>9.9999999999999995E-7</v>
      </c>
      <c r="K77" s="857">
        <v>1.7</v>
      </c>
      <c r="L77" s="858">
        <f t="shared" ref="L77:L81" si="19">0.5*(MAX(J77:K77)-MIN(J77:K77))</f>
        <v>0.84999950000000002</v>
      </c>
      <c r="M77" s="875">
        <v>0.59</v>
      </c>
      <c r="N77" s="855"/>
      <c r="O77" s="1018"/>
      <c r="P77" s="862">
        <v>50</v>
      </c>
      <c r="Q77" s="857">
        <v>2.1</v>
      </c>
      <c r="R77" s="857">
        <v>5</v>
      </c>
      <c r="S77" s="858">
        <f t="shared" ref="S77:S81" si="20">0.5*(MAX(Q77:R77)-MIN(Q77:R77))</f>
        <v>1.45</v>
      </c>
      <c r="T77" s="857">
        <v>0.59</v>
      </c>
    </row>
    <row r="78" spans="1:20" ht="12.75" customHeight="1" x14ac:dyDescent="0.25">
      <c r="A78" s="1018"/>
      <c r="B78" s="862">
        <v>100</v>
      </c>
      <c r="C78" s="857">
        <v>1.7</v>
      </c>
      <c r="D78" s="857">
        <v>1.7</v>
      </c>
      <c r="E78" s="858">
        <v>9.9999999999999995E-7</v>
      </c>
      <c r="F78" s="862">
        <v>0.59</v>
      </c>
      <c r="G78" s="855"/>
      <c r="H78" s="1018"/>
      <c r="I78" s="862">
        <v>100</v>
      </c>
      <c r="J78" s="857">
        <v>9.9999999999999995E-7</v>
      </c>
      <c r="K78" s="857">
        <v>3.4</v>
      </c>
      <c r="L78" s="858">
        <f t="shared" si="19"/>
        <v>1.6999994999999999</v>
      </c>
      <c r="M78" s="875">
        <v>0.59</v>
      </c>
      <c r="N78" s="855"/>
      <c r="O78" s="1018"/>
      <c r="P78" s="862">
        <v>100</v>
      </c>
      <c r="Q78" s="857">
        <v>3.7</v>
      </c>
      <c r="R78" s="857">
        <v>0.7</v>
      </c>
      <c r="S78" s="858">
        <f t="shared" si="20"/>
        <v>1.5</v>
      </c>
      <c r="T78" s="857">
        <v>0.59</v>
      </c>
    </row>
    <row r="79" spans="1:20" ht="12.75" customHeight="1" x14ac:dyDescent="0.25">
      <c r="A79" s="1018"/>
      <c r="B79" s="862">
        <v>200</v>
      </c>
      <c r="C79" s="857">
        <v>0.4</v>
      </c>
      <c r="D79" s="857">
        <v>0.4</v>
      </c>
      <c r="E79" s="858">
        <v>9.9999999999999995E-7</v>
      </c>
      <c r="F79" s="862">
        <v>0.59</v>
      </c>
      <c r="G79" s="855"/>
      <c r="H79" s="1018"/>
      <c r="I79" s="862">
        <v>500</v>
      </c>
      <c r="J79" s="857">
        <v>9.9999999999999995E-7</v>
      </c>
      <c r="K79" s="857">
        <v>7.2</v>
      </c>
      <c r="L79" s="858">
        <f t="shared" si="19"/>
        <v>3.5999995</v>
      </c>
      <c r="M79" s="875">
        <v>0.59</v>
      </c>
      <c r="N79" s="855"/>
      <c r="O79" s="1018"/>
      <c r="P79" s="862">
        <v>200</v>
      </c>
      <c r="Q79" s="857">
        <v>8.3000000000000007</v>
      </c>
      <c r="R79" s="857">
        <v>-8.1999999999999993</v>
      </c>
      <c r="S79" s="858">
        <f t="shared" si="20"/>
        <v>8.25</v>
      </c>
      <c r="T79" s="857">
        <v>0.59</v>
      </c>
    </row>
    <row r="80" spans="1:20" ht="12.75" customHeight="1" x14ac:dyDescent="0.25">
      <c r="A80" s="1018"/>
      <c r="B80" s="862">
        <v>500</v>
      </c>
      <c r="C80" s="857">
        <v>3</v>
      </c>
      <c r="D80" s="857">
        <v>3</v>
      </c>
      <c r="E80" s="858">
        <v>9.9999999999999995E-7</v>
      </c>
      <c r="F80" s="862">
        <v>0.59</v>
      </c>
      <c r="G80" s="855"/>
      <c r="H80" s="1018"/>
      <c r="I80" s="862">
        <v>500</v>
      </c>
      <c r="J80" s="857">
        <v>9.9999999999999995E-7</v>
      </c>
      <c r="K80" s="857">
        <v>7.2</v>
      </c>
      <c r="L80" s="858">
        <f t="shared" si="19"/>
        <v>3.5999995</v>
      </c>
      <c r="M80" s="875">
        <v>0.59</v>
      </c>
      <c r="N80" s="855"/>
      <c r="O80" s="1018"/>
      <c r="P80" s="862">
        <v>500</v>
      </c>
      <c r="Q80" s="857">
        <v>8.3000000000000007</v>
      </c>
      <c r="R80" s="857">
        <v>-31.8</v>
      </c>
      <c r="S80" s="858">
        <f t="shared" si="20"/>
        <v>20.05</v>
      </c>
      <c r="T80" s="857">
        <v>0.59</v>
      </c>
    </row>
    <row r="81" spans="1:20" ht="12.75" customHeight="1" x14ac:dyDescent="0.25">
      <c r="A81" s="1018"/>
      <c r="B81" s="862">
        <v>1000</v>
      </c>
      <c r="C81" s="857">
        <v>5</v>
      </c>
      <c r="D81" s="857">
        <v>4</v>
      </c>
      <c r="E81" s="858">
        <f t="shared" ref="E81" si="21">0.5*(MAX(C81:D81)-MIN(C81:D81))</f>
        <v>0.5</v>
      </c>
      <c r="F81" s="862">
        <v>0.59</v>
      </c>
      <c r="G81" s="855"/>
      <c r="H81" s="1018"/>
      <c r="I81" s="862">
        <v>1000</v>
      </c>
      <c r="J81" s="857">
        <v>9.9999999999999995E-7</v>
      </c>
      <c r="K81" s="857">
        <v>80</v>
      </c>
      <c r="L81" s="858">
        <f t="shared" si="19"/>
        <v>39.999999500000001</v>
      </c>
      <c r="M81" s="875">
        <v>0.59</v>
      </c>
      <c r="N81" s="855"/>
      <c r="O81" s="1018"/>
      <c r="P81" s="862">
        <v>1000</v>
      </c>
      <c r="Q81" s="857">
        <v>-97</v>
      </c>
      <c r="R81" s="857">
        <v>-74</v>
      </c>
      <c r="S81" s="858">
        <f t="shared" si="20"/>
        <v>11.5</v>
      </c>
      <c r="T81" s="857">
        <v>0.59</v>
      </c>
    </row>
    <row r="82" spans="1:20" ht="12.75" customHeight="1" x14ac:dyDescent="0.25">
      <c r="A82" s="1018"/>
      <c r="B82" s="1014"/>
      <c r="C82" s="1014"/>
      <c r="D82" s="1014"/>
      <c r="E82" s="1015" t="s">
        <v>274</v>
      </c>
      <c r="F82" s="1015" t="s">
        <v>167</v>
      </c>
      <c r="G82" s="855"/>
      <c r="H82" s="1018"/>
      <c r="I82" s="1014" t="s">
        <v>278</v>
      </c>
      <c r="J82" s="1014"/>
      <c r="K82" s="1014"/>
      <c r="L82" s="1015" t="s">
        <v>274</v>
      </c>
      <c r="M82" s="1015" t="s">
        <v>167</v>
      </c>
      <c r="N82" s="855"/>
      <c r="O82" s="1018"/>
      <c r="P82" s="1014" t="s">
        <v>278</v>
      </c>
      <c r="Q82" s="1014"/>
      <c r="R82" s="1014"/>
      <c r="S82" s="1015" t="s">
        <v>274</v>
      </c>
      <c r="T82" s="1015" t="s">
        <v>167</v>
      </c>
    </row>
    <row r="83" spans="1:20" ht="15" customHeight="1" x14ac:dyDescent="0.25">
      <c r="A83" s="1018"/>
      <c r="B83" s="853" t="s">
        <v>473</v>
      </c>
      <c r="C83" s="854">
        <v>2020</v>
      </c>
      <c r="D83" s="854">
        <v>2018</v>
      </c>
      <c r="E83" s="1015"/>
      <c r="F83" s="1015"/>
      <c r="G83" s="855"/>
      <c r="H83" s="1018"/>
      <c r="I83" s="853" t="s">
        <v>473</v>
      </c>
      <c r="J83" s="854">
        <f>J67</f>
        <v>2019</v>
      </c>
      <c r="K83" s="854">
        <f>K67</f>
        <v>2020</v>
      </c>
      <c r="L83" s="1015"/>
      <c r="M83" s="1015"/>
      <c r="N83" s="855"/>
      <c r="O83" s="1018"/>
      <c r="P83" s="853" t="s">
        <v>473</v>
      </c>
      <c r="Q83" s="854">
        <f>Q67</f>
        <v>2020</v>
      </c>
      <c r="R83" s="854">
        <f>R67</f>
        <v>2022</v>
      </c>
      <c r="S83" s="1015"/>
      <c r="T83" s="1015"/>
    </row>
    <row r="84" spans="1:20" ht="12.75" customHeight="1" x14ac:dyDescent="0.25">
      <c r="A84" s="1018"/>
      <c r="B84" s="862">
        <v>10</v>
      </c>
      <c r="C84" s="859" t="s">
        <v>100</v>
      </c>
      <c r="D84" s="857">
        <v>9.9999999999999995E-7</v>
      </c>
      <c r="E84" s="858">
        <v>1.0000000000000001E-5</v>
      </c>
      <c r="F84" s="861">
        <v>1.7</v>
      </c>
      <c r="G84" s="855"/>
      <c r="H84" s="1018"/>
      <c r="I84" s="862">
        <v>10</v>
      </c>
      <c r="J84" s="857">
        <v>9.9999999999999995E-7</v>
      </c>
      <c r="K84" s="857">
        <v>9.9999999999999995E-7</v>
      </c>
      <c r="L84" s="858">
        <v>9.9999999999999995E-7</v>
      </c>
      <c r="M84" s="857">
        <v>0</v>
      </c>
      <c r="N84" s="855"/>
      <c r="O84" s="1018"/>
      <c r="P84" s="862">
        <v>10</v>
      </c>
      <c r="Q84" s="857">
        <v>9.9999999999999995E-7</v>
      </c>
      <c r="R84" s="857">
        <v>9.9999999999999995E-7</v>
      </c>
      <c r="S84" s="858">
        <v>9.9999999999999995E-7</v>
      </c>
      <c r="T84" s="857">
        <v>1.7</v>
      </c>
    </row>
    <row r="85" spans="1:20" ht="12.75" customHeight="1" x14ac:dyDescent="0.25">
      <c r="A85" s="1018"/>
      <c r="B85" s="862">
        <v>20</v>
      </c>
      <c r="C85" s="859" t="s">
        <v>100</v>
      </c>
      <c r="D85" s="859">
        <v>0.1</v>
      </c>
      <c r="E85" s="858">
        <v>1.0000000000000001E-5</v>
      </c>
      <c r="F85" s="861">
        <v>1.7</v>
      </c>
      <c r="G85" s="855"/>
      <c r="H85" s="1018"/>
      <c r="I85" s="862">
        <v>20</v>
      </c>
      <c r="J85" s="857">
        <v>9.9999999999999995E-7</v>
      </c>
      <c r="K85" s="857">
        <v>9.9999999999999995E-7</v>
      </c>
      <c r="L85" s="858">
        <v>9.9999999999999995E-7</v>
      </c>
      <c r="M85" s="857">
        <v>0</v>
      </c>
      <c r="N85" s="855"/>
      <c r="O85" s="1018"/>
      <c r="P85" s="862">
        <v>20</v>
      </c>
      <c r="Q85" s="857">
        <v>9.9999999999999995E-7</v>
      </c>
      <c r="R85" s="857">
        <v>9.9999999999999995E-7</v>
      </c>
      <c r="S85" s="858">
        <v>9.9999999999999995E-7</v>
      </c>
      <c r="T85" s="857">
        <v>1.7</v>
      </c>
    </row>
    <row r="86" spans="1:20" ht="12.75" customHeight="1" x14ac:dyDescent="0.25">
      <c r="A86" s="1018"/>
      <c r="B86" s="862">
        <v>50</v>
      </c>
      <c r="C86" s="859" t="s">
        <v>100</v>
      </c>
      <c r="D86" s="859">
        <v>0.4</v>
      </c>
      <c r="E86" s="858">
        <v>1.0000000000000001E-5</v>
      </c>
      <c r="F86" s="861">
        <v>1.7</v>
      </c>
      <c r="G86" s="855"/>
      <c r="H86" s="1018"/>
      <c r="I86" s="862">
        <v>50</v>
      </c>
      <c r="J86" s="857">
        <v>9.9999999999999995E-7</v>
      </c>
      <c r="K86" s="857">
        <v>9.9999999999999995E-7</v>
      </c>
      <c r="L86" s="858">
        <v>9.9999999999999995E-7</v>
      </c>
      <c r="M86" s="857">
        <v>0</v>
      </c>
      <c r="N86" s="855"/>
      <c r="O86" s="1018"/>
      <c r="P86" s="862">
        <v>50</v>
      </c>
      <c r="Q86" s="857">
        <v>9.9999999999999995E-7</v>
      </c>
      <c r="R86" s="859">
        <v>0.2</v>
      </c>
      <c r="S86" s="858">
        <f t="shared" ref="S86:S87" si="22">0.5*(MAX(Q86:R86)-MIN(Q86:R86))</f>
        <v>9.9999500000000005E-2</v>
      </c>
      <c r="T86" s="857">
        <v>1.7</v>
      </c>
    </row>
    <row r="87" spans="1:20" ht="12.75" customHeight="1" x14ac:dyDescent="0.25">
      <c r="A87" s="1018"/>
      <c r="B87" s="862">
        <v>100</v>
      </c>
      <c r="C87" s="859" t="s">
        <v>100</v>
      </c>
      <c r="D87" s="859">
        <v>1.4</v>
      </c>
      <c r="E87" s="858">
        <v>1.0000000000000001E-5</v>
      </c>
      <c r="F87" s="861">
        <v>1.7</v>
      </c>
      <c r="G87" s="855"/>
      <c r="H87" s="1018"/>
      <c r="I87" s="862">
        <v>100</v>
      </c>
      <c r="J87" s="857">
        <v>9.9999999999999995E-7</v>
      </c>
      <c r="K87" s="857">
        <v>9.9999999999999995E-7</v>
      </c>
      <c r="L87" s="858">
        <v>9.9999999999999995E-7</v>
      </c>
      <c r="M87" s="857">
        <v>0</v>
      </c>
      <c r="N87" s="855"/>
      <c r="O87" s="1018"/>
      <c r="P87" s="862">
        <v>100</v>
      </c>
      <c r="Q87" s="857">
        <v>9.9999999999999995E-7</v>
      </c>
      <c r="R87" s="859">
        <v>0.4</v>
      </c>
      <c r="S87" s="858">
        <f t="shared" si="22"/>
        <v>0.19999950000000002</v>
      </c>
      <c r="T87" s="857">
        <v>1.7</v>
      </c>
    </row>
    <row r="88" spans="1:20" ht="12.75" customHeight="1" x14ac:dyDescent="0.25">
      <c r="A88" s="1018"/>
      <c r="B88" s="1014" t="s">
        <v>279</v>
      </c>
      <c r="C88" s="1014"/>
      <c r="D88" s="1014"/>
      <c r="E88" s="1015" t="s">
        <v>274</v>
      </c>
      <c r="F88" s="1015" t="s">
        <v>167</v>
      </c>
      <c r="G88" s="855"/>
      <c r="H88" s="1018"/>
      <c r="I88" s="1014" t="s">
        <v>279</v>
      </c>
      <c r="J88" s="1014"/>
      <c r="K88" s="1014"/>
      <c r="L88" s="1015" t="s">
        <v>274</v>
      </c>
      <c r="M88" s="1015" t="s">
        <v>167</v>
      </c>
      <c r="N88" s="855"/>
      <c r="O88" s="1018"/>
      <c r="P88" s="1014" t="str">
        <f>B88</f>
        <v>Resistance</v>
      </c>
      <c r="Q88" s="1014"/>
      <c r="R88" s="1014"/>
      <c r="S88" s="1015" t="s">
        <v>274</v>
      </c>
      <c r="T88" s="1015" t="s">
        <v>167</v>
      </c>
    </row>
    <row r="89" spans="1:20" ht="15" customHeight="1" x14ac:dyDescent="0.25">
      <c r="A89" s="1018"/>
      <c r="B89" s="853" t="s">
        <v>474</v>
      </c>
      <c r="C89" s="854">
        <f>C67</f>
        <v>2019</v>
      </c>
      <c r="D89" s="854">
        <f>D67</f>
        <v>2020</v>
      </c>
      <c r="E89" s="1015"/>
      <c r="F89" s="1015"/>
      <c r="G89" s="855"/>
      <c r="H89" s="1018"/>
      <c r="I89" s="853" t="s">
        <v>474</v>
      </c>
      <c r="J89" s="854">
        <f>J67</f>
        <v>2019</v>
      </c>
      <c r="K89" s="854">
        <f>K67</f>
        <v>2020</v>
      </c>
      <c r="L89" s="1015"/>
      <c r="M89" s="1015"/>
      <c r="N89" s="855"/>
      <c r="O89" s="1018"/>
      <c r="P89" s="853" t="s">
        <v>474</v>
      </c>
      <c r="Q89" s="854">
        <f>Q67</f>
        <v>2020</v>
      </c>
      <c r="R89" s="854">
        <f>R67</f>
        <v>2022</v>
      </c>
      <c r="S89" s="1015"/>
      <c r="T89" s="1015"/>
    </row>
    <row r="90" spans="1:20" ht="12.75" customHeight="1" x14ac:dyDescent="0.25">
      <c r="A90" s="1018"/>
      <c r="B90" s="862">
        <v>0.01</v>
      </c>
      <c r="C90" s="857">
        <v>9.9999999999999995E-7</v>
      </c>
      <c r="D90" s="857">
        <v>9.9999999999999995E-7</v>
      </c>
      <c r="E90" s="858">
        <v>9.9999999999999995E-7</v>
      </c>
      <c r="F90" s="862">
        <v>1.2</v>
      </c>
      <c r="G90" s="855"/>
      <c r="H90" s="1018"/>
      <c r="I90" s="862">
        <v>0.01</v>
      </c>
      <c r="J90" s="857">
        <v>9.9999999999999995E-7</v>
      </c>
      <c r="K90" s="857">
        <v>9.9999999999999995E-7</v>
      </c>
      <c r="L90" s="858">
        <v>9.9999999999999995E-7</v>
      </c>
      <c r="M90" s="876">
        <v>1.2</v>
      </c>
      <c r="N90" s="855"/>
      <c r="O90" s="1018"/>
      <c r="P90" s="862">
        <v>0.01</v>
      </c>
      <c r="Q90" s="857">
        <v>9.9999999999999995E-7</v>
      </c>
      <c r="R90" s="857">
        <v>9.9999999999999995E-7</v>
      </c>
      <c r="S90" s="858">
        <v>9.9999999999999995E-7</v>
      </c>
      <c r="T90" s="875">
        <v>1.2</v>
      </c>
    </row>
    <row r="91" spans="1:20" ht="12.75" customHeight="1" x14ac:dyDescent="0.25">
      <c r="A91" s="1018"/>
      <c r="B91" s="862">
        <v>0.1</v>
      </c>
      <c r="C91" s="857">
        <v>9.9999999999999995E-7</v>
      </c>
      <c r="D91" s="857">
        <v>9.9999999999999995E-7</v>
      </c>
      <c r="E91" s="858">
        <v>9.9999999999999995E-7</v>
      </c>
      <c r="F91" s="862">
        <v>1.2</v>
      </c>
      <c r="G91" s="855"/>
      <c r="H91" s="1018"/>
      <c r="I91" s="862">
        <v>0.1</v>
      </c>
      <c r="J91" s="857">
        <v>9.9999999999999995E-7</v>
      </c>
      <c r="K91" s="865">
        <v>-2E-3</v>
      </c>
      <c r="L91" s="858">
        <v>9.9999999999999995E-7</v>
      </c>
      <c r="M91" s="876">
        <v>1.2</v>
      </c>
      <c r="N91" s="855"/>
      <c r="O91" s="1018"/>
      <c r="P91" s="862">
        <v>0.1</v>
      </c>
      <c r="Q91" s="865">
        <v>-3.0000000000000001E-3</v>
      </c>
      <c r="R91" s="857">
        <v>9.9999999999999995E-7</v>
      </c>
      <c r="S91" s="858">
        <v>9.9999999999999995E-7</v>
      </c>
      <c r="T91" s="875">
        <v>1.2</v>
      </c>
    </row>
    <row r="92" spans="1:20" ht="12.75" customHeight="1" x14ac:dyDescent="0.25">
      <c r="A92" s="1018"/>
      <c r="B92" s="862">
        <v>1</v>
      </c>
      <c r="C92" s="865">
        <v>-2.3E-3</v>
      </c>
      <c r="D92" s="865">
        <v>-2.3E-3</v>
      </c>
      <c r="E92" s="858">
        <v>9.9999999999999995E-7</v>
      </c>
      <c r="F92" s="862">
        <v>1.2</v>
      </c>
      <c r="G92" s="855"/>
      <c r="H92" s="1018"/>
      <c r="I92" s="862">
        <v>1</v>
      </c>
      <c r="J92" s="857">
        <v>9.9999999999999995E-7</v>
      </c>
      <c r="K92" s="865">
        <v>-1E-3</v>
      </c>
      <c r="L92" s="858">
        <v>9.9999999999999995E-7</v>
      </c>
      <c r="M92" s="876">
        <v>1.2</v>
      </c>
      <c r="N92" s="855"/>
      <c r="O92" s="1018"/>
      <c r="P92" s="862">
        <v>1</v>
      </c>
      <c r="Q92" s="865">
        <v>-1E-3</v>
      </c>
      <c r="R92" s="865">
        <v>3.0000000000000001E-3</v>
      </c>
      <c r="S92" s="858">
        <v>9.9999999999999995E-7</v>
      </c>
      <c r="T92" s="875">
        <v>1.2</v>
      </c>
    </row>
    <row r="93" spans="1:20" ht="12.75" customHeight="1" x14ac:dyDescent="0.25">
      <c r="A93" s="1018"/>
      <c r="B93" s="862">
        <v>2</v>
      </c>
      <c r="C93" s="857">
        <v>9.9999999999999995E-7</v>
      </c>
      <c r="D93" s="857">
        <v>9.9999999999999995E-7</v>
      </c>
      <c r="E93" s="858">
        <v>9.9999999999999995E-7</v>
      </c>
      <c r="F93" s="862">
        <v>1.2</v>
      </c>
      <c r="G93" s="855"/>
      <c r="H93" s="1018"/>
      <c r="I93" s="862">
        <v>2</v>
      </c>
      <c r="J93" s="857">
        <v>9.9999999999999995E-7</v>
      </c>
      <c r="K93" s="865">
        <v>-6.0000000000000001E-3</v>
      </c>
      <c r="L93" s="858">
        <v>9.9999999999999995E-7</v>
      </c>
      <c r="M93" s="876">
        <v>1.2</v>
      </c>
      <c r="N93" s="855"/>
      <c r="O93" s="1018"/>
      <c r="P93" s="862">
        <v>2</v>
      </c>
      <c r="Q93" s="865">
        <v>-6.0000000000000001E-3</v>
      </c>
      <c r="R93" s="865">
        <v>4.0000000000000001E-3</v>
      </c>
      <c r="S93" s="858">
        <f t="shared" ref="S93" si="23">0.5*(MAX(Q93:R93)-MIN(Q93:R93))</f>
        <v>5.0000000000000001E-3</v>
      </c>
      <c r="T93" s="875">
        <v>1.2</v>
      </c>
    </row>
    <row r="94" spans="1:20" ht="16" thickBot="1" x14ac:dyDescent="0.3">
      <c r="A94" s="870"/>
      <c r="B94" s="871"/>
      <c r="C94" s="872"/>
      <c r="D94" s="872"/>
      <c r="E94" s="872"/>
      <c r="F94" s="872"/>
      <c r="G94" s="855"/>
      <c r="H94" s="873"/>
      <c r="I94" s="874"/>
      <c r="J94" s="872"/>
      <c r="K94" s="872"/>
      <c r="L94" s="872"/>
      <c r="M94" s="872"/>
      <c r="N94" s="855"/>
      <c r="O94" s="873"/>
      <c r="P94" s="871"/>
      <c r="Q94" s="872"/>
      <c r="R94" s="855"/>
      <c r="S94" s="855"/>
      <c r="T94" s="867"/>
    </row>
    <row r="95" spans="1:20" ht="16" thickBot="1" x14ac:dyDescent="0.3">
      <c r="A95" s="1016"/>
      <c r="B95" s="1017"/>
      <c r="C95" s="1017"/>
      <c r="D95" s="1017"/>
      <c r="E95" s="1017"/>
      <c r="F95" s="1017"/>
      <c r="G95" s="1017"/>
      <c r="H95" s="1017"/>
      <c r="I95" s="1017"/>
      <c r="J95" s="1017"/>
      <c r="K95" s="1017"/>
      <c r="L95" s="1017"/>
      <c r="M95" s="1017"/>
      <c r="N95" s="1017"/>
      <c r="O95" s="1017"/>
      <c r="P95" s="1017"/>
      <c r="Q95" s="1017"/>
      <c r="R95" s="768"/>
      <c r="S95" s="768"/>
      <c r="T95" s="769"/>
    </row>
    <row r="96" spans="1:20" ht="13" thickBot="1" x14ac:dyDescent="0.3">
      <c r="A96" s="770"/>
      <c r="B96" s="771"/>
      <c r="C96" s="771"/>
    </row>
    <row r="97" spans="1:17" ht="14" x14ac:dyDescent="0.3">
      <c r="A97" s="1011" t="s">
        <v>33</v>
      </c>
      <c r="B97" s="1007" t="s">
        <v>284</v>
      </c>
      <c r="C97" s="1012" t="s">
        <v>272</v>
      </c>
      <c r="D97" s="1012"/>
      <c r="E97" s="1012"/>
      <c r="F97" s="1012"/>
      <c r="G97" s="1012"/>
      <c r="H97" s="878"/>
      <c r="I97" s="1011" t="s">
        <v>33</v>
      </c>
      <c r="J97" s="1007" t="s">
        <v>284</v>
      </c>
      <c r="K97" s="1012" t="s">
        <v>272</v>
      </c>
      <c r="L97" s="1012"/>
      <c r="M97" s="1012"/>
      <c r="N97" s="1012"/>
      <c r="O97" s="1012"/>
      <c r="Q97" s="551"/>
    </row>
    <row r="98" spans="1:17" ht="13" x14ac:dyDescent="0.25">
      <c r="A98" s="1011"/>
      <c r="B98" s="1007"/>
      <c r="C98" s="1013" t="str">
        <f>B4</f>
        <v>Setting VAC</v>
      </c>
      <c r="D98" s="1013"/>
      <c r="E98" s="1013"/>
      <c r="F98" s="877" t="s">
        <v>274</v>
      </c>
      <c r="G98" s="877" t="s">
        <v>167</v>
      </c>
      <c r="I98" s="1011"/>
      <c r="J98" s="1007"/>
      <c r="K98" s="1009" t="str">
        <f>B12</f>
        <v>Current Leakage</v>
      </c>
      <c r="L98" s="1009"/>
      <c r="M98" s="1009"/>
      <c r="N98" s="877" t="s">
        <v>274</v>
      </c>
      <c r="O98" s="877" t="s">
        <v>167</v>
      </c>
      <c r="Q98" s="772"/>
    </row>
    <row r="99" spans="1:17" ht="14" x14ac:dyDescent="0.25">
      <c r="A99" s="1011"/>
      <c r="B99" s="1007"/>
      <c r="C99" s="880" t="s">
        <v>275</v>
      </c>
      <c r="D99" s="877"/>
      <c r="E99" s="877"/>
      <c r="F99" s="877"/>
      <c r="G99" s="877"/>
      <c r="I99" s="1011"/>
      <c r="J99" s="1007"/>
      <c r="K99" s="880" t="s">
        <v>277</v>
      </c>
      <c r="L99" s="877"/>
      <c r="M99" s="877"/>
      <c r="N99" s="877"/>
      <c r="O99" s="877"/>
      <c r="Q99" s="772"/>
    </row>
    <row r="100" spans="1:17" ht="14" x14ac:dyDescent="0.25">
      <c r="A100" s="1010" t="s">
        <v>54</v>
      </c>
      <c r="B100" s="882">
        <v>1</v>
      </c>
      <c r="C100" s="883">
        <f>B6</f>
        <v>150</v>
      </c>
      <c r="D100" s="883">
        <f t="shared" ref="D100:G100" si="24">C6</f>
        <v>0.76</v>
      </c>
      <c r="E100" s="883">
        <f t="shared" si="24"/>
        <v>0.31</v>
      </c>
      <c r="F100" s="883">
        <f t="shared" si="24"/>
        <v>0.22500000000000001</v>
      </c>
      <c r="G100" s="883">
        <f t="shared" si="24"/>
        <v>0.47</v>
      </c>
      <c r="I100" s="1010" t="s">
        <v>54</v>
      </c>
      <c r="J100" s="882">
        <v>1</v>
      </c>
      <c r="K100" s="884">
        <f>B14</f>
        <v>9.9999999999999995E-7</v>
      </c>
      <c r="L100" s="884">
        <f t="shared" ref="L100:O100" si="25">C14</f>
        <v>9.9999999999999995E-7</v>
      </c>
      <c r="M100" s="884">
        <f t="shared" si="25"/>
        <v>9.9999999999999995E-7</v>
      </c>
      <c r="N100" s="884">
        <f t="shared" si="25"/>
        <v>9.9999999999999995E-7</v>
      </c>
      <c r="O100" s="884">
        <f t="shared" si="25"/>
        <v>0.28999999999999998</v>
      </c>
    </row>
    <row r="101" spans="1:17" ht="14" x14ac:dyDescent="0.25">
      <c r="A101" s="1010"/>
      <c r="B101" s="885">
        <v>2</v>
      </c>
      <c r="C101" s="886">
        <f>I6</f>
        <v>150</v>
      </c>
      <c r="D101" s="886">
        <f t="shared" ref="D101:G101" si="26">J6</f>
        <v>0.23</v>
      </c>
      <c r="E101" s="886">
        <f t="shared" si="26"/>
        <v>0.15</v>
      </c>
      <c r="F101" s="886">
        <f t="shared" si="26"/>
        <v>4.0000000000000008E-2</v>
      </c>
      <c r="G101" s="886">
        <f t="shared" si="26"/>
        <v>0.47</v>
      </c>
      <c r="I101" s="1010"/>
      <c r="J101" s="885">
        <v>2</v>
      </c>
      <c r="K101" s="884">
        <f>I14</f>
        <v>9.9999999999999995E-7</v>
      </c>
      <c r="L101" s="884">
        <f t="shared" ref="L101:O101" si="27">J14</f>
        <v>9.9999999999999995E-7</v>
      </c>
      <c r="M101" s="884">
        <f t="shared" si="27"/>
        <v>9.9999999999999995E-7</v>
      </c>
      <c r="N101" s="884">
        <f t="shared" si="27"/>
        <v>9.9999999999999995E-7</v>
      </c>
      <c r="O101" s="884">
        <f t="shared" si="27"/>
        <v>0.28999999999999998</v>
      </c>
    </row>
    <row r="102" spans="1:17" ht="13" x14ac:dyDescent="0.25">
      <c r="A102" s="1010"/>
      <c r="B102" s="887">
        <v>3</v>
      </c>
      <c r="C102" s="886">
        <f>P6</f>
        <v>150</v>
      </c>
      <c r="D102" s="886">
        <f t="shared" ref="D102:G102" si="28">Q6</f>
        <v>-7.0000000000000007E-2</v>
      </c>
      <c r="E102" s="886">
        <f t="shared" si="28"/>
        <v>-1.43</v>
      </c>
      <c r="F102" s="886">
        <f t="shared" si="28"/>
        <v>0.67999999999999994</v>
      </c>
      <c r="G102" s="886">
        <f t="shared" si="28"/>
        <v>1.2</v>
      </c>
      <c r="I102" s="1010"/>
      <c r="J102" s="887">
        <v>3</v>
      </c>
      <c r="K102" s="884">
        <f>P14</f>
        <v>9.9999999999999995E-7</v>
      </c>
      <c r="L102" s="884">
        <f t="shared" ref="L102:O102" si="29">Q14</f>
        <v>9.9999999999999995E-7</v>
      </c>
      <c r="M102" s="884">
        <f t="shared" si="29"/>
        <v>9.9999999999999995E-7</v>
      </c>
      <c r="N102" s="884">
        <f t="shared" si="29"/>
        <v>9.9999999999999995E-7</v>
      </c>
      <c r="O102" s="884">
        <f t="shared" si="29"/>
        <v>0.59</v>
      </c>
    </row>
    <row r="103" spans="1:17" ht="13" x14ac:dyDescent="0.25">
      <c r="A103" s="1010"/>
      <c r="B103" s="887">
        <v>4</v>
      </c>
      <c r="C103" s="886">
        <f>B37</f>
        <v>150</v>
      </c>
      <c r="D103" s="886">
        <f t="shared" ref="D103:G103" si="30">C37</f>
        <v>-0.09</v>
      </c>
      <c r="E103" s="886">
        <f t="shared" si="30"/>
        <v>0.11</v>
      </c>
      <c r="F103" s="886">
        <f t="shared" si="30"/>
        <v>0.1</v>
      </c>
      <c r="G103" s="886">
        <f t="shared" si="30"/>
        <v>0.47</v>
      </c>
      <c r="I103" s="1010"/>
      <c r="J103" s="887">
        <v>4</v>
      </c>
      <c r="K103" s="884">
        <f>B45</f>
        <v>0</v>
      </c>
      <c r="L103" s="884">
        <f t="shared" ref="L103:O103" si="31">C45</f>
        <v>9.9999999999999995E-7</v>
      </c>
      <c r="M103" s="884">
        <f t="shared" si="31"/>
        <v>9.9999999999999995E-7</v>
      </c>
      <c r="N103" s="884">
        <f t="shared" si="31"/>
        <v>9.9999999999999995E-7</v>
      </c>
      <c r="O103" s="884">
        <f t="shared" si="31"/>
        <v>0.28999999999999998</v>
      </c>
    </row>
    <row r="104" spans="1:17" ht="13" x14ac:dyDescent="0.25">
      <c r="A104" s="1010"/>
      <c r="B104" s="887">
        <v>5</v>
      </c>
      <c r="C104" s="886">
        <f>I37</f>
        <v>150</v>
      </c>
      <c r="D104" s="886">
        <f t="shared" ref="D104:G104" si="32">J37</f>
        <v>-0.06</v>
      </c>
      <c r="E104" s="886">
        <f t="shared" si="32"/>
        <v>0.02</v>
      </c>
      <c r="F104" s="886">
        <f t="shared" si="32"/>
        <v>0.04</v>
      </c>
      <c r="G104" s="886">
        <f t="shared" si="32"/>
        <v>0.47</v>
      </c>
      <c r="I104" s="1010"/>
      <c r="J104" s="887">
        <v>5</v>
      </c>
      <c r="K104" s="884">
        <f>I45</f>
        <v>0</v>
      </c>
      <c r="L104" s="884">
        <f t="shared" ref="L104:O104" si="33">J45</f>
        <v>9.9999999999999995E-7</v>
      </c>
      <c r="M104" s="884">
        <f t="shared" si="33"/>
        <v>9.9999999999999995E-7</v>
      </c>
      <c r="N104" s="884">
        <f t="shared" si="33"/>
        <v>9.9999999999999995E-7</v>
      </c>
      <c r="O104" s="884">
        <f t="shared" si="33"/>
        <v>0.28999999999999998</v>
      </c>
    </row>
    <row r="105" spans="1:17" ht="13" x14ac:dyDescent="0.25">
      <c r="A105" s="1010"/>
      <c r="B105" s="887">
        <v>6</v>
      </c>
      <c r="C105" s="886">
        <f>P37</f>
        <v>150</v>
      </c>
      <c r="D105" s="886">
        <f t="shared" ref="D105:G105" si="34">Q37</f>
        <v>0.03</v>
      </c>
      <c r="E105" s="886">
        <f t="shared" si="34"/>
        <v>-0.15</v>
      </c>
      <c r="F105" s="886">
        <f t="shared" si="34"/>
        <v>0.09</v>
      </c>
      <c r="G105" s="886">
        <f t="shared" si="34"/>
        <v>1.2</v>
      </c>
      <c r="I105" s="1010"/>
      <c r="J105" s="887">
        <v>6</v>
      </c>
      <c r="K105" s="884">
        <f>P45</f>
        <v>9.9999999999999995E-7</v>
      </c>
      <c r="L105" s="884">
        <f t="shared" ref="L105:O105" si="35">Q45</f>
        <v>9.9999999999999995E-7</v>
      </c>
      <c r="M105" s="884">
        <f t="shared" si="35"/>
        <v>9.9999999999999995E-7</v>
      </c>
      <c r="N105" s="884">
        <f t="shared" si="35"/>
        <v>9.9999999999999995E-7</v>
      </c>
      <c r="O105" s="884">
        <f t="shared" si="35"/>
        <v>0.59</v>
      </c>
    </row>
    <row r="106" spans="1:17" ht="13" x14ac:dyDescent="0.25">
      <c r="A106" s="1010"/>
      <c r="B106" s="887">
        <v>7</v>
      </c>
      <c r="C106" s="886">
        <f>B68</f>
        <v>150</v>
      </c>
      <c r="D106" s="886">
        <f t="shared" ref="D106:G106" si="36">C68</f>
        <v>0.21</v>
      </c>
      <c r="E106" s="886">
        <f t="shared" si="36"/>
        <v>0.21</v>
      </c>
      <c r="F106" s="886">
        <f t="shared" si="36"/>
        <v>9.9999999999999995E-7</v>
      </c>
      <c r="G106" s="886">
        <f t="shared" si="36"/>
        <v>1.2</v>
      </c>
      <c r="I106" s="1010"/>
      <c r="J106" s="887">
        <v>7</v>
      </c>
      <c r="K106" s="884">
        <f>B76</f>
        <v>0</v>
      </c>
      <c r="L106" s="884">
        <f t="shared" ref="L106:O106" si="37">C76</f>
        <v>9.9999999999999995E-7</v>
      </c>
      <c r="M106" s="884">
        <f t="shared" si="37"/>
        <v>9.9999999999999995E-7</v>
      </c>
      <c r="N106" s="884">
        <f t="shared" si="37"/>
        <v>9.9999999999999995E-7</v>
      </c>
      <c r="O106" s="884">
        <f t="shared" si="37"/>
        <v>0.59</v>
      </c>
    </row>
    <row r="107" spans="1:17" ht="13" x14ac:dyDescent="0.25">
      <c r="A107" s="1010"/>
      <c r="B107" s="887">
        <v>8</v>
      </c>
      <c r="C107" s="886">
        <f>I68</f>
        <v>150</v>
      </c>
      <c r="D107" s="886">
        <f t="shared" ref="D107:G107" si="38">J68</f>
        <v>9.9999999999999995E-7</v>
      </c>
      <c r="E107" s="886">
        <f t="shared" si="38"/>
        <v>-0.17</v>
      </c>
      <c r="F107" s="886">
        <f t="shared" si="38"/>
        <v>8.5000500000000007E-2</v>
      </c>
      <c r="G107" s="886">
        <f t="shared" si="38"/>
        <v>1.2</v>
      </c>
      <c r="I107" s="1010"/>
      <c r="J107" s="887">
        <v>8</v>
      </c>
      <c r="K107" s="884">
        <f>I76</f>
        <v>0</v>
      </c>
      <c r="L107" s="884">
        <f t="shared" ref="L107:O107" si="39">J76</f>
        <v>9.9999999999999995E-7</v>
      </c>
      <c r="M107" s="884">
        <f t="shared" si="39"/>
        <v>9.9999999999999995E-7</v>
      </c>
      <c r="N107" s="884">
        <f t="shared" si="39"/>
        <v>9.9999999999999995E-7</v>
      </c>
      <c r="O107" s="884">
        <f t="shared" si="39"/>
        <v>0.59</v>
      </c>
    </row>
    <row r="108" spans="1:17" ht="13" x14ac:dyDescent="0.25">
      <c r="A108" s="1010"/>
      <c r="B108" s="887">
        <v>9</v>
      </c>
      <c r="C108" s="886">
        <f>P68</f>
        <v>150</v>
      </c>
      <c r="D108" s="886">
        <f t="shared" ref="D108:G108" si="40">Q68</f>
        <v>-0.24</v>
      </c>
      <c r="E108" s="886">
        <f t="shared" si="40"/>
        <v>-0.17</v>
      </c>
      <c r="F108" s="886">
        <f t="shared" si="40"/>
        <v>3.4999999999999989E-2</v>
      </c>
      <c r="G108" s="886">
        <f t="shared" si="40"/>
        <v>1.2</v>
      </c>
      <c r="I108" s="1010"/>
      <c r="J108" s="887">
        <v>9</v>
      </c>
      <c r="K108" s="884">
        <f>P76</f>
        <v>9.9999999999999995E-7</v>
      </c>
      <c r="L108" s="884">
        <f t="shared" ref="L108:O108" si="41">Q76</f>
        <v>9.9999999999999995E-7</v>
      </c>
      <c r="M108" s="884">
        <f t="shared" si="41"/>
        <v>9.9999999999999995E-7</v>
      </c>
      <c r="N108" s="884">
        <f t="shared" si="41"/>
        <v>9.9999999999999995E-7</v>
      </c>
      <c r="O108" s="884">
        <f t="shared" si="41"/>
        <v>0.59</v>
      </c>
    </row>
    <row r="109" spans="1:17" ht="14" x14ac:dyDescent="0.25">
      <c r="A109" s="1010" t="s">
        <v>55</v>
      </c>
      <c r="B109" s="882">
        <v>1</v>
      </c>
      <c r="C109" s="883">
        <f>B7</f>
        <v>180</v>
      </c>
      <c r="D109" s="883">
        <f t="shared" ref="D109:G109" si="42">C7</f>
        <v>-0.13</v>
      </c>
      <c r="E109" s="883">
        <f t="shared" si="42"/>
        <v>0.1</v>
      </c>
      <c r="F109" s="883">
        <f t="shared" si="42"/>
        <v>0.115</v>
      </c>
      <c r="G109" s="883">
        <f t="shared" si="42"/>
        <v>0.47</v>
      </c>
      <c r="I109" s="1010" t="s">
        <v>55</v>
      </c>
      <c r="J109" s="882">
        <v>1</v>
      </c>
      <c r="K109" s="888">
        <f>B15</f>
        <v>50</v>
      </c>
      <c r="L109" s="888">
        <f t="shared" ref="L109:O109" si="43">C15</f>
        <v>-0.06</v>
      </c>
      <c r="M109" s="888">
        <f t="shared" si="43"/>
        <v>0.1</v>
      </c>
      <c r="N109" s="888">
        <f t="shared" si="43"/>
        <v>0.08</v>
      </c>
      <c r="O109" s="888">
        <f t="shared" si="43"/>
        <v>0.28999999999999998</v>
      </c>
    </row>
    <row r="110" spans="1:17" ht="14" x14ac:dyDescent="0.25">
      <c r="A110" s="1010"/>
      <c r="B110" s="885">
        <v>2</v>
      </c>
      <c r="C110" s="888">
        <f>I7</f>
        <v>180</v>
      </c>
      <c r="D110" s="888">
        <f t="shared" ref="D110:G110" si="44">J7</f>
        <v>-0.06</v>
      </c>
      <c r="E110" s="883">
        <f t="shared" si="44"/>
        <v>0.12</v>
      </c>
      <c r="F110" s="888">
        <f t="shared" si="44"/>
        <v>0.09</v>
      </c>
      <c r="G110" s="888">
        <f t="shared" si="44"/>
        <v>0.47</v>
      </c>
      <c r="I110" s="1010"/>
      <c r="J110" s="885">
        <v>2</v>
      </c>
      <c r="K110" s="888">
        <f>I15</f>
        <v>50</v>
      </c>
      <c r="L110" s="883">
        <f t="shared" ref="L110:O110" si="45">J15</f>
        <v>0.1</v>
      </c>
      <c r="M110" s="889">
        <f t="shared" si="45"/>
        <v>0.1</v>
      </c>
      <c r="N110" s="888">
        <f t="shared" si="45"/>
        <v>9.9999999999999995E-7</v>
      </c>
      <c r="O110" s="888">
        <f t="shared" si="45"/>
        <v>0.28999999999999998</v>
      </c>
    </row>
    <row r="111" spans="1:17" x14ac:dyDescent="0.25">
      <c r="A111" s="1010"/>
      <c r="B111" s="887">
        <v>3</v>
      </c>
      <c r="C111" s="888">
        <f>P7</f>
        <v>180</v>
      </c>
      <c r="D111" s="888">
        <f t="shared" ref="D111:G111" si="46">Q7</f>
        <v>-0.13</v>
      </c>
      <c r="E111" s="888">
        <f t="shared" si="46"/>
        <v>-1.81</v>
      </c>
      <c r="F111" s="888">
        <f t="shared" si="46"/>
        <v>0.84000000000000008</v>
      </c>
      <c r="G111" s="888">
        <f t="shared" si="46"/>
        <v>1.2</v>
      </c>
      <c r="I111" s="1010"/>
      <c r="J111" s="887">
        <v>3</v>
      </c>
      <c r="K111" s="888">
        <f>P15</f>
        <v>50</v>
      </c>
      <c r="L111" s="888">
        <f t="shared" ref="L111:O111" si="47">Q15</f>
        <v>2</v>
      </c>
      <c r="M111" s="888">
        <f t="shared" si="47"/>
        <v>9.1</v>
      </c>
      <c r="N111" s="888">
        <f t="shared" si="47"/>
        <v>3.55</v>
      </c>
      <c r="O111" s="888">
        <f t="shared" si="47"/>
        <v>0.59</v>
      </c>
    </row>
    <row r="112" spans="1:17" x14ac:dyDescent="0.25">
      <c r="A112" s="1010"/>
      <c r="B112" s="887">
        <v>4</v>
      </c>
      <c r="C112" s="888">
        <f>B38</f>
        <v>180</v>
      </c>
      <c r="D112" s="888">
        <f t="shared" ref="D112:G112" si="48">C38</f>
        <v>-0.09</v>
      </c>
      <c r="E112" s="888">
        <f t="shared" si="48"/>
        <v>0.03</v>
      </c>
      <c r="F112" s="888">
        <f t="shared" si="48"/>
        <v>0.06</v>
      </c>
      <c r="G112" s="888">
        <f t="shared" si="48"/>
        <v>0.47</v>
      </c>
      <c r="I112" s="1010"/>
      <c r="J112" s="887">
        <v>4</v>
      </c>
      <c r="K112" s="888">
        <f>B46</f>
        <v>50</v>
      </c>
      <c r="L112" s="888">
        <f t="shared" ref="L112:O112" si="49">C46</f>
        <v>-0.1</v>
      </c>
      <c r="M112" s="888">
        <f t="shared" si="49"/>
        <v>0.2</v>
      </c>
      <c r="N112" s="888">
        <f t="shared" si="49"/>
        <v>0.15000000000000002</v>
      </c>
      <c r="O112" s="888">
        <f t="shared" si="49"/>
        <v>0.28999999999999998</v>
      </c>
    </row>
    <row r="113" spans="1:15" x14ac:dyDescent="0.25">
      <c r="A113" s="1010"/>
      <c r="B113" s="887">
        <v>5</v>
      </c>
      <c r="C113" s="888">
        <f>I38</f>
        <v>180</v>
      </c>
      <c r="D113" s="888">
        <f t="shared" ref="D113:G113" si="50">J38</f>
        <v>-0.11</v>
      </c>
      <c r="E113" s="888">
        <f t="shared" si="50"/>
        <v>0.1</v>
      </c>
      <c r="F113" s="888">
        <f t="shared" si="50"/>
        <v>0.10500000000000001</v>
      </c>
      <c r="G113" s="888">
        <f t="shared" si="50"/>
        <v>0.47</v>
      </c>
      <c r="I113" s="1010"/>
      <c r="J113" s="887">
        <v>5</v>
      </c>
      <c r="K113" s="888">
        <f>I46</f>
        <v>50</v>
      </c>
      <c r="L113" s="888">
        <f t="shared" ref="L113:O113" si="51">J46</f>
        <v>4.7</v>
      </c>
      <c r="M113" s="888">
        <f t="shared" si="51"/>
        <v>-0.33</v>
      </c>
      <c r="N113" s="888">
        <f t="shared" si="51"/>
        <v>2.5150000000000001</v>
      </c>
      <c r="O113" s="888">
        <f t="shared" si="51"/>
        <v>0.28999999999999998</v>
      </c>
    </row>
    <row r="114" spans="1:15" x14ac:dyDescent="0.25">
      <c r="A114" s="1010"/>
      <c r="B114" s="887">
        <v>6</v>
      </c>
      <c r="C114" s="888">
        <f>P38</f>
        <v>180</v>
      </c>
      <c r="D114" s="888">
        <f t="shared" ref="D114:G114" si="52">Q38</f>
        <v>9.9999999999999995E-7</v>
      </c>
      <c r="E114" s="888">
        <f t="shared" si="52"/>
        <v>-0.11</v>
      </c>
      <c r="F114" s="888">
        <f t="shared" si="52"/>
        <v>5.5000500000000001E-2</v>
      </c>
      <c r="G114" s="888">
        <f t="shared" si="52"/>
        <v>1.2</v>
      </c>
      <c r="I114" s="1010"/>
      <c r="J114" s="887">
        <v>6</v>
      </c>
      <c r="K114" s="888">
        <f>P46</f>
        <v>50</v>
      </c>
      <c r="L114" s="888">
        <f t="shared" ref="L114:O114" si="53">Q46</f>
        <v>2.1</v>
      </c>
      <c r="M114" s="888">
        <f t="shared" si="53"/>
        <v>2.6</v>
      </c>
      <c r="N114" s="888">
        <f t="shared" si="53"/>
        <v>0.25</v>
      </c>
      <c r="O114" s="888">
        <f t="shared" si="53"/>
        <v>0.59</v>
      </c>
    </row>
    <row r="115" spans="1:15" x14ac:dyDescent="0.25">
      <c r="A115" s="1010"/>
      <c r="B115" s="887">
        <v>7</v>
      </c>
      <c r="C115" s="888">
        <f>B69</f>
        <v>180</v>
      </c>
      <c r="D115" s="888">
        <f t="shared" ref="D115:G115" si="54">C69</f>
        <v>0.33</v>
      </c>
      <c r="E115" s="888">
        <f t="shared" si="54"/>
        <v>0.33</v>
      </c>
      <c r="F115" s="888">
        <f t="shared" si="54"/>
        <v>9.9999999999999995E-7</v>
      </c>
      <c r="G115" s="888">
        <f t="shared" si="54"/>
        <v>1.2</v>
      </c>
      <c r="I115" s="1010"/>
      <c r="J115" s="887">
        <v>7</v>
      </c>
      <c r="K115" s="888">
        <f>B77</f>
        <v>50</v>
      </c>
      <c r="L115" s="888">
        <f t="shared" ref="L115:O115" si="55">C77</f>
        <v>1.7</v>
      </c>
      <c r="M115" s="888">
        <f t="shared" si="55"/>
        <v>1.7</v>
      </c>
      <c r="N115" s="888">
        <f t="shared" si="55"/>
        <v>9.9999999999999995E-7</v>
      </c>
      <c r="O115" s="888">
        <f t="shared" si="55"/>
        <v>0.59</v>
      </c>
    </row>
    <row r="116" spans="1:15" x14ac:dyDescent="0.25">
      <c r="A116" s="1010"/>
      <c r="B116" s="887">
        <v>8</v>
      </c>
      <c r="C116" s="888">
        <f>I69</f>
        <v>180</v>
      </c>
      <c r="D116" s="888">
        <f t="shared" ref="D116:G116" si="56">J69</f>
        <v>9.9999999999999995E-7</v>
      </c>
      <c r="E116" s="888">
        <f t="shared" si="56"/>
        <v>-0.22</v>
      </c>
      <c r="F116" s="888">
        <f t="shared" si="56"/>
        <v>0.1100005</v>
      </c>
      <c r="G116" s="888">
        <f t="shared" si="56"/>
        <v>1.2</v>
      </c>
      <c r="I116" s="1010"/>
      <c r="J116" s="887">
        <v>8</v>
      </c>
      <c r="K116" s="888">
        <f>I77</f>
        <v>50</v>
      </c>
      <c r="L116" s="888">
        <f t="shared" ref="L116:O116" si="57">J77</f>
        <v>9.9999999999999995E-7</v>
      </c>
      <c r="M116" s="888">
        <f t="shared" si="57"/>
        <v>1.7</v>
      </c>
      <c r="N116" s="888">
        <f t="shared" si="57"/>
        <v>0.84999950000000002</v>
      </c>
      <c r="O116" s="888">
        <f t="shared" si="57"/>
        <v>0.59</v>
      </c>
    </row>
    <row r="117" spans="1:15" x14ac:dyDescent="0.25">
      <c r="A117" s="1010"/>
      <c r="B117" s="887">
        <v>9</v>
      </c>
      <c r="C117" s="888">
        <f>P69</f>
        <v>180</v>
      </c>
      <c r="D117" s="888">
        <f t="shared" ref="D117:G117" si="58">Q69</f>
        <v>-0.14000000000000001</v>
      </c>
      <c r="E117" s="888">
        <f t="shared" si="58"/>
        <v>-0.39</v>
      </c>
      <c r="F117" s="888">
        <f t="shared" si="58"/>
        <v>0.125</v>
      </c>
      <c r="G117" s="888">
        <f t="shared" si="58"/>
        <v>1.2</v>
      </c>
      <c r="I117" s="1010"/>
      <c r="J117" s="887">
        <v>9</v>
      </c>
      <c r="K117" s="888">
        <f>P77</f>
        <v>50</v>
      </c>
      <c r="L117" s="888">
        <f t="shared" ref="L117:O117" si="59">Q77</f>
        <v>2.1</v>
      </c>
      <c r="M117" s="888">
        <f t="shared" si="59"/>
        <v>5</v>
      </c>
      <c r="N117" s="888">
        <f t="shared" si="59"/>
        <v>1.45</v>
      </c>
      <c r="O117" s="888">
        <f t="shared" si="59"/>
        <v>0.59</v>
      </c>
    </row>
    <row r="118" spans="1:15" ht="14" x14ac:dyDescent="0.25">
      <c r="A118" s="1010" t="s">
        <v>56</v>
      </c>
      <c r="B118" s="882">
        <v>1</v>
      </c>
      <c r="C118" s="883">
        <f>B8</f>
        <v>200</v>
      </c>
      <c r="D118" s="883">
        <f t="shared" ref="D118:G118" si="60">C8</f>
        <v>-0.16</v>
      </c>
      <c r="E118" s="883">
        <f t="shared" si="60"/>
        <v>-0.04</v>
      </c>
      <c r="F118" s="883">
        <f t="shared" si="60"/>
        <v>0.06</v>
      </c>
      <c r="G118" s="883">
        <f t="shared" si="60"/>
        <v>0.47</v>
      </c>
      <c r="I118" s="1010" t="s">
        <v>56</v>
      </c>
      <c r="J118" s="882">
        <v>1</v>
      </c>
      <c r="K118" s="888">
        <f>B16</f>
        <v>100</v>
      </c>
      <c r="L118" s="888">
        <f t="shared" ref="L118:O118" si="61">C16</f>
        <v>-0.06</v>
      </c>
      <c r="M118" s="888">
        <f t="shared" si="61"/>
        <v>0.2</v>
      </c>
      <c r="N118" s="888">
        <f t="shared" si="61"/>
        <v>0.13</v>
      </c>
      <c r="O118" s="888">
        <f t="shared" si="61"/>
        <v>0.28999999999999998</v>
      </c>
    </row>
    <row r="119" spans="1:15" ht="14" x14ac:dyDescent="0.25">
      <c r="A119" s="1010"/>
      <c r="B119" s="885">
        <v>2</v>
      </c>
      <c r="C119" s="883">
        <f>I8</f>
        <v>200</v>
      </c>
      <c r="D119" s="883">
        <f t="shared" ref="D119:G119" si="62">J8</f>
        <v>-0.18</v>
      </c>
      <c r="E119" s="883">
        <f t="shared" si="62"/>
        <v>0.06</v>
      </c>
      <c r="F119" s="883">
        <f t="shared" si="62"/>
        <v>0.12</v>
      </c>
      <c r="G119" s="883">
        <f t="shared" si="62"/>
        <v>0.47</v>
      </c>
      <c r="I119" s="1010"/>
      <c r="J119" s="885">
        <v>2</v>
      </c>
      <c r="K119" s="888">
        <f>I16</f>
        <v>100</v>
      </c>
      <c r="L119" s="888">
        <f t="shared" ref="L119:O119" si="63">J16</f>
        <v>2.2000000000000002</v>
      </c>
      <c r="M119" s="888">
        <f t="shared" si="63"/>
        <v>0.4</v>
      </c>
      <c r="N119" s="888">
        <f t="shared" si="63"/>
        <v>0.90000000000000013</v>
      </c>
      <c r="O119" s="888">
        <f t="shared" si="63"/>
        <v>0.28999999999999998</v>
      </c>
    </row>
    <row r="120" spans="1:15" x14ac:dyDescent="0.25">
      <c r="A120" s="1010"/>
      <c r="B120" s="887">
        <v>3</v>
      </c>
      <c r="C120" s="888">
        <f>P8</f>
        <v>200</v>
      </c>
      <c r="D120" s="888">
        <f t="shared" ref="D120:G120" si="64">Q8</f>
        <v>-0.26</v>
      </c>
      <c r="E120" s="888">
        <f t="shared" si="64"/>
        <v>-2.0499999999999998</v>
      </c>
      <c r="F120" s="888">
        <f t="shared" si="64"/>
        <v>0.89499999999999991</v>
      </c>
      <c r="G120" s="888">
        <f t="shared" si="64"/>
        <v>1.2</v>
      </c>
      <c r="I120" s="1010"/>
      <c r="J120" s="887">
        <v>3</v>
      </c>
      <c r="K120" s="888">
        <f>P16</f>
        <v>100</v>
      </c>
      <c r="L120" s="888">
        <f t="shared" ref="L120:O120" si="65">Q16</f>
        <v>2</v>
      </c>
      <c r="M120" s="888">
        <f t="shared" si="65"/>
        <v>6</v>
      </c>
      <c r="N120" s="888">
        <f t="shared" si="65"/>
        <v>2</v>
      </c>
      <c r="O120" s="888">
        <f t="shared" si="65"/>
        <v>0.59</v>
      </c>
    </row>
    <row r="121" spans="1:15" x14ac:dyDescent="0.25">
      <c r="A121" s="1010"/>
      <c r="B121" s="887">
        <v>4</v>
      </c>
      <c r="C121" s="888">
        <f>B39</f>
        <v>200</v>
      </c>
      <c r="D121" s="888">
        <f t="shared" ref="D121:G121" si="66">C39</f>
        <v>-0.14000000000000001</v>
      </c>
      <c r="E121" s="888">
        <f t="shared" si="66"/>
        <v>0.05</v>
      </c>
      <c r="F121" s="888">
        <f t="shared" si="66"/>
        <v>9.5000000000000001E-2</v>
      </c>
      <c r="G121" s="888">
        <f t="shared" si="66"/>
        <v>0.47</v>
      </c>
      <c r="I121" s="1010"/>
      <c r="J121" s="887">
        <v>4</v>
      </c>
      <c r="K121" s="888">
        <f>B47</f>
        <v>100</v>
      </c>
      <c r="L121" s="888">
        <f t="shared" ref="L121:O121" si="67">C47</f>
        <v>-0.1</v>
      </c>
      <c r="M121" s="888">
        <f t="shared" si="67"/>
        <v>0.3</v>
      </c>
      <c r="N121" s="888">
        <f t="shared" si="67"/>
        <v>0.2</v>
      </c>
      <c r="O121" s="888">
        <f t="shared" si="67"/>
        <v>0.28999999999999998</v>
      </c>
    </row>
    <row r="122" spans="1:15" x14ac:dyDescent="0.25">
      <c r="A122" s="1010"/>
      <c r="B122" s="887">
        <v>5</v>
      </c>
      <c r="C122" s="888">
        <f>I39</f>
        <v>200</v>
      </c>
      <c r="D122" s="888">
        <f t="shared" ref="D122:G122" si="68">J39</f>
        <v>-0.17</v>
      </c>
      <c r="E122" s="888">
        <f t="shared" si="68"/>
        <v>-0.03</v>
      </c>
      <c r="F122" s="888">
        <f t="shared" si="68"/>
        <v>7.0000000000000007E-2</v>
      </c>
      <c r="G122" s="888">
        <f t="shared" si="68"/>
        <v>0.47</v>
      </c>
      <c r="I122" s="1010"/>
      <c r="J122" s="887">
        <v>5</v>
      </c>
      <c r="K122" s="888">
        <f>I47</f>
        <v>100</v>
      </c>
      <c r="L122" s="888">
        <f t="shared" ref="L122:O122" si="69">J47</f>
        <v>4.4000000000000004</v>
      </c>
      <c r="M122" s="888">
        <f t="shared" si="69"/>
        <v>-0.42</v>
      </c>
      <c r="N122" s="888">
        <f t="shared" si="69"/>
        <v>2.41</v>
      </c>
      <c r="O122" s="888">
        <f t="shared" si="69"/>
        <v>0.28999999999999998</v>
      </c>
    </row>
    <row r="123" spans="1:15" x14ac:dyDescent="0.25">
      <c r="A123" s="1010"/>
      <c r="B123" s="887">
        <v>6</v>
      </c>
      <c r="C123" s="888">
        <f>P39</f>
        <v>200</v>
      </c>
      <c r="D123" s="888">
        <f t="shared" ref="D123:G123" si="70">Q39</f>
        <v>0.05</v>
      </c>
      <c r="E123" s="888">
        <f t="shared" si="70"/>
        <v>-0.1</v>
      </c>
      <c r="F123" s="888">
        <f t="shared" si="70"/>
        <v>7.5000000000000011E-2</v>
      </c>
      <c r="G123" s="888">
        <f t="shared" si="70"/>
        <v>1.2</v>
      </c>
      <c r="I123" s="1010"/>
      <c r="J123" s="887">
        <v>6</v>
      </c>
      <c r="K123" s="888">
        <f>P47</f>
        <v>100</v>
      </c>
      <c r="L123" s="888">
        <f t="shared" ref="L123:O123" si="71">Q47</f>
        <v>2.2999999999999998</v>
      </c>
      <c r="M123" s="888">
        <f t="shared" si="71"/>
        <v>2.6</v>
      </c>
      <c r="N123" s="888">
        <f t="shared" si="71"/>
        <v>0.15000000000000013</v>
      </c>
      <c r="O123" s="888">
        <f t="shared" si="71"/>
        <v>0.59</v>
      </c>
    </row>
    <row r="124" spans="1:15" x14ac:dyDescent="0.25">
      <c r="A124" s="1010"/>
      <c r="B124" s="887">
        <v>7</v>
      </c>
      <c r="C124" s="888">
        <f>B70</f>
        <v>200</v>
      </c>
      <c r="D124" s="888">
        <f t="shared" ref="D124:G124" si="72">C70</f>
        <v>0.34</v>
      </c>
      <c r="E124" s="888">
        <f t="shared" si="72"/>
        <v>0.34</v>
      </c>
      <c r="F124" s="888">
        <f t="shared" si="72"/>
        <v>9.9999999999999995E-7</v>
      </c>
      <c r="G124" s="888">
        <f t="shared" si="72"/>
        <v>1.2</v>
      </c>
      <c r="I124" s="1010"/>
      <c r="J124" s="887">
        <v>7</v>
      </c>
      <c r="K124" s="888">
        <f>B78</f>
        <v>100</v>
      </c>
      <c r="L124" s="888">
        <f t="shared" ref="L124:O124" si="73">C78</f>
        <v>1.7</v>
      </c>
      <c r="M124" s="888">
        <f t="shared" si="73"/>
        <v>1.7</v>
      </c>
      <c r="N124" s="888">
        <f t="shared" si="73"/>
        <v>9.9999999999999995E-7</v>
      </c>
      <c r="O124" s="888">
        <f t="shared" si="73"/>
        <v>0.59</v>
      </c>
    </row>
    <row r="125" spans="1:15" x14ac:dyDescent="0.25">
      <c r="A125" s="1010"/>
      <c r="B125" s="887">
        <v>8</v>
      </c>
      <c r="C125" s="888">
        <f>I70</f>
        <v>200</v>
      </c>
      <c r="D125" s="888">
        <f t="shared" ref="D125:G125" si="74">J70</f>
        <v>9.9999999999999995E-7</v>
      </c>
      <c r="E125" s="888">
        <f t="shared" si="74"/>
        <v>-0.33</v>
      </c>
      <c r="F125" s="888">
        <f t="shared" si="74"/>
        <v>0.16500049999999999</v>
      </c>
      <c r="G125" s="888">
        <f t="shared" si="74"/>
        <v>1.2</v>
      </c>
      <c r="I125" s="1010"/>
      <c r="J125" s="887">
        <v>8</v>
      </c>
      <c r="K125" s="888">
        <f>I78</f>
        <v>100</v>
      </c>
      <c r="L125" s="888">
        <f t="shared" ref="L125:O125" si="75">J78</f>
        <v>9.9999999999999995E-7</v>
      </c>
      <c r="M125" s="888">
        <f t="shared" si="75"/>
        <v>3.4</v>
      </c>
      <c r="N125" s="888">
        <f t="shared" si="75"/>
        <v>1.6999994999999999</v>
      </c>
      <c r="O125" s="888">
        <f t="shared" si="75"/>
        <v>0.59</v>
      </c>
    </row>
    <row r="126" spans="1:15" x14ac:dyDescent="0.25">
      <c r="A126" s="1010"/>
      <c r="B126" s="887">
        <v>9</v>
      </c>
      <c r="C126" s="888">
        <f>P70</f>
        <v>200</v>
      </c>
      <c r="D126" s="888">
        <f t="shared" ref="D126:G126" si="76">Q70</f>
        <v>-0.33</v>
      </c>
      <c r="E126" s="888">
        <f t="shared" si="76"/>
        <v>-0.23</v>
      </c>
      <c r="F126" s="888">
        <f t="shared" si="76"/>
        <v>0.05</v>
      </c>
      <c r="G126" s="888">
        <f t="shared" si="76"/>
        <v>1.2</v>
      </c>
      <c r="I126" s="1010"/>
      <c r="J126" s="887">
        <v>9</v>
      </c>
      <c r="K126" s="888">
        <f>P78</f>
        <v>100</v>
      </c>
      <c r="L126" s="888">
        <f t="shared" ref="L126:O126" si="77">Q78</f>
        <v>3.7</v>
      </c>
      <c r="M126" s="888">
        <f t="shared" si="77"/>
        <v>0.7</v>
      </c>
      <c r="N126" s="888">
        <f t="shared" si="77"/>
        <v>1.5</v>
      </c>
      <c r="O126" s="888">
        <f t="shared" si="77"/>
        <v>0.59</v>
      </c>
    </row>
    <row r="127" spans="1:15" ht="14" x14ac:dyDescent="0.25">
      <c r="A127" s="1010" t="s">
        <v>57</v>
      </c>
      <c r="B127" s="882">
        <v>1</v>
      </c>
      <c r="C127" s="883">
        <f>B9</f>
        <v>220</v>
      </c>
      <c r="D127" s="883">
        <f t="shared" ref="D127:G127" si="78">C9</f>
        <v>-0.18</v>
      </c>
      <c r="E127" s="883">
        <f t="shared" si="78"/>
        <v>-0.28000000000000003</v>
      </c>
      <c r="F127" s="883">
        <f t="shared" si="78"/>
        <v>5.0000000000000017E-2</v>
      </c>
      <c r="G127" s="883">
        <f t="shared" si="78"/>
        <v>0.47</v>
      </c>
      <c r="I127" s="1010" t="s">
        <v>57</v>
      </c>
      <c r="J127" s="882">
        <v>1</v>
      </c>
      <c r="K127" s="888">
        <f>B17</f>
        <v>200</v>
      </c>
      <c r="L127" s="888">
        <f t="shared" ref="L127:O127" si="79">C17</f>
        <v>0</v>
      </c>
      <c r="M127" s="888">
        <f t="shared" si="79"/>
        <v>0.4</v>
      </c>
      <c r="N127" s="888">
        <f t="shared" si="79"/>
        <v>0.2</v>
      </c>
      <c r="O127" s="888">
        <f t="shared" si="79"/>
        <v>0.28999999999999998</v>
      </c>
    </row>
    <row r="128" spans="1:15" ht="14" x14ac:dyDescent="0.25">
      <c r="A128" s="1010"/>
      <c r="B128" s="885">
        <v>2</v>
      </c>
      <c r="C128" s="888">
        <f>I9</f>
        <v>220</v>
      </c>
      <c r="D128" s="888">
        <f t="shared" ref="D128:G128" si="80">J9</f>
        <v>-0.03</v>
      </c>
      <c r="E128" s="888">
        <f t="shared" si="80"/>
        <v>0.05</v>
      </c>
      <c r="F128" s="888">
        <f t="shared" si="80"/>
        <v>0.04</v>
      </c>
      <c r="G128" s="888">
        <f t="shared" si="80"/>
        <v>0.47</v>
      </c>
      <c r="I128" s="1010"/>
      <c r="J128" s="885">
        <v>2</v>
      </c>
      <c r="K128" s="888">
        <f>I17</f>
        <v>200</v>
      </c>
      <c r="L128" s="888">
        <f t="shared" ref="L128:O128" si="81">J17</f>
        <v>3.3</v>
      </c>
      <c r="M128" s="888">
        <f t="shared" si="81"/>
        <v>0.7</v>
      </c>
      <c r="N128" s="888">
        <f t="shared" si="81"/>
        <v>1.2999999999999998</v>
      </c>
      <c r="O128" s="888">
        <f t="shared" si="81"/>
        <v>0.28999999999999998</v>
      </c>
    </row>
    <row r="129" spans="1:15" x14ac:dyDescent="0.25">
      <c r="A129" s="1010"/>
      <c r="B129" s="887">
        <v>3</v>
      </c>
      <c r="C129" s="888">
        <f>P9</f>
        <v>220</v>
      </c>
      <c r="D129" s="888">
        <f t="shared" ref="D129:G129" si="82">Q9</f>
        <v>-0.28999999999999998</v>
      </c>
      <c r="E129" s="888">
        <f t="shared" si="82"/>
        <v>-2.29</v>
      </c>
      <c r="F129" s="888">
        <f t="shared" si="82"/>
        <v>1</v>
      </c>
      <c r="G129" s="888">
        <f t="shared" si="82"/>
        <v>1.2</v>
      </c>
      <c r="I129" s="1010"/>
      <c r="J129" s="887">
        <v>3</v>
      </c>
      <c r="K129" s="888">
        <f>P17</f>
        <v>200</v>
      </c>
      <c r="L129" s="888">
        <f t="shared" ref="L129:O129" si="83">Q17</f>
        <v>3.6</v>
      </c>
      <c r="M129" s="888">
        <f t="shared" si="83"/>
        <v>-3.6</v>
      </c>
      <c r="N129" s="888">
        <f t="shared" si="83"/>
        <v>3.6</v>
      </c>
      <c r="O129" s="888">
        <f t="shared" si="83"/>
        <v>0.59</v>
      </c>
    </row>
    <row r="130" spans="1:15" x14ac:dyDescent="0.25">
      <c r="A130" s="1010"/>
      <c r="B130" s="887">
        <v>4</v>
      </c>
      <c r="C130" s="888">
        <f>B40</f>
        <v>220</v>
      </c>
      <c r="D130" s="888">
        <f t="shared" ref="D130:G130" si="84">C40</f>
        <v>-0.19</v>
      </c>
      <c r="E130" s="888">
        <f t="shared" si="84"/>
        <v>0.1</v>
      </c>
      <c r="F130" s="888">
        <f t="shared" si="84"/>
        <v>0.14500000000000002</v>
      </c>
      <c r="G130" s="888">
        <f t="shared" si="84"/>
        <v>0.47</v>
      </c>
      <c r="I130" s="1010"/>
      <c r="J130" s="887">
        <v>4</v>
      </c>
      <c r="K130" s="888">
        <f>B48</f>
        <v>200</v>
      </c>
      <c r="L130" s="888">
        <f t="shared" ref="L130:O130" si="85">C48</f>
        <v>1.1000000000000001</v>
      </c>
      <c r="M130" s="888">
        <f t="shared" si="85"/>
        <v>1.4</v>
      </c>
      <c r="N130" s="888">
        <f t="shared" si="85"/>
        <v>0.14999999999999991</v>
      </c>
      <c r="O130" s="888">
        <f t="shared" si="85"/>
        <v>0.28999999999999998</v>
      </c>
    </row>
    <row r="131" spans="1:15" x14ac:dyDescent="0.25">
      <c r="A131" s="1010"/>
      <c r="B131" s="887">
        <v>5</v>
      </c>
      <c r="C131" s="888">
        <f>I40</f>
        <v>220</v>
      </c>
      <c r="D131" s="888">
        <f t="shared" ref="D131:G131" si="86">J40</f>
        <v>-0.25</v>
      </c>
      <c r="E131" s="888">
        <f t="shared" si="86"/>
        <v>0.38</v>
      </c>
      <c r="F131" s="888">
        <f t="shared" si="86"/>
        <v>0.315</v>
      </c>
      <c r="G131" s="888">
        <f t="shared" si="86"/>
        <v>0.47</v>
      </c>
      <c r="I131" s="1010"/>
      <c r="J131" s="887">
        <v>5</v>
      </c>
      <c r="K131" s="888">
        <f>I48</f>
        <v>200</v>
      </c>
      <c r="L131" s="888">
        <f t="shared" ref="L131:O131" si="87">J48</f>
        <v>15.6</v>
      </c>
      <c r="M131" s="888">
        <f t="shared" si="87"/>
        <v>1.3</v>
      </c>
      <c r="N131" s="888">
        <f t="shared" si="87"/>
        <v>7.1499999999999995</v>
      </c>
      <c r="O131" s="888">
        <f t="shared" si="87"/>
        <v>0.28999999999999998</v>
      </c>
    </row>
    <row r="132" spans="1:15" x14ac:dyDescent="0.25">
      <c r="A132" s="1010"/>
      <c r="B132" s="887">
        <v>6</v>
      </c>
      <c r="C132" s="888">
        <f>P40</f>
        <v>220</v>
      </c>
      <c r="D132" s="888">
        <f t="shared" ref="D132:G132" si="88">Q40</f>
        <v>0.05</v>
      </c>
      <c r="E132" s="888">
        <f t="shared" si="88"/>
        <v>-0.13</v>
      </c>
      <c r="F132" s="888">
        <f t="shared" si="88"/>
        <v>0.09</v>
      </c>
      <c r="G132" s="888">
        <f t="shared" si="88"/>
        <v>1.2</v>
      </c>
      <c r="I132" s="1010"/>
      <c r="J132" s="887">
        <v>6</v>
      </c>
      <c r="K132" s="888">
        <f>P48</f>
        <v>200</v>
      </c>
      <c r="L132" s="888">
        <f t="shared" ref="L132:O132" si="89">Q48</f>
        <v>0.2</v>
      </c>
      <c r="M132" s="888">
        <f t="shared" si="89"/>
        <v>3.1</v>
      </c>
      <c r="N132" s="888">
        <f t="shared" si="89"/>
        <v>1.45</v>
      </c>
      <c r="O132" s="888">
        <f t="shared" si="89"/>
        <v>0.59</v>
      </c>
    </row>
    <row r="133" spans="1:15" x14ac:dyDescent="0.25">
      <c r="A133" s="1010"/>
      <c r="B133" s="887">
        <v>7</v>
      </c>
      <c r="C133" s="888">
        <f>B71</f>
        <v>220</v>
      </c>
      <c r="D133" s="888">
        <f t="shared" ref="D133:G133" si="90">C71</f>
        <v>0.37</v>
      </c>
      <c r="E133" s="888">
        <f t="shared" si="90"/>
        <v>0.37</v>
      </c>
      <c r="F133" s="888">
        <f t="shared" si="90"/>
        <v>9.9999999999999995E-7</v>
      </c>
      <c r="G133" s="888">
        <f t="shared" si="90"/>
        <v>1.2</v>
      </c>
      <c r="I133" s="1010"/>
      <c r="J133" s="887">
        <v>7</v>
      </c>
      <c r="K133" s="888">
        <f>B79</f>
        <v>200</v>
      </c>
      <c r="L133" s="888">
        <f t="shared" ref="L133:O133" si="91">C79</f>
        <v>0.4</v>
      </c>
      <c r="M133" s="888">
        <f t="shared" si="91"/>
        <v>0.4</v>
      </c>
      <c r="N133" s="888">
        <f t="shared" si="91"/>
        <v>9.9999999999999995E-7</v>
      </c>
      <c r="O133" s="888">
        <f t="shared" si="91"/>
        <v>0.59</v>
      </c>
    </row>
    <row r="134" spans="1:15" x14ac:dyDescent="0.25">
      <c r="A134" s="1010"/>
      <c r="B134" s="887">
        <v>8</v>
      </c>
      <c r="C134" s="888">
        <f>I71</f>
        <v>220</v>
      </c>
      <c r="D134" s="888">
        <f t="shared" ref="D134:G134" si="92">J71</f>
        <v>9.9999999999999995E-7</v>
      </c>
      <c r="E134" s="888">
        <f t="shared" si="92"/>
        <v>-0.39</v>
      </c>
      <c r="F134" s="888">
        <f t="shared" si="92"/>
        <v>0.19500049999999999</v>
      </c>
      <c r="G134" s="888">
        <f t="shared" si="92"/>
        <v>1.2</v>
      </c>
      <c r="I134" s="1010"/>
      <c r="J134" s="887">
        <v>8</v>
      </c>
      <c r="K134" s="888">
        <f>I79</f>
        <v>500</v>
      </c>
      <c r="L134" s="888">
        <f t="shared" ref="L134:O134" si="93">J79</f>
        <v>9.9999999999999995E-7</v>
      </c>
      <c r="M134" s="888">
        <f t="shared" si="93"/>
        <v>7.2</v>
      </c>
      <c r="N134" s="888">
        <f t="shared" si="93"/>
        <v>3.5999995</v>
      </c>
      <c r="O134" s="888">
        <f t="shared" si="93"/>
        <v>0.59</v>
      </c>
    </row>
    <row r="135" spans="1:15" x14ac:dyDescent="0.25">
      <c r="A135" s="1010"/>
      <c r="B135" s="887">
        <v>9</v>
      </c>
      <c r="C135" s="888">
        <f>P71</f>
        <v>220</v>
      </c>
      <c r="D135" s="888">
        <f t="shared" ref="D135:G135" si="94">Q71</f>
        <v>-0.45</v>
      </c>
      <c r="E135" s="888">
        <f t="shared" si="94"/>
        <v>-0.45</v>
      </c>
      <c r="F135" s="888">
        <f t="shared" si="94"/>
        <v>9.9999999999999995E-7</v>
      </c>
      <c r="G135" s="888">
        <f t="shared" si="94"/>
        <v>1.2</v>
      </c>
      <c r="I135" s="1010"/>
      <c r="J135" s="887">
        <v>9</v>
      </c>
      <c r="K135" s="888">
        <f>P79</f>
        <v>200</v>
      </c>
      <c r="L135" s="888">
        <f t="shared" ref="L135:O135" si="95">Q79</f>
        <v>8.3000000000000007</v>
      </c>
      <c r="M135" s="888">
        <f t="shared" si="95"/>
        <v>-8.1999999999999993</v>
      </c>
      <c r="N135" s="888">
        <f t="shared" si="95"/>
        <v>8.25</v>
      </c>
      <c r="O135" s="888">
        <f t="shared" si="95"/>
        <v>0.59</v>
      </c>
    </row>
    <row r="136" spans="1:15" ht="14" x14ac:dyDescent="0.25">
      <c r="A136" s="1010" t="s">
        <v>58</v>
      </c>
      <c r="B136" s="882">
        <v>1</v>
      </c>
      <c r="C136" s="883">
        <f>B10</f>
        <v>230</v>
      </c>
      <c r="D136" s="883">
        <f t="shared" ref="D136:G136" si="96">C10</f>
        <v>-0.26</v>
      </c>
      <c r="E136" s="883">
        <f t="shared" si="96"/>
        <v>-0.2</v>
      </c>
      <c r="F136" s="883">
        <f t="shared" si="96"/>
        <v>0.03</v>
      </c>
      <c r="G136" s="883">
        <f t="shared" si="96"/>
        <v>0.47</v>
      </c>
      <c r="I136" s="1010" t="s">
        <v>58</v>
      </c>
      <c r="J136" s="882">
        <v>1</v>
      </c>
      <c r="K136" s="888">
        <f>B18</f>
        <v>500</v>
      </c>
      <c r="L136" s="888">
        <f t="shared" ref="L136:O136" si="97">C18</f>
        <v>-0.9</v>
      </c>
      <c r="M136" s="888">
        <f t="shared" si="97"/>
        <v>3.8</v>
      </c>
      <c r="N136" s="888">
        <f t="shared" si="97"/>
        <v>2.35</v>
      </c>
      <c r="O136" s="888">
        <f t="shared" si="97"/>
        <v>0.28999999999999998</v>
      </c>
    </row>
    <row r="137" spans="1:15" ht="14" x14ac:dyDescent="0.25">
      <c r="A137" s="1010"/>
      <c r="B137" s="885">
        <v>2</v>
      </c>
      <c r="C137" s="888">
        <f>I10</f>
        <v>230</v>
      </c>
      <c r="D137" s="888">
        <f t="shared" ref="D137:G137" si="98">J10</f>
        <v>-10.02</v>
      </c>
      <c r="E137" s="888">
        <f t="shared" si="98"/>
        <v>0.05</v>
      </c>
      <c r="F137" s="888">
        <f t="shared" si="98"/>
        <v>5.0350000000000001</v>
      </c>
      <c r="G137" s="888">
        <f t="shared" si="98"/>
        <v>0.47</v>
      </c>
      <c r="I137" s="1010"/>
      <c r="J137" s="885">
        <v>2</v>
      </c>
      <c r="K137" s="888">
        <f>I18</f>
        <v>500</v>
      </c>
      <c r="L137" s="888">
        <f t="shared" ref="L137:O137" si="99">J18</f>
        <v>20</v>
      </c>
      <c r="M137" s="888">
        <f t="shared" si="99"/>
        <v>0.8</v>
      </c>
      <c r="N137" s="888">
        <f t="shared" si="99"/>
        <v>9.6</v>
      </c>
      <c r="O137" s="888">
        <f t="shared" si="99"/>
        <v>0.28999999999999998</v>
      </c>
    </row>
    <row r="138" spans="1:15" x14ac:dyDescent="0.25">
      <c r="A138" s="1010"/>
      <c r="B138" s="887">
        <v>3</v>
      </c>
      <c r="C138" s="888">
        <f>P10</f>
        <v>230</v>
      </c>
      <c r="D138" s="888">
        <f t="shared" ref="D138:G138" si="100">Q10</f>
        <v>-0.23</v>
      </c>
      <c r="E138" s="888">
        <f t="shared" si="100"/>
        <v>-11.79</v>
      </c>
      <c r="F138" s="888">
        <f t="shared" si="100"/>
        <v>5.7799999999999994</v>
      </c>
      <c r="G138" s="888">
        <f t="shared" si="100"/>
        <v>1.2</v>
      </c>
      <c r="I138" s="1010"/>
      <c r="J138" s="887">
        <v>3</v>
      </c>
      <c r="K138" s="888">
        <f>P18</f>
        <v>500</v>
      </c>
      <c r="L138" s="888">
        <f t="shared" ref="L138:O138" si="101">Q18</f>
        <v>2.9</v>
      </c>
      <c r="M138" s="888">
        <f t="shared" si="101"/>
        <v>-18.8</v>
      </c>
      <c r="N138" s="888">
        <f t="shared" si="101"/>
        <v>10.85</v>
      </c>
      <c r="O138" s="888">
        <f t="shared" si="101"/>
        <v>0.59</v>
      </c>
    </row>
    <row r="139" spans="1:15" x14ac:dyDescent="0.25">
      <c r="A139" s="1010"/>
      <c r="B139" s="887">
        <v>4</v>
      </c>
      <c r="C139" s="888">
        <f>B41</f>
        <v>230</v>
      </c>
      <c r="D139" s="888">
        <f t="shared" ref="D139:G139" si="102">C41</f>
        <v>-0.2</v>
      </c>
      <c r="E139" s="888">
        <f t="shared" si="102"/>
        <v>0.36799999999999999</v>
      </c>
      <c r="F139" s="888">
        <f t="shared" si="102"/>
        <v>0.28400000000000003</v>
      </c>
      <c r="G139" s="888">
        <f t="shared" si="102"/>
        <v>0.47</v>
      </c>
      <c r="I139" s="1010"/>
      <c r="J139" s="887">
        <v>4</v>
      </c>
      <c r="K139" s="888">
        <f>B49</f>
        <v>500</v>
      </c>
      <c r="L139" s="888">
        <f t="shared" ref="L139:O139" si="103">C49</f>
        <v>0.9</v>
      </c>
      <c r="M139" s="888">
        <f t="shared" si="103"/>
        <v>2.8</v>
      </c>
      <c r="N139" s="888">
        <f t="shared" si="103"/>
        <v>0.95</v>
      </c>
      <c r="O139" s="888">
        <f t="shared" si="103"/>
        <v>0.28999999999999998</v>
      </c>
    </row>
    <row r="140" spans="1:15" x14ac:dyDescent="0.25">
      <c r="A140" s="1010"/>
      <c r="B140" s="887">
        <v>5</v>
      </c>
      <c r="C140" s="888">
        <f>I41</f>
        <v>230</v>
      </c>
      <c r="D140" s="888">
        <f t="shared" ref="D140:G140" si="104">J41</f>
        <v>-0.23</v>
      </c>
      <c r="E140" s="888">
        <f t="shared" si="104"/>
        <v>-0.16</v>
      </c>
      <c r="F140" s="888">
        <f t="shared" si="104"/>
        <v>3.5000000000000003E-2</v>
      </c>
      <c r="G140" s="888">
        <f t="shared" si="104"/>
        <v>0.47</v>
      </c>
      <c r="I140" s="1010"/>
      <c r="J140" s="887">
        <v>5</v>
      </c>
      <c r="K140" s="888">
        <f>I49</f>
        <v>500</v>
      </c>
      <c r="L140" s="888">
        <f t="shared" ref="L140:O140" si="105">J49</f>
        <v>14.3</v>
      </c>
      <c r="M140" s="888">
        <f t="shared" si="105"/>
        <v>0.7</v>
      </c>
      <c r="N140" s="888">
        <f t="shared" si="105"/>
        <v>6.8000000000000007</v>
      </c>
      <c r="O140" s="888">
        <f t="shared" si="105"/>
        <v>0.28999999999999998</v>
      </c>
    </row>
    <row r="141" spans="1:15" x14ac:dyDescent="0.25">
      <c r="A141" s="1010"/>
      <c r="B141" s="887">
        <v>6</v>
      </c>
      <c r="C141" s="888">
        <f>P41</f>
        <v>230</v>
      </c>
      <c r="D141" s="888">
        <f t="shared" ref="D141:G141" si="106">Q41</f>
        <v>-0.05</v>
      </c>
      <c r="E141" s="888">
        <f t="shared" si="106"/>
        <v>-0.15</v>
      </c>
      <c r="F141" s="888">
        <f t="shared" si="106"/>
        <v>4.9999999999999996E-2</v>
      </c>
      <c r="G141" s="888">
        <f t="shared" si="106"/>
        <v>1.2</v>
      </c>
      <c r="I141" s="1010"/>
      <c r="J141" s="887">
        <v>6</v>
      </c>
      <c r="K141" s="888">
        <f>P49</f>
        <v>500</v>
      </c>
      <c r="L141" s="888">
        <f t="shared" ref="L141:O141" si="107">Q49</f>
        <v>2.8</v>
      </c>
      <c r="M141" s="888">
        <f t="shared" si="107"/>
        <v>3.9</v>
      </c>
      <c r="N141" s="888">
        <f t="shared" si="107"/>
        <v>0.55000000000000004</v>
      </c>
      <c r="O141" s="888">
        <f t="shared" si="107"/>
        <v>0.59</v>
      </c>
    </row>
    <row r="142" spans="1:15" x14ac:dyDescent="0.25">
      <c r="A142" s="1010"/>
      <c r="B142" s="887">
        <v>7</v>
      </c>
      <c r="C142" s="888">
        <f>B72</f>
        <v>230</v>
      </c>
      <c r="D142" s="888">
        <f t="shared" ref="D142:G142" si="108">C72</f>
        <v>0.47</v>
      </c>
      <c r="E142" s="888">
        <f t="shared" si="108"/>
        <v>0.47</v>
      </c>
      <c r="F142" s="888">
        <f t="shared" si="108"/>
        <v>9.9999999999999995E-7</v>
      </c>
      <c r="G142" s="888">
        <f t="shared" si="108"/>
        <v>1.2</v>
      </c>
      <c r="I142" s="1010"/>
      <c r="J142" s="887">
        <v>7</v>
      </c>
      <c r="K142" s="888">
        <f>B80</f>
        <v>500</v>
      </c>
      <c r="L142" s="888">
        <f t="shared" ref="L142:O142" si="109">C80</f>
        <v>3</v>
      </c>
      <c r="M142" s="888">
        <f t="shared" si="109"/>
        <v>3</v>
      </c>
      <c r="N142" s="888">
        <f t="shared" si="109"/>
        <v>9.9999999999999995E-7</v>
      </c>
      <c r="O142" s="888">
        <f t="shared" si="109"/>
        <v>0.59</v>
      </c>
    </row>
    <row r="143" spans="1:15" x14ac:dyDescent="0.25">
      <c r="A143" s="1010"/>
      <c r="B143" s="887">
        <v>8</v>
      </c>
      <c r="C143" s="888">
        <f>I72</f>
        <v>230</v>
      </c>
      <c r="D143" s="888">
        <f t="shared" ref="D143:G143" si="110">J72</f>
        <v>9.9999999999999995E-7</v>
      </c>
      <c r="E143" s="888">
        <f t="shared" si="110"/>
        <v>-0.39</v>
      </c>
      <c r="F143" s="888">
        <f t="shared" si="110"/>
        <v>0.19500049999999999</v>
      </c>
      <c r="G143" s="888">
        <f t="shared" si="110"/>
        <v>1.2</v>
      </c>
      <c r="I143" s="1010"/>
      <c r="J143" s="887">
        <v>8</v>
      </c>
      <c r="K143" s="888">
        <f>I80</f>
        <v>500</v>
      </c>
      <c r="L143" s="888">
        <f t="shared" ref="L143:O143" si="111">J80</f>
        <v>9.9999999999999995E-7</v>
      </c>
      <c r="M143" s="888">
        <f t="shared" si="111"/>
        <v>7.2</v>
      </c>
      <c r="N143" s="888">
        <f t="shared" si="111"/>
        <v>3.5999995</v>
      </c>
      <c r="O143" s="888">
        <f t="shared" si="111"/>
        <v>0.59</v>
      </c>
    </row>
    <row r="144" spans="1:15" x14ac:dyDescent="0.25">
      <c r="A144" s="1010"/>
      <c r="B144" s="887">
        <v>9</v>
      </c>
      <c r="C144" s="888">
        <f>P72</f>
        <v>230</v>
      </c>
      <c r="D144" s="888">
        <f t="shared" ref="D144:G144" si="112">Q72</f>
        <v>-0.54</v>
      </c>
      <c r="E144" s="888">
        <f t="shared" si="112"/>
        <v>-0.16</v>
      </c>
      <c r="F144" s="888">
        <f t="shared" si="112"/>
        <v>0.19</v>
      </c>
      <c r="G144" s="888">
        <f t="shared" si="112"/>
        <v>1.2</v>
      </c>
      <c r="I144" s="1010"/>
      <c r="J144" s="887">
        <v>9</v>
      </c>
      <c r="K144" s="888">
        <f>P80</f>
        <v>500</v>
      </c>
      <c r="L144" s="888">
        <f t="shared" ref="L144:O144" si="113">Q80</f>
        <v>8.3000000000000007</v>
      </c>
      <c r="M144" s="888">
        <f t="shared" si="113"/>
        <v>-31.8</v>
      </c>
      <c r="N144" s="888">
        <f t="shared" si="113"/>
        <v>20.05</v>
      </c>
      <c r="O144" s="888">
        <f t="shared" si="113"/>
        <v>0.59</v>
      </c>
    </row>
    <row r="145" spans="1:16" ht="14" x14ac:dyDescent="0.25">
      <c r="A145" s="1010" t="s">
        <v>59</v>
      </c>
      <c r="B145" s="882">
        <v>1</v>
      </c>
      <c r="C145" s="883">
        <f>B11</f>
        <v>250</v>
      </c>
      <c r="D145" s="883">
        <f t="shared" ref="D145:G145" si="114">C11</f>
        <v>9.9999999999999995E-7</v>
      </c>
      <c r="E145" s="883">
        <f t="shared" si="114"/>
        <v>9.9999999999999995E-7</v>
      </c>
      <c r="F145" s="883">
        <f t="shared" si="114"/>
        <v>9.9999999999999995E-7</v>
      </c>
      <c r="G145" s="883">
        <f t="shared" si="114"/>
        <v>0.47</v>
      </c>
      <c r="I145" s="1010" t="s">
        <v>59</v>
      </c>
      <c r="J145" s="882">
        <v>1</v>
      </c>
      <c r="K145" s="888">
        <f>B19</f>
        <v>1000</v>
      </c>
      <c r="L145" s="888">
        <f t="shared" ref="L145:O145" si="115">C19</f>
        <v>-3.0000000000000001E-3</v>
      </c>
      <c r="M145" s="888">
        <f t="shared" si="115"/>
        <v>9</v>
      </c>
      <c r="N145" s="888">
        <f t="shared" si="115"/>
        <v>4.5015000000000001</v>
      </c>
      <c r="O145" s="888">
        <f t="shared" si="115"/>
        <v>0.28999999999999998</v>
      </c>
    </row>
    <row r="146" spans="1:16" ht="14" x14ac:dyDescent="0.25">
      <c r="A146" s="1010"/>
      <c r="B146" s="885">
        <v>2</v>
      </c>
      <c r="C146" s="888">
        <f>I11</f>
        <v>250</v>
      </c>
      <c r="D146" s="888">
        <f t="shared" ref="D146:G146" si="116">J11</f>
        <v>9.9999999999999995E-7</v>
      </c>
      <c r="E146" s="888">
        <f t="shared" si="116"/>
        <v>9.9999999999999995E-7</v>
      </c>
      <c r="F146" s="888">
        <f t="shared" si="116"/>
        <v>9.9999999999999995E-7</v>
      </c>
      <c r="G146" s="888">
        <f t="shared" si="116"/>
        <v>0.47</v>
      </c>
      <c r="I146" s="1010"/>
      <c r="J146" s="885">
        <v>2</v>
      </c>
      <c r="K146" s="888">
        <f>I19</f>
        <v>1000</v>
      </c>
      <c r="L146" s="888">
        <f t="shared" ref="L146:O146" si="117">J19</f>
        <v>2</v>
      </c>
      <c r="M146" s="888">
        <f t="shared" si="117"/>
        <v>8.0000000000000002E-3</v>
      </c>
      <c r="N146" s="888">
        <f t="shared" si="117"/>
        <v>0.996</v>
      </c>
      <c r="O146" s="888">
        <f t="shared" si="117"/>
        <v>0.28999999999999998</v>
      </c>
    </row>
    <row r="147" spans="1:16" x14ac:dyDescent="0.25">
      <c r="A147" s="1010"/>
      <c r="B147" s="887">
        <v>3</v>
      </c>
      <c r="C147" s="888">
        <f>P11</f>
        <v>250</v>
      </c>
      <c r="D147" s="888">
        <f t="shared" ref="D147:G147" si="118">Q11</f>
        <v>9.9999999999999995E-7</v>
      </c>
      <c r="E147" s="888">
        <f t="shared" si="118"/>
        <v>9.9999999999999995E-7</v>
      </c>
      <c r="F147" s="888">
        <f t="shared" si="118"/>
        <v>9.9999999999999995E-7</v>
      </c>
      <c r="G147" s="888">
        <f t="shared" si="118"/>
        <v>1.2</v>
      </c>
      <c r="I147" s="1010"/>
      <c r="J147" s="887">
        <v>3</v>
      </c>
      <c r="K147" s="888">
        <f>P19</f>
        <v>1000</v>
      </c>
      <c r="L147" s="888">
        <f t="shared" ref="L147:O147" si="119">Q19</f>
        <v>3</v>
      </c>
      <c r="M147" s="888">
        <f t="shared" si="119"/>
        <v>-47</v>
      </c>
      <c r="N147" s="888">
        <f t="shared" si="119"/>
        <v>25</v>
      </c>
      <c r="O147" s="888">
        <f t="shared" si="119"/>
        <v>0.59</v>
      </c>
    </row>
    <row r="148" spans="1:16" x14ac:dyDescent="0.25">
      <c r="A148" s="1010"/>
      <c r="B148" s="887">
        <v>4</v>
      </c>
      <c r="C148" s="888">
        <f>B42</f>
        <v>250</v>
      </c>
      <c r="D148" s="888">
        <f t="shared" ref="D148:G148" si="120">C42</f>
        <v>9.9999999999999995E-7</v>
      </c>
      <c r="E148" s="888">
        <f t="shared" si="120"/>
        <v>9.9999999999999995E-7</v>
      </c>
      <c r="F148" s="888">
        <f t="shared" si="120"/>
        <v>9.9999999999999995E-7</v>
      </c>
      <c r="G148" s="888">
        <f t="shared" si="120"/>
        <v>0.47</v>
      </c>
      <c r="I148" s="1010"/>
      <c r="J148" s="887">
        <v>4</v>
      </c>
      <c r="K148" s="888">
        <f>B50</f>
        <v>1000</v>
      </c>
      <c r="L148" s="888">
        <f t="shared" ref="L148:O148" si="121">C50</f>
        <v>2</v>
      </c>
      <c r="M148" s="888">
        <f t="shared" si="121"/>
        <v>1.2E-2</v>
      </c>
      <c r="N148" s="888">
        <f t="shared" si="121"/>
        <v>0.99399999999999999</v>
      </c>
      <c r="O148" s="888">
        <f t="shared" si="121"/>
        <v>0.28999999999999998</v>
      </c>
    </row>
    <row r="149" spans="1:16" x14ac:dyDescent="0.25">
      <c r="A149" s="1010"/>
      <c r="B149" s="887">
        <v>5</v>
      </c>
      <c r="C149" s="888">
        <f>I42</f>
        <v>250</v>
      </c>
      <c r="D149" s="888">
        <f t="shared" ref="D149:G149" si="122">J42</f>
        <v>9.9999999999999995E-7</v>
      </c>
      <c r="E149" s="888">
        <f t="shared" si="122"/>
        <v>9.9999999999999995E-7</v>
      </c>
      <c r="F149" s="888">
        <f t="shared" si="122"/>
        <v>9.9999999999999995E-7</v>
      </c>
      <c r="G149" s="888">
        <f t="shared" si="122"/>
        <v>0.47</v>
      </c>
      <c r="I149" s="1010"/>
      <c r="J149" s="887">
        <v>5</v>
      </c>
      <c r="K149" s="888">
        <f>I50</f>
        <v>1000</v>
      </c>
      <c r="L149" s="888">
        <f t="shared" ref="L149:O149" si="123">J50</f>
        <v>15</v>
      </c>
      <c r="M149" s="888">
        <f t="shared" si="123"/>
        <v>2E-3</v>
      </c>
      <c r="N149" s="888">
        <f t="shared" si="123"/>
        <v>7.4989999999999997</v>
      </c>
      <c r="O149" s="888">
        <f t="shared" si="123"/>
        <v>0.28999999999999998</v>
      </c>
    </row>
    <row r="150" spans="1:16" x14ac:dyDescent="0.25">
      <c r="A150" s="1010"/>
      <c r="B150" s="887">
        <v>6</v>
      </c>
      <c r="C150" s="888">
        <f>P42</f>
        <v>250</v>
      </c>
      <c r="D150" s="888">
        <f t="shared" ref="D150:G150" si="124">Q42</f>
        <v>9.9999999999999995E-7</v>
      </c>
      <c r="E150" s="888">
        <f t="shared" si="124"/>
        <v>9.9999999999999995E-7</v>
      </c>
      <c r="F150" s="888">
        <f t="shared" si="124"/>
        <v>9.9999999999999995E-7</v>
      </c>
      <c r="G150" s="888">
        <f t="shared" si="124"/>
        <v>1.2</v>
      </c>
      <c r="I150" s="1010"/>
      <c r="J150" s="887">
        <v>6</v>
      </c>
      <c r="K150" s="888">
        <f>P50</f>
        <v>1000</v>
      </c>
      <c r="L150" s="888">
        <f t="shared" ref="L150:O150" si="125">Q50</f>
        <v>13</v>
      </c>
      <c r="M150" s="888">
        <f t="shared" si="125"/>
        <v>5.0000000000000001E-3</v>
      </c>
      <c r="N150" s="888">
        <f t="shared" si="125"/>
        <v>6.4974999999999996</v>
      </c>
      <c r="O150" s="888">
        <f t="shared" si="125"/>
        <v>0.59</v>
      </c>
    </row>
    <row r="151" spans="1:16" x14ac:dyDescent="0.25">
      <c r="A151" s="1010"/>
      <c r="B151" s="887">
        <v>7</v>
      </c>
      <c r="C151" s="888">
        <f>B73</f>
        <v>250</v>
      </c>
      <c r="D151" s="888">
        <f t="shared" ref="D151:G151" si="126">C73</f>
        <v>9.9999999999999995E-7</v>
      </c>
      <c r="E151" s="888">
        <f t="shared" si="126"/>
        <v>9.9999999999999995E-7</v>
      </c>
      <c r="F151" s="888">
        <f t="shared" si="126"/>
        <v>9.9999999999999995E-7</v>
      </c>
      <c r="G151" s="888">
        <f t="shared" si="126"/>
        <v>1.2</v>
      </c>
      <c r="I151" s="1010"/>
      <c r="J151" s="887">
        <v>7</v>
      </c>
      <c r="K151" s="888">
        <f>B81</f>
        <v>1000</v>
      </c>
      <c r="L151" s="888">
        <f t="shared" ref="L151:O151" si="127">C81</f>
        <v>5</v>
      </c>
      <c r="M151" s="888">
        <f t="shared" si="127"/>
        <v>4</v>
      </c>
      <c r="N151" s="888">
        <f t="shared" si="127"/>
        <v>0.5</v>
      </c>
      <c r="O151" s="888">
        <f t="shared" si="127"/>
        <v>0.59</v>
      </c>
    </row>
    <row r="152" spans="1:16" x14ac:dyDescent="0.25">
      <c r="A152" s="1010"/>
      <c r="B152" s="887">
        <v>8</v>
      </c>
      <c r="C152" s="888">
        <f>I73</f>
        <v>250</v>
      </c>
      <c r="D152" s="888">
        <f t="shared" ref="D152:G152" si="128">J73</f>
        <v>9.9999999999999995E-7</v>
      </c>
      <c r="E152" s="888">
        <f t="shared" si="128"/>
        <v>9.9999999999999995E-7</v>
      </c>
      <c r="F152" s="888">
        <f t="shared" si="128"/>
        <v>9.9999999999999995E-7</v>
      </c>
      <c r="G152" s="888">
        <f t="shared" si="128"/>
        <v>1.2</v>
      </c>
      <c r="I152" s="1010"/>
      <c r="J152" s="887">
        <v>8</v>
      </c>
      <c r="K152" s="888">
        <f>I81</f>
        <v>1000</v>
      </c>
      <c r="L152" s="888">
        <f t="shared" ref="L152:O152" si="129">J81</f>
        <v>9.9999999999999995E-7</v>
      </c>
      <c r="M152" s="888">
        <f t="shared" si="129"/>
        <v>80</v>
      </c>
      <c r="N152" s="888">
        <f t="shared" si="129"/>
        <v>39.999999500000001</v>
      </c>
      <c r="O152" s="888">
        <f t="shared" si="129"/>
        <v>0.59</v>
      </c>
    </row>
    <row r="153" spans="1:16" x14ac:dyDescent="0.25">
      <c r="A153" s="1010"/>
      <c r="B153" s="887">
        <v>9</v>
      </c>
      <c r="C153" s="888">
        <f>P73</f>
        <v>250</v>
      </c>
      <c r="D153" s="888">
        <f t="shared" ref="D153:G153" si="130">Q73</f>
        <v>9.9999999999999995E-7</v>
      </c>
      <c r="E153" s="888">
        <f t="shared" si="130"/>
        <v>-0.15</v>
      </c>
      <c r="F153" s="888">
        <f t="shared" si="130"/>
        <v>7.5000499999999998E-2</v>
      </c>
      <c r="G153" s="888">
        <f t="shared" si="130"/>
        <v>1.2</v>
      </c>
      <c r="I153" s="1010"/>
      <c r="J153" s="887">
        <v>9</v>
      </c>
      <c r="K153" s="888">
        <f>P81</f>
        <v>1000</v>
      </c>
      <c r="L153" s="888">
        <f t="shared" ref="L153:O153" si="131">Q81</f>
        <v>-97</v>
      </c>
      <c r="M153" s="888">
        <f t="shared" si="131"/>
        <v>-74</v>
      </c>
      <c r="N153" s="888">
        <f t="shared" si="131"/>
        <v>11.5</v>
      </c>
      <c r="O153" s="888">
        <f t="shared" si="131"/>
        <v>0.59</v>
      </c>
    </row>
    <row r="154" spans="1:16" x14ac:dyDescent="0.25">
      <c r="A154" s="770"/>
      <c r="B154" s="771"/>
      <c r="C154" s="771"/>
      <c r="O154" s="890"/>
    </row>
    <row r="155" spans="1:16" ht="14" x14ac:dyDescent="0.3">
      <c r="A155" s="1011" t="s">
        <v>33</v>
      </c>
      <c r="B155" s="1007" t="s">
        <v>284</v>
      </c>
      <c r="C155" s="1012" t="s">
        <v>272</v>
      </c>
      <c r="D155" s="1012"/>
      <c r="E155" s="1012"/>
      <c r="F155" s="1012"/>
      <c r="G155" s="1012"/>
      <c r="H155" s="551"/>
      <c r="I155" s="1011" t="s">
        <v>33</v>
      </c>
      <c r="J155" s="1007" t="s">
        <v>284</v>
      </c>
      <c r="K155" s="1008" t="s">
        <v>272</v>
      </c>
      <c r="L155" s="1008"/>
      <c r="M155" s="1008"/>
      <c r="N155" s="1008"/>
      <c r="O155" s="1008"/>
      <c r="P155" s="891"/>
    </row>
    <row r="156" spans="1:16" ht="13" x14ac:dyDescent="0.25">
      <c r="A156" s="1011"/>
      <c r="B156" s="1007"/>
      <c r="C156" s="1009" t="str">
        <f>B20</f>
        <v>Main-PE</v>
      </c>
      <c r="D156" s="1009"/>
      <c r="E156" s="1009"/>
      <c r="F156" s="877" t="s">
        <v>274</v>
      </c>
      <c r="G156" s="877" t="s">
        <v>167</v>
      </c>
      <c r="I156" s="1011"/>
      <c r="J156" s="1007"/>
      <c r="K156" s="1009" t="str">
        <f>B26</f>
        <v>Resistance</v>
      </c>
      <c r="L156" s="1009"/>
      <c r="M156" s="1009"/>
      <c r="N156" s="877" t="s">
        <v>274</v>
      </c>
      <c r="O156" s="877" t="s">
        <v>167</v>
      </c>
    </row>
    <row r="157" spans="1:16" ht="14.5" x14ac:dyDescent="0.25">
      <c r="A157" s="1011"/>
      <c r="B157" s="1007"/>
      <c r="C157" s="880" t="s">
        <v>473</v>
      </c>
      <c r="D157" s="877"/>
      <c r="E157" s="877"/>
      <c r="F157" s="877"/>
      <c r="G157" s="877"/>
      <c r="I157" s="1011"/>
      <c r="J157" s="1007"/>
      <c r="K157" s="880" t="s">
        <v>474</v>
      </c>
      <c r="L157" s="877"/>
      <c r="M157" s="877"/>
      <c r="N157" s="877"/>
      <c r="O157" s="877"/>
    </row>
    <row r="158" spans="1:16" ht="14" x14ac:dyDescent="0.25">
      <c r="A158" s="1006" t="s">
        <v>54</v>
      </c>
      <c r="B158" s="881">
        <v>1</v>
      </c>
      <c r="C158" s="888">
        <f>B22</f>
        <v>10</v>
      </c>
      <c r="D158" s="888" t="str">
        <f t="shared" ref="D158:G158" si="132">C22</f>
        <v>-</v>
      </c>
      <c r="E158" s="888">
        <f t="shared" si="132"/>
        <v>9.9999999999999995E-7</v>
      </c>
      <c r="F158" s="888">
        <f t="shared" si="132"/>
        <v>9.9999999999999995E-7</v>
      </c>
      <c r="G158" s="888">
        <f t="shared" si="132"/>
        <v>1.4</v>
      </c>
      <c r="I158" s="1006" t="s">
        <v>54</v>
      </c>
      <c r="J158" s="881">
        <v>1</v>
      </c>
      <c r="K158" s="883">
        <f>B28</f>
        <v>0.01</v>
      </c>
      <c r="L158" s="883">
        <f t="shared" ref="L158:O158" si="133">C28</f>
        <v>9.9999999999999995E-7</v>
      </c>
      <c r="M158" s="883">
        <f t="shared" si="133"/>
        <v>9.9999999999999995E-7</v>
      </c>
      <c r="N158" s="883">
        <f t="shared" si="133"/>
        <v>9.9999999999999995E-7</v>
      </c>
      <c r="O158" s="883">
        <f t="shared" si="133"/>
        <v>0.43</v>
      </c>
    </row>
    <row r="159" spans="1:16" x14ac:dyDescent="0.25">
      <c r="A159" s="1006"/>
      <c r="B159" s="881">
        <v>2</v>
      </c>
      <c r="C159" s="888">
        <f>I22</f>
        <v>10</v>
      </c>
      <c r="D159" s="888">
        <f t="shared" ref="D159:G159" si="134">J22</f>
        <v>0</v>
      </c>
      <c r="E159" s="888">
        <f t="shared" si="134"/>
        <v>0.1</v>
      </c>
      <c r="F159" s="888">
        <f t="shared" si="134"/>
        <v>0.05</v>
      </c>
      <c r="G159" s="888">
        <f t="shared" si="134"/>
        <v>1.3</v>
      </c>
      <c r="I159" s="1006"/>
      <c r="J159" s="881">
        <v>2</v>
      </c>
      <c r="K159" s="888">
        <f>I28</f>
        <v>0.01</v>
      </c>
      <c r="L159" s="888">
        <f t="shared" ref="L159:O159" si="135">J28</f>
        <v>9.9999999999999995E-7</v>
      </c>
      <c r="M159" s="888">
        <f t="shared" si="135"/>
        <v>9.9999999999999995E-7</v>
      </c>
      <c r="N159" s="888">
        <f t="shared" si="135"/>
        <v>9.9999999999999995E-7</v>
      </c>
      <c r="O159" s="888">
        <f t="shared" si="135"/>
        <v>0.43</v>
      </c>
    </row>
    <row r="160" spans="1:16" x14ac:dyDescent="0.25">
      <c r="A160" s="1006"/>
      <c r="B160" s="881">
        <v>3</v>
      </c>
      <c r="C160" s="888">
        <f>P22</f>
        <v>10</v>
      </c>
      <c r="D160" s="888">
        <f t="shared" ref="D160:G160" si="136">Q22</f>
        <v>9.9999999999999995E-7</v>
      </c>
      <c r="E160" s="888">
        <f t="shared" si="136"/>
        <v>9.9999999999999995E-7</v>
      </c>
      <c r="F160" s="888">
        <f t="shared" si="136"/>
        <v>9.9999999999999995E-7</v>
      </c>
      <c r="G160" s="888">
        <f t="shared" si="136"/>
        <v>5.1000000000000004E-2</v>
      </c>
      <c r="I160" s="1006"/>
      <c r="J160" s="881">
        <v>3</v>
      </c>
      <c r="K160" s="888">
        <f>P28</f>
        <v>0.01</v>
      </c>
      <c r="L160" s="888">
        <f t="shared" ref="L160:O160" si="137">Q28</f>
        <v>9.9999999999999995E-7</v>
      </c>
      <c r="M160" s="888">
        <f t="shared" si="137"/>
        <v>9.9999999999999995E-7</v>
      </c>
      <c r="N160" s="888">
        <f t="shared" si="137"/>
        <v>9.9999999999999995E-7</v>
      </c>
      <c r="O160" s="888">
        <f t="shared" si="137"/>
        <v>1.2</v>
      </c>
    </row>
    <row r="161" spans="1:15" x14ac:dyDescent="0.25">
      <c r="A161" s="1006"/>
      <c r="B161" s="881">
        <v>4</v>
      </c>
      <c r="C161" s="888">
        <f>B53</f>
        <v>10</v>
      </c>
      <c r="D161" s="888">
        <f t="shared" ref="D161:G161" si="138">C53</f>
        <v>9.9999999999999995E-7</v>
      </c>
      <c r="E161" s="888">
        <f t="shared" si="138"/>
        <v>0.1</v>
      </c>
      <c r="F161" s="888">
        <f t="shared" si="138"/>
        <v>4.9999500000000002E-2</v>
      </c>
      <c r="G161" s="888">
        <f t="shared" si="138"/>
        <v>1.3</v>
      </c>
      <c r="I161" s="1006"/>
      <c r="J161" s="881">
        <v>4</v>
      </c>
      <c r="K161" s="888">
        <f>B59</f>
        <v>0.01</v>
      </c>
      <c r="L161" s="888">
        <f t="shared" ref="L161:O161" si="139">C59</f>
        <v>9.9999999999999995E-7</v>
      </c>
      <c r="M161" s="888">
        <f t="shared" si="139"/>
        <v>9.9999999999999995E-7</v>
      </c>
      <c r="N161" s="888">
        <f t="shared" si="139"/>
        <v>9.9999999999999995E-7</v>
      </c>
      <c r="O161" s="888">
        <f t="shared" si="139"/>
        <v>0.43</v>
      </c>
    </row>
    <row r="162" spans="1:15" x14ac:dyDescent="0.25">
      <c r="A162" s="1006"/>
      <c r="B162" s="881">
        <v>5</v>
      </c>
      <c r="C162" s="888">
        <f>I53</f>
        <v>10</v>
      </c>
      <c r="D162" s="888">
        <f t="shared" ref="D162:G162" si="140">J53</f>
        <v>9.9999999999999995E-7</v>
      </c>
      <c r="E162" s="888">
        <f t="shared" si="140"/>
        <v>0.1</v>
      </c>
      <c r="F162" s="888">
        <f t="shared" si="140"/>
        <v>4.9999500000000002E-2</v>
      </c>
      <c r="G162" s="888">
        <f t="shared" si="140"/>
        <v>1.3</v>
      </c>
      <c r="I162" s="1006"/>
      <c r="J162" s="881">
        <v>5</v>
      </c>
      <c r="K162" s="888">
        <f>I59</f>
        <v>0.01</v>
      </c>
      <c r="L162" s="888">
        <f t="shared" ref="L162:O162" si="141">J59</f>
        <v>9.9999999999999995E-7</v>
      </c>
      <c r="M162" s="888">
        <f t="shared" si="141"/>
        <v>9.9999999999999995E-7</v>
      </c>
      <c r="N162" s="888">
        <f t="shared" si="141"/>
        <v>9.9999999999999995E-7</v>
      </c>
      <c r="O162" s="888">
        <f t="shared" si="141"/>
        <v>0.43</v>
      </c>
    </row>
    <row r="163" spans="1:15" x14ac:dyDescent="0.25">
      <c r="A163" s="1006"/>
      <c r="B163" s="881">
        <v>6</v>
      </c>
      <c r="C163" s="888">
        <f>P53</f>
        <v>10</v>
      </c>
      <c r="D163" s="888">
        <f t="shared" ref="D163:G163" si="142">Q53</f>
        <v>9.9999999999999995E-7</v>
      </c>
      <c r="E163" s="888">
        <f t="shared" si="142"/>
        <v>0.1</v>
      </c>
      <c r="F163" s="888">
        <f t="shared" si="142"/>
        <v>4.9999500000000002E-2</v>
      </c>
      <c r="G163" s="888">
        <f t="shared" si="142"/>
        <v>1.7</v>
      </c>
      <c r="I163" s="1006"/>
      <c r="J163" s="881">
        <v>6</v>
      </c>
      <c r="K163" s="888">
        <f>P59</f>
        <v>0.01</v>
      </c>
      <c r="L163" s="888">
        <f t="shared" ref="L163:O163" si="143">Q59</f>
        <v>9.9999999999999995E-7</v>
      </c>
      <c r="M163" s="888">
        <f t="shared" si="143"/>
        <v>9.9999999999999995E-7</v>
      </c>
      <c r="N163" s="888">
        <f t="shared" si="143"/>
        <v>9.9999999999999995E-7</v>
      </c>
      <c r="O163" s="888">
        <f t="shared" si="143"/>
        <v>1.2</v>
      </c>
    </row>
    <row r="164" spans="1:15" x14ac:dyDescent="0.25">
      <c r="A164" s="1006"/>
      <c r="B164" s="881">
        <v>7</v>
      </c>
      <c r="C164" s="888">
        <f>B84</f>
        <v>10</v>
      </c>
      <c r="D164" s="888" t="str">
        <f t="shared" ref="D164:G164" si="144">C84</f>
        <v>-</v>
      </c>
      <c r="E164" s="888">
        <f t="shared" si="144"/>
        <v>9.9999999999999995E-7</v>
      </c>
      <c r="F164" s="888">
        <f t="shared" si="144"/>
        <v>1.0000000000000001E-5</v>
      </c>
      <c r="G164" s="888">
        <f t="shared" si="144"/>
        <v>1.7</v>
      </c>
      <c r="I164" s="1006"/>
      <c r="J164" s="881">
        <v>7</v>
      </c>
      <c r="K164" s="888">
        <f>B90</f>
        <v>0.01</v>
      </c>
      <c r="L164" s="888">
        <f t="shared" ref="L164:O164" si="145">C90</f>
        <v>9.9999999999999995E-7</v>
      </c>
      <c r="M164" s="888">
        <f t="shared" si="145"/>
        <v>9.9999999999999995E-7</v>
      </c>
      <c r="N164" s="888">
        <f t="shared" si="145"/>
        <v>9.9999999999999995E-7</v>
      </c>
      <c r="O164" s="888">
        <f t="shared" si="145"/>
        <v>1.2</v>
      </c>
    </row>
    <row r="165" spans="1:15" x14ac:dyDescent="0.25">
      <c r="A165" s="1006"/>
      <c r="B165" s="881">
        <v>8</v>
      </c>
      <c r="C165" s="888">
        <f>I84</f>
        <v>10</v>
      </c>
      <c r="D165" s="888">
        <f t="shared" ref="D165:G165" si="146">J84</f>
        <v>9.9999999999999995E-7</v>
      </c>
      <c r="E165" s="888">
        <f t="shared" si="146"/>
        <v>9.9999999999999995E-7</v>
      </c>
      <c r="F165" s="888">
        <f t="shared" si="146"/>
        <v>9.9999999999999995E-7</v>
      </c>
      <c r="G165" s="888">
        <f t="shared" si="146"/>
        <v>0</v>
      </c>
      <c r="I165" s="1006"/>
      <c r="J165" s="881">
        <v>8</v>
      </c>
      <c r="K165" s="888">
        <f>I90</f>
        <v>0.01</v>
      </c>
      <c r="L165" s="888">
        <f t="shared" ref="L165:O165" si="147">J90</f>
        <v>9.9999999999999995E-7</v>
      </c>
      <c r="M165" s="888">
        <f t="shared" si="147"/>
        <v>9.9999999999999995E-7</v>
      </c>
      <c r="N165" s="888">
        <f t="shared" si="147"/>
        <v>9.9999999999999995E-7</v>
      </c>
      <c r="O165" s="888">
        <f t="shared" si="147"/>
        <v>1.2</v>
      </c>
    </row>
    <row r="166" spans="1:15" x14ac:dyDescent="0.25">
      <c r="A166" s="1006"/>
      <c r="B166" s="881">
        <v>9</v>
      </c>
      <c r="C166" s="888">
        <f>P84</f>
        <v>10</v>
      </c>
      <c r="D166" s="888">
        <f t="shared" ref="D166:F166" si="148">Q84</f>
        <v>9.9999999999999995E-7</v>
      </c>
      <c r="E166" s="888">
        <f t="shared" si="148"/>
        <v>9.9999999999999995E-7</v>
      </c>
      <c r="F166" s="888">
        <f t="shared" si="148"/>
        <v>9.9999999999999995E-7</v>
      </c>
      <c r="G166" s="888">
        <f>T84</f>
        <v>1.7</v>
      </c>
      <c r="I166" s="1006"/>
      <c r="J166" s="881">
        <v>9</v>
      </c>
      <c r="K166" s="888">
        <f>P90</f>
        <v>0.01</v>
      </c>
      <c r="L166" s="888">
        <f t="shared" ref="L166:O166" si="149">Q90</f>
        <v>9.9999999999999995E-7</v>
      </c>
      <c r="M166" s="888">
        <f t="shared" si="149"/>
        <v>9.9999999999999995E-7</v>
      </c>
      <c r="N166" s="888">
        <f t="shared" si="149"/>
        <v>9.9999999999999995E-7</v>
      </c>
      <c r="O166" s="888">
        <f t="shared" si="149"/>
        <v>1.2</v>
      </c>
    </row>
    <row r="167" spans="1:15" x14ac:dyDescent="0.25">
      <c r="A167" s="1006" t="s">
        <v>55</v>
      </c>
      <c r="B167" s="881">
        <v>1</v>
      </c>
      <c r="C167" s="888">
        <f>B23</f>
        <v>20</v>
      </c>
      <c r="D167" s="888" t="str">
        <f t="shared" ref="D167:G167" si="150">C23</f>
        <v>-</v>
      </c>
      <c r="E167" s="888">
        <f t="shared" si="150"/>
        <v>9.9999999999999995E-7</v>
      </c>
      <c r="F167" s="888">
        <f t="shared" si="150"/>
        <v>9.9999999999999995E-7</v>
      </c>
      <c r="G167" s="888">
        <f t="shared" si="150"/>
        <v>1.4</v>
      </c>
      <c r="I167" s="1006" t="s">
        <v>55</v>
      </c>
      <c r="J167" s="881">
        <v>1</v>
      </c>
      <c r="K167" s="888">
        <f>B29</f>
        <v>0.1</v>
      </c>
      <c r="L167" s="888">
        <f t="shared" ref="L167:O167" si="151">C29</f>
        <v>2E-3</v>
      </c>
      <c r="M167" s="888">
        <f t="shared" si="151"/>
        <v>-1E-3</v>
      </c>
      <c r="N167" s="888">
        <f t="shared" si="151"/>
        <v>9.9999999999999995E-7</v>
      </c>
      <c r="O167" s="888">
        <f t="shared" si="151"/>
        <v>0.43</v>
      </c>
    </row>
    <row r="168" spans="1:15" x14ac:dyDescent="0.25">
      <c r="A168" s="1006"/>
      <c r="B168" s="881">
        <v>2</v>
      </c>
      <c r="C168" s="888">
        <f>I23</f>
        <v>20</v>
      </c>
      <c r="D168" s="888">
        <f t="shared" ref="D168:G168" si="152">J23</f>
        <v>0.1</v>
      </c>
      <c r="E168" s="888">
        <f t="shared" si="152"/>
        <v>0.2</v>
      </c>
      <c r="F168" s="888">
        <f t="shared" si="152"/>
        <v>0.05</v>
      </c>
      <c r="G168" s="888">
        <f t="shared" si="152"/>
        <v>1.3</v>
      </c>
      <c r="I168" s="1006"/>
      <c r="J168" s="881">
        <v>2</v>
      </c>
      <c r="K168" s="888">
        <f>I29</f>
        <v>0.1</v>
      </c>
      <c r="L168" s="888">
        <f t="shared" ref="L168:O168" si="153">J29</f>
        <v>5.0000000000000001E-3</v>
      </c>
      <c r="M168" s="888">
        <f t="shared" si="153"/>
        <v>6.0000000000000001E-3</v>
      </c>
      <c r="N168" s="888">
        <f t="shared" si="153"/>
        <v>9.9999999999999995E-7</v>
      </c>
      <c r="O168" s="888">
        <f t="shared" si="153"/>
        <v>0.43</v>
      </c>
    </row>
    <row r="169" spans="1:15" x14ac:dyDescent="0.25">
      <c r="A169" s="1006"/>
      <c r="B169" s="881">
        <v>3</v>
      </c>
      <c r="C169" s="888">
        <f>P23</f>
        <v>20</v>
      </c>
      <c r="D169" s="888">
        <f t="shared" ref="D169:G169" si="154">Q23</f>
        <v>9.9999999999999995E-7</v>
      </c>
      <c r="E169" s="888">
        <f t="shared" si="154"/>
        <v>9.9999999999999995E-7</v>
      </c>
      <c r="F169" s="888">
        <f t="shared" si="154"/>
        <v>9.9999999999999995E-7</v>
      </c>
      <c r="G169" s="888">
        <f t="shared" si="154"/>
        <v>5.1000000000000004E-2</v>
      </c>
      <c r="I169" s="1006"/>
      <c r="J169" s="881">
        <v>3</v>
      </c>
      <c r="K169" s="888">
        <f>P29</f>
        <v>0.1</v>
      </c>
      <c r="L169" s="888">
        <f t="shared" ref="L169:O169" si="155">Q29</f>
        <v>9.9999999999999995E-7</v>
      </c>
      <c r="M169" s="888">
        <f t="shared" si="155"/>
        <v>9.9999999999999995E-7</v>
      </c>
      <c r="N169" s="888">
        <f t="shared" si="155"/>
        <v>9.9999999999999995E-7</v>
      </c>
      <c r="O169" s="888">
        <f t="shared" si="155"/>
        <v>1.2</v>
      </c>
    </row>
    <row r="170" spans="1:15" x14ac:dyDescent="0.25">
      <c r="A170" s="1006"/>
      <c r="B170" s="881">
        <v>4</v>
      </c>
      <c r="C170" s="888">
        <f>B54</f>
        <v>20</v>
      </c>
      <c r="D170" s="888">
        <f t="shared" ref="D170:G170" si="156">C54</f>
        <v>0.1</v>
      </c>
      <c r="E170" s="888">
        <f t="shared" si="156"/>
        <v>0.2</v>
      </c>
      <c r="F170" s="888">
        <f t="shared" si="156"/>
        <v>0.05</v>
      </c>
      <c r="G170" s="888">
        <f t="shared" si="156"/>
        <v>1.3</v>
      </c>
      <c r="I170" s="1006"/>
      <c r="J170" s="881">
        <v>4</v>
      </c>
      <c r="K170" s="888">
        <f>B60</f>
        <v>0.1</v>
      </c>
      <c r="L170" s="888">
        <f t="shared" ref="L170:O170" si="157">C60</f>
        <v>6.0000000000000001E-3</v>
      </c>
      <c r="M170" s="888">
        <f t="shared" si="157"/>
        <v>9.9999999999999995E-7</v>
      </c>
      <c r="N170" s="888">
        <f t="shared" si="157"/>
        <v>9.9999999999999995E-7</v>
      </c>
      <c r="O170" s="888">
        <f t="shared" si="157"/>
        <v>0.43</v>
      </c>
    </row>
    <row r="171" spans="1:15" x14ac:dyDescent="0.25">
      <c r="A171" s="1006"/>
      <c r="B171" s="881">
        <v>5</v>
      </c>
      <c r="C171" s="888">
        <f>I54</f>
        <v>20</v>
      </c>
      <c r="D171" s="888">
        <f t="shared" ref="D171:G171" si="158">J54</f>
        <v>0.1</v>
      </c>
      <c r="E171" s="888">
        <f t="shared" si="158"/>
        <v>0.1</v>
      </c>
      <c r="F171" s="888">
        <f t="shared" si="158"/>
        <v>9.9999999999999995E-7</v>
      </c>
      <c r="G171" s="888">
        <f t="shared" si="158"/>
        <v>1.3</v>
      </c>
      <c r="I171" s="1006"/>
      <c r="J171" s="881">
        <v>5</v>
      </c>
      <c r="K171" s="888">
        <f>I60</f>
        <v>0.1</v>
      </c>
      <c r="L171" s="888">
        <f t="shared" ref="L171:O171" si="159">J60</f>
        <v>2E-3</v>
      </c>
      <c r="M171" s="888">
        <f t="shared" si="159"/>
        <v>2E-3</v>
      </c>
      <c r="N171" s="888">
        <f t="shared" si="159"/>
        <v>9.9999999999999995E-7</v>
      </c>
      <c r="O171" s="888">
        <f t="shared" si="159"/>
        <v>0.43</v>
      </c>
    </row>
    <row r="172" spans="1:15" x14ac:dyDescent="0.25">
      <c r="A172" s="1006"/>
      <c r="B172" s="881">
        <v>6</v>
      </c>
      <c r="C172" s="888">
        <f>P54</f>
        <v>20</v>
      </c>
      <c r="D172" s="888">
        <f t="shared" ref="D172:G172" si="160">Q54</f>
        <v>0.1</v>
      </c>
      <c r="E172" s="888">
        <f t="shared" si="160"/>
        <v>0.1</v>
      </c>
      <c r="F172" s="888">
        <f t="shared" si="160"/>
        <v>9.9999999999999995E-7</v>
      </c>
      <c r="G172" s="888">
        <f t="shared" si="160"/>
        <v>1.7</v>
      </c>
      <c r="I172" s="1006"/>
      <c r="J172" s="881">
        <v>6</v>
      </c>
      <c r="K172" s="888">
        <f>P60</f>
        <v>0.1</v>
      </c>
      <c r="L172" s="888">
        <f t="shared" ref="L172:O172" si="161">Q60</f>
        <v>1E-3</v>
      </c>
      <c r="M172" s="888">
        <f t="shared" si="161"/>
        <v>-2E-3</v>
      </c>
      <c r="N172" s="888">
        <f t="shared" si="161"/>
        <v>9.9999999999999995E-7</v>
      </c>
      <c r="O172" s="888">
        <f t="shared" si="161"/>
        <v>1.2</v>
      </c>
    </row>
    <row r="173" spans="1:15" x14ac:dyDescent="0.25">
      <c r="A173" s="1006"/>
      <c r="B173" s="881">
        <v>7</v>
      </c>
      <c r="C173" s="888">
        <f>B85</f>
        <v>20</v>
      </c>
      <c r="D173" s="888" t="str">
        <f t="shared" ref="D173:G173" si="162">C85</f>
        <v>-</v>
      </c>
      <c r="E173" s="888">
        <f t="shared" si="162"/>
        <v>0.1</v>
      </c>
      <c r="F173" s="888">
        <f t="shared" si="162"/>
        <v>1.0000000000000001E-5</v>
      </c>
      <c r="G173" s="888">
        <f t="shared" si="162"/>
        <v>1.7</v>
      </c>
      <c r="I173" s="1006"/>
      <c r="J173" s="881">
        <v>7</v>
      </c>
      <c r="K173" s="888">
        <f>B91</f>
        <v>0.1</v>
      </c>
      <c r="L173" s="888">
        <f t="shared" ref="L173:O173" si="163">C91</f>
        <v>9.9999999999999995E-7</v>
      </c>
      <c r="M173" s="888">
        <f t="shared" si="163"/>
        <v>9.9999999999999995E-7</v>
      </c>
      <c r="N173" s="888">
        <f t="shared" si="163"/>
        <v>9.9999999999999995E-7</v>
      </c>
      <c r="O173" s="888">
        <f t="shared" si="163"/>
        <v>1.2</v>
      </c>
    </row>
    <row r="174" spans="1:15" x14ac:dyDescent="0.25">
      <c r="A174" s="1006"/>
      <c r="B174" s="881">
        <v>8</v>
      </c>
      <c r="C174" s="888">
        <f>I85</f>
        <v>20</v>
      </c>
      <c r="D174" s="888">
        <f t="shared" ref="D174:G174" si="164">J85</f>
        <v>9.9999999999999995E-7</v>
      </c>
      <c r="E174" s="888">
        <f t="shared" si="164"/>
        <v>9.9999999999999995E-7</v>
      </c>
      <c r="F174" s="888">
        <f t="shared" si="164"/>
        <v>9.9999999999999995E-7</v>
      </c>
      <c r="G174" s="888">
        <f t="shared" si="164"/>
        <v>0</v>
      </c>
      <c r="I174" s="1006"/>
      <c r="J174" s="881">
        <v>8</v>
      </c>
      <c r="K174" s="888">
        <f>I91</f>
        <v>0.1</v>
      </c>
      <c r="L174" s="888">
        <f t="shared" ref="L174:O174" si="165">J91</f>
        <v>9.9999999999999995E-7</v>
      </c>
      <c r="M174" s="888">
        <f t="shared" si="165"/>
        <v>-2E-3</v>
      </c>
      <c r="N174" s="888">
        <f t="shared" si="165"/>
        <v>9.9999999999999995E-7</v>
      </c>
      <c r="O174" s="888">
        <f t="shared" si="165"/>
        <v>1.2</v>
      </c>
    </row>
    <row r="175" spans="1:15" x14ac:dyDescent="0.25">
      <c r="A175" s="1006"/>
      <c r="B175" s="881">
        <v>9</v>
      </c>
      <c r="C175" s="888">
        <f>P85</f>
        <v>20</v>
      </c>
      <c r="D175" s="888">
        <f t="shared" ref="D175:G175" si="166">Q85</f>
        <v>9.9999999999999995E-7</v>
      </c>
      <c r="E175" s="888">
        <f t="shared" si="166"/>
        <v>9.9999999999999995E-7</v>
      </c>
      <c r="F175" s="888">
        <f t="shared" si="166"/>
        <v>9.9999999999999995E-7</v>
      </c>
      <c r="G175" s="888">
        <f t="shared" si="166"/>
        <v>1.7</v>
      </c>
      <c r="I175" s="1006"/>
      <c r="J175" s="881">
        <v>9</v>
      </c>
      <c r="K175" s="888">
        <f>P91</f>
        <v>0.1</v>
      </c>
      <c r="L175" s="888">
        <f t="shared" ref="L175:O175" si="167">Q91</f>
        <v>-3.0000000000000001E-3</v>
      </c>
      <c r="M175" s="888">
        <f t="shared" si="167"/>
        <v>9.9999999999999995E-7</v>
      </c>
      <c r="N175" s="888">
        <f t="shared" si="167"/>
        <v>9.9999999999999995E-7</v>
      </c>
      <c r="O175" s="888">
        <f t="shared" si="167"/>
        <v>1.2</v>
      </c>
    </row>
    <row r="176" spans="1:15" x14ac:dyDescent="0.25">
      <c r="A176" s="1006" t="s">
        <v>56</v>
      </c>
      <c r="B176" s="881">
        <v>1</v>
      </c>
      <c r="C176" s="888">
        <f>B24</f>
        <v>50</v>
      </c>
      <c r="D176" s="888" t="str">
        <f>C24</f>
        <v>-</v>
      </c>
      <c r="E176" s="888">
        <f>D24</f>
        <v>9.9999999999999995E-7</v>
      </c>
      <c r="F176" s="888">
        <f>E24</f>
        <v>9.9999999999999995E-7</v>
      </c>
      <c r="G176" s="888">
        <f>F24</f>
        <v>1.4</v>
      </c>
      <c r="I176" s="1006" t="s">
        <v>56</v>
      </c>
      <c r="J176" s="881">
        <v>1</v>
      </c>
      <c r="K176" s="888">
        <f>B30</f>
        <v>1</v>
      </c>
      <c r="L176" s="888">
        <f t="shared" ref="L176:O176" si="168">C30</f>
        <v>1.2E-2</v>
      </c>
      <c r="M176" s="888">
        <f t="shared" si="168"/>
        <v>4.0000000000000001E-3</v>
      </c>
      <c r="N176" s="888">
        <f t="shared" si="168"/>
        <v>9.9999999999999995E-7</v>
      </c>
      <c r="O176" s="888">
        <f t="shared" si="168"/>
        <v>0.43</v>
      </c>
    </row>
    <row r="177" spans="1:15" x14ac:dyDescent="0.25">
      <c r="A177" s="1006"/>
      <c r="B177" s="881">
        <v>2</v>
      </c>
      <c r="C177" s="888">
        <f>I24</f>
        <v>50</v>
      </c>
      <c r="D177" s="888">
        <f>J24</f>
        <v>0.1</v>
      </c>
      <c r="E177" s="888">
        <f>K24</f>
        <v>0.3</v>
      </c>
      <c r="F177" s="888">
        <f>L24</f>
        <v>9.9999999999999992E-2</v>
      </c>
      <c r="G177" s="888">
        <f>M24</f>
        <v>1.3</v>
      </c>
      <c r="I177" s="1006"/>
      <c r="J177" s="881">
        <v>2</v>
      </c>
      <c r="K177" s="888">
        <f>I30</f>
        <v>1</v>
      </c>
      <c r="L177" s="888">
        <f t="shared" ref="L177:O177" si="169">J30</f>
        <v>5.5E-2</v>
      </c>
      <c r="M177" s="888">
        <f t="shared" si="169"/>
        <v>4.4999999999999998E-2</v>
      </c>
      <c r="N177" s="888">
        <f t="shared" si="169"/>
        <v>5.000000000000001E-3</v>
      </c>
      <c r="O177" s="888">
        <f t="shared" si="169"/>
        <v>0.43</v>
      </c>
    </row>
    <row r="178" spans="1:15" x14ac:dyDescent="0.25">
      <c r="A178" s="1006"/>
      <c r="B178" s="881">
        <v>3</v>
      </c>
      <c r="C178" s="888">
        <f>P24</f>
        <v>50</v>
      </c>
      <c r="D178" s="888">
        <f>Q24</f>
        <v>0.3</v>
      </c>
      <c r="E178" s="888">
        <f t="shared" ref="E178:G178" si="170">R24</f>
        <v>0.1</v>
      </c>
      <c r="F178" s="888">
        <f t="shared" si="170"/>
        <v>9.9999999999999992E-2</v>
      </c>
      <c r="G178" s="888">
        <f t="shared" si="170"/>
        <v>5.1000000000000004E-2</v>
      </c>
      <c r="I178" s="1006"/>
      <c r="J178" s="881">
        <v>3</v>
      </c>
      <c r="K178" s="888">
        <f>P30</f>
        <v>1</v>
      </c>
      <c r="L178" s="888">
        <f t="shared" ref="L178:O178" si="171">Q30</f>
        <v>9.9999999999999995E-7</v>
      </c>
      <c r="M178" s="888">
        <f t="shared" si="171"/>
        <v>3.0000000000000001E-3</v>
      </c>
      <c r="N178" s="888">
        <f t="shared" si="171"/>
        <v>9.9999999999999995E-7</v>
      </c>
      <c r="O178" s="888">
        <f t="shared" si="171"/>
        <v>1.2</v>
      </c>
    </row>
    <row r="179" spans="1:15" x14ac:dyDescent="0.25">
      <c r="A179" s="1006"/>
      <c r="B179" s="881">
        <v>4</v>
      </c>
      <c r="C179" s="888">
        <f>B55</f>
        <v>50</v>
      </c>
      <c r="D179" s="888">
        <f>C55</f>
        <v>0.3</v>
      </c>
      <c r="E179" s="888">
        <f>D55</f>
        <v>0.5</v>
      </c>
      <c r="F179" s="888">
        <f>E55</f>
        <v>0.1</v>
      </c>
      <c r="G179" s="888">
        <f>F55</f>
        <v>1.3</v>
      </c>
      <c r="I179" s="1006"/>
      <c r="J179" s="881">
        <v>4</v>
      </c>
      <c r="K179" s="888">
        <f>B61</f>
        <v>1</v>
      </c>
      <c r="L179" s="888">
        <f t="shared" ref="L179:O179" si="172">C61</f>
        <v>7.0000000000000001E-3</v>
      </c>
      <c r="M179" s="888">
        <f t="shared" si="172"/>
        <v>-1E-3</v>
      </c>
      <c r="N179" s="888">
        <f t="shared" si="172"/>
        <v>9.9999999999999995E-7</v>
      </c>
      <c r="O179" s="888">
        <f t="shared" si="172"/>
        <v>0.43</v>
      </c>
    </row>
    <row r="180" spans="1:15" x14ac:dyDescent="0.25">
      <c r="A180" s="1006"/>
      <c r="B180" s="881">
        <v>5</v>
      </c>
      <c r="C180" s="888">
        <f>I55</f>
        <v>50</v>
      </c>
      <c r="D180" s="888">
        <f>J55</f>
        <v>0.3</v>
      </c>
      <c r="E180" s="888">
        <f>K55</f>
        <v>0.4</v>
      </c>
      <c r="F180" s="888">
        <f>L55</f>
        <v>5.0000000000000017E-2</v>
      </c>
      <c r="G180" s="888">
        <f>M55</f>
        <v>1.3</v>
      </c>
      <c r="I180" s="1006"/>
      <c r="J180" s="881">
        <v>5</v>
      </c>
      <c r="K180" s="888">
        <f>I61</f>
        <v>1</v>
      </c>
      <c r="L180" s="888">
        <f t="shared" ref="L180:O180" si="173">J61</f>
        <v>3.0000000000000001E-3</v>
      </c>
      <c r="M180" s="888">
        <f t="shared" si="173"/>
        <v>1.2E-2</v>
      </c>
      <c r="N180" s="888">
        <f t="shared" si="173"/>
        <v>9.9999999999999995E-7</v>
      </c>
      <c r="O180" s="888">
        <f t="shared" si="173"/>
        <v>0.43</v>
      </c>
    </row>
    <row r="181" spans="1:15" x14ac:dyDescent="0.25">
      <c r="A181" s="1006"/>
      <c r="B181" s="881">
        <v>6</v>
      </c>
      <c r="C181" s="888">
        <f>P55</f>
        <v>50</v>
      </c>
      <c r="D181" s="888">
        <f>Q55</f>
        <v>0.3</v>
      </c>
      <c r="E181" s="888">
        <f t="shared" ref="E181:G181" si="174">R55</f>
        <v>0.3</v>
      </c>
      <c r="F181" s="888">
        <f t="shared" si="174"/>
        <v>9.9999999999999995E-7</v>
      </c>
      <c r="G181" s="888">
        <f t="shared" si="174"/>
        <v>1.7</v>
      </c>
      <c r="I181" s="1006"/>
      <c r="J181" s="881">
        <v>6</v>
      </c>
      <c r="K181" s="888">
        <f>P61</f>
        <v>1</v>
      </c>
      <c r="L181" s="888">
        <f t="shared" ref="L181:O181" si="175">Q61</f>
        <v>2E-3</v>
      </c>
      <c r="M181" s="888">
        <f t="shared" si="175"/>
        <v>-1E-3</v>
      </c>
      <c r="N181" s="888">
        <f t="shared" si="175"/>
        <v>9.9999999999999995E-7</v>
      </c>
      <c r="O181" s="888">
        <f t="shared" si="175"/>
        <v>1.2</v>
      </c>
    </row>
    <row r="182" spans="1:15" x14ac:dyDescent="0.25">
      <c r="A182" s="1006"/>
      <c r="B182" s="881">
        <v>7</v>
      </c>
      <c r="C182" s="888">
        <f>B86</f>
        <v>50</v>
      </c>
      <c r="D182" s="888" t="str">
        <f t="shared" ref="D182:G182" si="176">C86</f>
        <v>-</v>
      </c>
      <c r="E182" s="888">
        <f t="shared" si="176"/>
        <v>0.4</v>
      </c>
      <c r="F182" s="888">
        <f t="shared" si="176"/>
        <v>1.0000000000000001E-5</v>
      </c>
      <c r="G182" s="888">
        <f t="shared" si="176"/>
        <v>1.7</v>
      </c>
      <c r="I182" s="1006"/>
      <c r="J182" s="881">
        <v>7</v>
      </c>
      <c r="K182" s="888">
        <f>B92</f>
        <v>1</v>
      </c>
      <c r="L182" s="888">
        <f t="shared" ref="L182:O182" si="177">C92</f>
        <v>-2.3E-3</v>
      </c>
      <c r="M182" s="888">
        <f t="shared" si="177"/>
        <v>-2.3E-3</v>
      </c>
      <c r="N182" s="888">
        <f t="shared" si="177"/>
        <v>9.9999999999999995E-7</v>
      </c>
      <c r="O182" s="888">
        <f t="shared" si="177"/>
        <v>1.2</v>
      </c>
    </row>
    <row r="183" spans="1:15" x14ac:dyDescent="0.25">
      <c r="A183" s="1006"/>
      <c r="B183" s="881">
        <v>8</v>
      </c>
      <c r="C183" s="888">
        <f>I86</f>
        <v>50</v>
      </c>
      <c r="D183" s="888">
        <f t="shared" ref="D183:G183" si="178">J86</f>
        <v>9.9999999999999995E-7</v>
      </c>
      <c r="E183" s="888">
        <f t="shared" si="178"/>
        <v>9.9999999999999995E-7</v>
      </c>
      <c r="F183" s="888">
        <f t="shared" si="178"/>
        <v>9.9999999999999995E-7</v>
      </c>
      <c r="G183" s="888">
        <f t="shared" si="178"/>
        <v>0</v>
      </c>
      <c r="I183" s="1006"/>
      <c r="J183" s="881">
        <v>8</v>
      </c>
      <c r="K183" s="888">
        <f>I92</f>
        <v>1</v>
      </c>
      <c r="L183" s="888">
        <f t="shared" ref="L183:O183" si="179">J92</f>
        <v>9.9999999999999995E-7</v>
      </c>
      <c r="M183" s="888">
        <f t="shared" si="179"/>
        <v>-1E-3</v>
      </c>
      <c r="N183" s="888">
        <f t="shared" si="179"/>
        <v>9.9999999999999995E-7</v>
      </c>
      <c r="O183" s="888">
        <f t="shared" si="179"/>
        <v>1.2</v>
      </c>
    </row>
    <row r="184" spans="1:15" x14ac:dyDescent="0.25">
      <c r="A184" s="1006"/>
      <c r="B184" s="881">
        <v>9</v>
      </c>
      <c r="C184" s="888">
        <f>P86</f>
        <v>50</v>
      </c>
      <c r="D184" s="888">
        <f t="shared" ref="D184:G184" si="180">Q86</f>
        <v>9.9999999999999995E-7</v>
      </c>
      <c r="E184" s="888">
        <f t="shared" si="180"/>
        <v>0.2</v>
      </c>
      <c r="F184" s="888">
        <f t="shared" si="180"/>
        <v>9.9999500000000005E-2</v>
      </c>
      <c r="G184" s="888">
        <f t="shared" si="180"/>
        <v>1.7</v>
      </c>
      <c r="I184" s="1006"/>
      <c r="J184" s="881">
        <v>9</v>
      </c>
      <c r="K184" s="888">
        <f>P92</f>
        <v>1</v>
      </c>
      <c r="L184" s="888">
        <f t="shared" ref="L184:O184" si="181">Q92</f>
        <v>-1E-3</v>
      </c>
      <c r="M184" s="888">
        <f t="shared" si="181"/>
        <v>3.0000000000000001E-3</v>
      </c>
      <c r="N184" s="888">
        <f t="shared" si="181"/>
        <v>9.9999999999999995E-7</v>
      </c>
      <c r="O184" s="888">
        <f t="shared" si="181"/>
        <v>1.2</v>
      </c>
    </row>
    <row r="185" spans="1:15" x14ac:dyDescent="0.25">
      <c r="A185" s="1006" t="s">
        <v>57</v>
      </c>
      <c r="B185" s="881">
        <v>1</v>
      </c>
      <c r="C185" s="888">
        <f>B25</f>
        <v>100</v>
      </c>
      <c r="D185" s="888" t="str">
        <f t="shared" ref="D185:G185" si="182">C25</f>
        <v>-</v>
      </c>
      <c r="E185" s="888">
        <f t="shared" si="182"/>
        <v>-0.3</v>
      </c>
      <c r="F185" s="888">
        <f t="shared" si="182"/>
        <v>9.9999999999999995E-7</v>
      </c>
      <c r="G185" s="888">
        <f t="shared" si="182"/>
        <v>1.4</v>
      </c>
      <c r="I185" s="1006" t="s">
        <v>57</v>
      </c>
      <c r="J185" s="881">
        <v>1</v>
      </c>
      <c r="K185" s="888">
        <f>B31</f>
        <v>2</v>
      </c>
      <c r="L185" s="888">
        <f t="shared" ref="L185:O185" si="183">C31</f>
        <v>9.9999999999999995E-7</v>
      </c>
      <c r="M185" s="888">
        <f t="shared" si="183"/>
        <v>7.0000000000000001E-3</v>
      </c>
      <c r="N185" s="888">
        <f t="shared" si="183"/>
        <v>9.9999999999999995E-7</v>
      </c>
      <c r="O185" s="888">
        <f t="shared" si="183"/>
        <v>0.43</v>
      </c>
    </row>
    <row r="186" spans="1:15" x14ac:dyDescent="0.25">
      <c r="A186" s="1006"/>
      <c r="B186" s="881">
        <v>2</v>
      </c>
      <c r="C186" s="888">
        <f>I25</f>
        <v>100</v>
      </c>
      <c r="D186" s="888">
        <f t="shared" ref="D186:G186" si="184">J25</f>
        <v>9.9999999999999995E-7</v>
      </c>
      <c r="E186" s="888">
        <f t="shared" si="184"/>
        <v>0.3</v>
      </c>
      <c r="F186" s="888">
        <f t="shared" si="184"/>
        <v>0.14999950000000001</v>
      </c>
      <c r="G186" s="888">
        <f t="shared" si="184"/>
        <v>1.3</v>
      </c>
      <c r="I186" s="1006"/>
      <c r="J186" s="881">
        <v>2</v>
      </c>
      <c r="K186" s="888">
        <f>I31</f>
        <v>2</v>
      </c>
      <c r="L186" s="888">
        <f t="shared" ref="L186:O186" si="185">J31</f>
        <v>9.9999999999999995E-7</v>
      </c>
      <c r="M186" s="888">
        <f t="shared" si="185"/>
        <v>9.9999999999999995E-7</v>
      </c>
      <c r="N186" s="888">
        <f t="shared" si="185"/>
        <v>9.9999999999999995E-7</v>
      </c>
      <c r="O186" s="888">
        <f t="shared" si="185"/>
        <v>0.43</v>
      </c>
    </row>
    <row r="187" spans="1:15" x14ac:dyDescent="0.25">
      <c r="A187" s="1006"/>
      <c r="B187" s="881">
        <v>3</v>
      </c>
      <c r="C187" s="888">
        <f>P25</f>
        <v>100</v>
      </c>
      <c r="D187" s="888">
        <f t="shared" ref="D187:G187" si="186">Q25</f>
        <v>0.6</v>
      </c>
      <c r="E187" s="888">
        <f t="shared" si="186"/>
        <v>0.1</v>
      </c>
      <c r="F187" s="888">
        <f t="shared" si="186"/>
        <v>0.25</v>
      </c>
      <c r="G187" s="888">
        <f t="shared" si="186"/>
        <v>5.1000000000000004E-2</v>
      </c>
      <c r="I187" s="1006"/>
      <c r="J187" s="881">
        <v>3</v>
      </c>
      <c r="K187" s="888">
        <f>P31</f>
        <v>2</v>
      </c>
      <c r="L187" s="888">
        <f t="shared" ref="L187:O187" si="187">Q31</f>
        <v>9.9999999999999995E-7</v>
      </c>
      <c r="M187" s="888">
        <f t="shared" si="187"/>
        <v>4.0000000000000001E-3</v>
      </c>
      <c r="N187" s="888">
        <f t="shared" si="187"/>
        <v>9.9999999999999995E-7</v>
      </c>
      <c r="O187" s="888">
        <f t="shared" si="187"/>
        <v>1.2</v>
      </c>
    </row>
    <row r="188" spans="1:15" x14ac:dyDescent="0.25">
      <c r="A188" s="1006"/>
      <c r="B188" s="881">
        <v>4</v>
      </c>
      <c r="C188" s="888">
        <f>B56</f>
        <v>100</v>
      </c>
      <c r="D188" s="888">
        <f t="shared" ref="D188:G188" si="188">C56</f>
        <v>0.6</v>
      </c>
      <c r="E188" s="888">
        <f t="shared" si="188"/>
        <v>1</v>
      </c>
      <c r="F188" s="888">
        <f t="shared" si="188"/>
        <v>0.2</v>
      </c>
      <c r="G188" s="888">
        <f t="shared" si="188"/>
        <v>1.3</v>
      </c>
      <c r="I188" s="1006"/>
      <c r="J188" s="881">
        <v>4</v>
      </c>
      <c r="K188" s="888">
        <f>B62</f>
        <v>2</v>
      </c>
      <c r="L188" s="888">
        <f t="shared" ref="L188:O188" si="189">C62</f>
        <v>9.9999999999999995E-7</v>
      </c>
      <c r="M188" s="888">
        <f t="shared" si="189"/>
        <v>9.9999999999999995E-7</v>
      </c>
      <c r="N188" s="888">
        <f t="shared" si="189"/>
        <v>9.9999999999999995E-7</v>
      </c>
      <c r="O188" s="888">
        <f t="shared" si="189"/>
        <v>0.43</v>
      </c>
    </row>
    <row r="189" spans="1:15" x14ac:dyDescent="0.25">
      <c r="A189" s="1006"/>
      <c r="B189" s="881">
        <v>5</v>
      </c>
      <c r="C189" s="888">
        <f>I56</f>
        <v>100</v>
      </c>
      <c r="D189" s="888">
        <f t="shared" ref="D189:G189" si="190">J56</f>
        <v>1.3</v>
      </c>
      <c r="E189" s="888">
        <f t="shared" si="190"/>
        <v>0.8</v>
      </c>
      <c r="F189" s="888">
        <f t="shared" si="190"/>
        <v>0.25</v>
      </c>
      <c r="G189" s="888">
        <f t="shared" si="190"/>
        <v>1.3</v>
      </c>
      <c r="I189" s="1006"/>
      <c r="J189" s="881">
        <v>5</v>
      </c>
      <c r="K189" s="888">
        <f>I62</f>
        <v>2</v>
      </c>
      <c r="L189" s="888">
        <f t="shared" ref="L189:O189" si="191">J62</f>
        <v>9.9999999999999995E-7</v>
      </c>
      <c r="M189" s="888">
        <f t="shared" si="191"/>
        <v>9.9999999999999995E-7</v>
      </c>
      <c r="N189" s="888">
        <f t="shared" si="191"/>
        <v>9.9999999999999995E-7</v>
      </c>
      <c r="O189" s="888">
        <f t="shared" si="191"/>
        <v>0.43</v>
      </c>
    </row>
    <row r="190" spans="1:15" x14ac:dyDescent="0.25">
      <c r="A190" s="1006"/>
      <c r="B190" s="881">
        <v>6</v>
      </c>
      <c r="C190" s="888">
        <f>P56</f>
        <v>100</v>
      </c>
      <c r="D190" s="888">
        <f t="shared" ref="D190:G190" si="192">Q56</f>
        <v>0.9</v>
      </c>
      <c r="E190" s="888">
        <f t="shared" si="192"/>
        <v>0.6</v>
      </c>
      <c r="F190" s="888">
        <f t="shared" si="192"/>
        <v>0.15000000000000002</v>
      </c>
      <c r="G190" s="888">
        <f t="shared" si="192"/>
        <v>1.7</v>
      </c>
      <c r="I190" s="1006"/>
      <c r="J190" s="881">
        <v>6</v>
      </c>
      <c r="K190" s="888">
        <f>P62</f>
        <v>2</v>
      </c>
      <c r="L190" s="888">
        <f t="shared" ref="L190:O190" si="193">Q62</f>
        <v>9.9999999999999995E-7</v>
      </c>
      <c r="M190" s="888">
        <f t="shared" si="193"/>
        <v>9.9999999999999995E-7</v>
      </c>
      <c r="N190" s="888">
        <f t="shared" si="193"/>
        <v>9.9999999999999995E-7</v>
      </c>
      <c r="O190" s="888">
        <f t="shared" si="193"/>
        <v>1.2</v>
      </c>
    </row>
    <row r="191" spans="1:15" x14ac:dyDescent="0.25">
      <c r="A191" s="1006"/>
      <c r="B191" s="881">
        <v>7</v>
      </c>
      <c r="C191" s="888">
        <f>B87</f>
        <v>100</v>
      </c>
      <c r="D191" s="888" t="str">
        <f t="shared" ref="D191:G191" si="194">C87</f>
        <v>-</v>
      </c>
      <c r="E191" s="888">
        <f t="shared" si="194"/>
        <v>1.4</v>
      </c>
      <c r="F191" s="888">
        <f t="shared" si="194"/>
        <v>1.0000000000000001E-5</v>
      </c>
      <c r="G191" s="888">
        <f t="shared" si="194"/>
        <v>1.7</v>
      </c>
      <c r="I191" s="1006"/>
      <c r="J191" s="881">
        <v>7</v>
      </c>
      <c r="K191" s="888">
        <f>B93</f>
        <v>2</v>
      </c>
      <c r="L191" s="888">
        <f t="shared" ref="L191:O191" si="195">C93</f>
        <v>9.9999999999999995E-7</v>
      </c>
      <c r="M191" s="888">
        <f t="shared" si="195"/>
        <v>9.9999999999999995E-7</v>
      </c>
      <c r="N191" s="888">
        <f t="shared" si="195"/>
        <v>9.9999999999999995E-7</v>
      </c>
      <c r="O191" s="888">
        <f t="shared" si="195"/>
        <v>1.2</v>
      </c>
    </row>
    <row r="192" spans="1:15" x14ac:dyDescent="0.25">
      <c r="A192" s="1006"/>
      <c r="B192" s="881">
        <v>8</v>
      </c>
      <c r="C192" s="888">
        <f>I87</f>
        <v>100</v>
      </c>
      <c r="D192" s="888">
        <f t="shared" ref="D192:G192" si="196">J87</f>
        <v>9.9999999999999995E-7</v>
      </c>
      <c r="E192" s="888">
        <f t="shared" si="196"/>
        <v>9.9999999999999995E-7</v>
      </c>
      <c r="F192" s="888">
        <f t="shared" si="196"/>
        <v>9.9999999999999995E-7</v>
      </c>
      <c r="G192" s="888">
        <f t="shared" si="196"/>
        <v>0</v>
      </c>
      <c r="I192" s="1006"/>
      <c r="J192" s="881">
        <v>8</v>
      </c>
      <c r="K192" s="888">
        <f>I93</f>
        <v>2</v>
      </c>
      <c r="L192" s="888">
        <f t="shared" ref="L192:O192" si="197">J93</f>
        <v>9.9999999999999995E-7</v>
      </c>
      <c r="M192" s="888">
        <f t="shared" si="197"/>
        <v>-6.0000000000000001E-3</v>
      </c>
      <c r="N192" s="888">
        <f t="shared" si="197"/>
        <v>9.9999999999999995E-7</v>
      </c>
      <c r="O192" s="888">
        <f t="shared" si="197"/>
        <v>1.2</v>
      </c>
    </row>
    <row r="193" spans="1:20" x14ac:dyDescent="0.25">
      <c r="A193" s="1006"/>
      <c r="B193" s="881">
        <v>9</v>
      </c>
      <c r="C193" s="888">
        <f>P87</f>
        <v>100</v>
      </c>
      <c r="D193" s="888">
        <f t="shared" ref="D193:G193" si="198">Q87</f>
        <v>9.9999999999999995E-7</v>
      </c>
      <c r="E193" s="888">
        <f t="shared" si="198"/>
        <v>0.4</v>
      </c>
      <c r="F193" s="888">
        <f t="shared" si="198"/>
        <v>0.19999950000000002</v>
      </c>
      <c r="G193" s="888">
        <f t="shared" si="198"/>
        <v>1.7</v>
      </c>
      <c r="I193" s="1006"/>
      <c r="J193" s="881">
        <v>9</v>
      </c>
      <c r="K193" s="888">
        <f>P93</f>
        <v>2</v>
      </c>
      <c r="L193" s="888">
        <f t="shared" ref="L193:O193" si="199">Q93</f>
        <v>-6.0000000000000001E-3</v>
      </c>
      <c r="M193" s="888">
        <f t="shared" si="199"/>
        <v>4.0000000000000001E-3</v>
      </c>
      <c r="N193" s="888">
        <f t="shared" si="199"/>
        <v>5.0000000000000001E-3</v>
      </c>
      <c r="O193" s="888">
        <f t="shared" si="199"/>
        <v>1.2</v>
      </c>
    </row>
    <row r="194" spans="1:20" ht="13" thickBot="1" x14ac:dyDescent="0.3">
      <c r="A194" s="770"/>
      <c r="B194" s="771"/>
      <c r="C194" s="771"/>
    </row>
    <row r="195" spans="1:20" ht="24.75" customHeight="1" x14ac:dyDescent="0.25">
      <c r="A195" s="892">
        <f>A244</f>
        <v>4</v>
      </c>
      <c r="B195" s="984" t="str">
        <f>A234</f>
        <v>Electrical Safety Analyzer, Merek : Fluke, Model : ESA 615, SN : 2853078</v>
      </c>
      <c r="C195" s="984"/>
      <c r="D195" s="984"/>
      <c r="E195" s="985"/>
      <c r="F195" s="773"/>
      <c r="G195" s="986"/>
      <c r="H195" s="987"/>
      <c r="I195" s="987"/>
      <c r="J195" s="988"/>
      <c r="K195" s="773"/>
      <c r="L195" s="989" t="s">
        <v>285</v>
      </c>
      <c r="M195" s="992" t="s">
        <v>286</v>
      </c>
      <c r="N195" s="995" t="s">
        <v>287</v>
      </c>
    </row>
    <row r="196" spans="1:20" ht="14.5" thickBot="1" x14ac:dyDescent="0.3">
      <c r="A196" s="997" t="s">
        <v>272</v>
      </c>
      <c r="B196" s="998"/>
      <c r="C196" s="998"/>
      <c r="D196" s="998"/>
      <c r="E196" s="999"/>
      <c r="F196" s="774"/>
      <c r="G196" s="893"/>
      <c r="H196" s="881"/>
      <c r="I196" s="894"/>
      <c r="J196" s="881"/>
      <c r="K196" s="774"/>
      <c r="L196" s="990"/>
      <c r="M196" s="993"/>
      <c r="N196" s="996"/>
    </row>
    <row r="197" spans="1:20" ht="13.5" thickBot="1" x14ac:dyDescent="0.3">
      <c r="A197" s="1000" t="str">
        <f>B4</f>
        <v>Setting VAC</v>
      </c>
      <c r="B197" s="1001"/>
      <c r="C197" s="1001"/>
      <c r="D197" s="1002" t="s">
        <v>274</v>
      </c>
      <c r="E197" s="1004" t="s">
        <v>167</v>
      </c>
      <c r="F197" s="774"/>
      <c r="G197" s="896"/>
      <c r="H197" s="894"/>
      <c r="I197" s="897"/>
      <c r="J197" s="898"/>
      <c r="K197" s="774"/>
      <c r="L197" s="991"/>
      <c r="M197" s="994"/>
      <c r="N197" s="996"/>
    </row>
    <row r="198" spans="1:20" ht="15.5" x14ac:dyDescent="0.25">
      <c r="A198" s="526" t="s">
        <v>275</v>
      </c>
      <c r="B198" s="879">
        <f>VLOOKUP(B195,A235:K243,9,FALSE)</f>
        <v>2017</v>
      </c>
      <c r="C198" s="879">
        <f>VLOOKUP(B195,A235:K243,10,FALSE)</f>
        <v>2019</v>
      </c>
      <c r="D198" s="1003"/>
      <c r="E198" s="1005"/>
      <c r="F198" s="774"/>
      <c r="G198" s="893"/>
      <c r="H198" s="881"/>
      <c r="I198" s="894"/>
      <c r="J198" s="881"/>
      <c r="K198" s="774"/>
      <c r="L198" s="899">
        <f>[1]ID!E18</f>
        <v>220.2</v>
      </c>
      <c r="M198" s="900"/>
      <c r="N198" s="901"/>
      <c r="P198" s="767" t="s">
        <v>23</v>
      </c>
      <c r="Q198" s="775"/>
    </row>
    <row r="199" spans="1:20" ht="15.5" x14ac:dyDescent="0.25">
      <c r="A199" s="902">
        <f>VLOOKUP($A195,$B100:$G108,2,(FALSE))</f>
        <v>150</v>
      </c>
      <c r="B199" s="903">
        <f>VLOOKUP($A$195,$B$100:$G$108,3,(FALSE))</f>
        <v>-0.09</v>
      </c>
      <c r="C199" s="903">
        <f>VLOOKUP($A$195,$B$100:$G$108,4,(FALSE))</f>
        <v>0.11</v>
      </c>
      <c r="D199" s="903">
        <f>VLOOKUP($A$195,$B$100:$G$108,5,(FALSE))</f>
        <v>0.1</v>
      </c>
      <c r="E199" s="904">
        <f>VLOOKUP($A$195,$B$100:$G$108,6,(FALSE))</f>
        <v>0.47</v>
      </c>
      <c r="F199" s="774"/>
      <c r="G199" s="981"/>
      <c r="H199" s="982"/>
      <c r="I199" s="982"/>
      <c r="J199" s="983"/>
      <c r="K199" s="774"/>
      <c r="L199" s="905" t="str">
        <f>[1]ID!I27</f>
        <v>OL</v>
      </c>
      <c r="M199" s="906"/>
      <c r="N199" s="907"/>
      <c r="Q199" s="775"/>
    </row>
    <row r="200" spans="1:20" ht="15.5" x14ac:dyDescent="0.25">
      <c r="A200" s="908">
        <f>VLOOKUP($A$195,$B$109:$G$117,2,(FALSE))</f>
        <v>180</v>
      </c>
      <c r="B200" s="909">
        <f>VLOOKUP($A$195,$B$109:$G$117,3,(FALSE))</f>
        <v>-0.09</v>
      </c>
      <c r="C200" s="909">
        <f>VLOOKUP($A$195,$B$109:$G$117,4,(FALSE))</f>
        <v>0.03</v>
      </c>
      <c r="D200" s="909">
        <f>VLOOKUP($A$195,$B$109:$G$117,5,(FALSE))</f>
        <v>0.06</v>
      </c>
      <c r="E200" s="910">
        <f>VLOOKUP($A$195,$B$109:$G$117,6,(FALSE))</f>
        <v>0.47</v>
      </c>
      <c r="F200" s="774"/>
      <c r="G200" s="893"/>
      <c r="H200" s="881"/>
      <c r="I200" s="894"/>
      <c r="J200" s="881"/>
      <c r="K200" s="774"/>
      <c r="L200" s="911">
        <f>[1]ID!I28</f>
        <v>0.122</v>
      </c>
      <c r="M200" s="912"/>
      <c r="N200" s="913"/>
      <c r="Q200" s="775"/>
      <c r="T200" s="775"/>
    </row>
    <row r="201" spans="1:20" ht="16" thickBot="1" x14ac:dyDescent="0.3">
      <c r="A201" s="908">
        <f>VLOOKUP($A$195,$B$118:$G$126,2,(FALSE))</f>
        <v>200</v>
      </c>
      <c r="B201" s="909">
        <f>VLOOKUP($A$195,$B$118:$G$126,3,(FALSE))</f>
        <v>-0.14000000000000001</v>
      </c>
      <c r="C201" s="909">
        <f>VLOOKUP($A$195,$B$118:$G$126,4,(FALSE))</f>
        <v>0.05</v>
      </c>
      <c r="D201" s="909">
        <f>VLOOKUP($A$195,$B$118:$G$126,5,(FALSE))</f>
        <v>9.5000000000000001E-2</v>
      </c>
      <c r="E201" s="910">
        <f>VLOOKUP($A$195,$B$118:$G$126,6,(FALSE))</f>
        <v>0.47</v>
      </c>
      <c r="F201" s="774"/>
      <c r="G201" s="896"/>
      <c r="H201" s="894"/>
      <c r="I201" s="897"/>
      <c r="J201" s="898"/>
      <c r="K201" s="914" t="s">
        <v>288</v>
      </c>
      <c r="L201" s="905">
        <f>[1]ID!I29</f>
        <v>14</v>
      </c>
      <c r="M201" s="915"/>
      <c r="N201" s="916"/>
      <c r="Q201" s="775"/>
      <c r="T201" s="775"/>
    </row>
    <row r="202" spans="1:20" ht="16" thickBot="1" x14ac:dyDescent="0.3">
      <c r="A202" s="908">
        <f>VLOOKUP($A$195,$B$127:$G$135,2,(FALSE))</f>
        <v>220</v>
      </c>
      <c r="B202" s="909">
        <f>VLOOKUP($A$195,$B$127:$G$135,3,(FALSE))</f>
        <v>-0.19</v>
      </c>
      <c r="C202" s="909">
        <f>VLOOKUP($A$195,$B$127:$G$135,4,(FALSE))</f>
        <v>0.1</v>
      </c>
      <c r="D202" s="909">
        <f>VLOOKUP($A$195,$B$127:$G$135,5,(FALSE))</f>
        <v>0.14500000000000002</v>
      </c>
      <c r="E202" s="910">
        <f>VLOOKUP($A$195,$B$127:$G$135,6,(FALSE))</f>
        <v>0.47</v>
      </c>
      <c r="F202" s="774"/>
      <c r="G202" s="893"/>
      <c r="H202" s="881"/>
      <c r="I202" s="894"/>
      <c r="J202" s="881"/>
      <c r="K202" s="914" t="s">
        <v>148</v>
      </c>
      <c r="L202" s="911">
        <f>[1]ID!N29</f>
        <v>12</v>
      </c>
      <c r="M202" s="915"/>
      <c r="N202" s="916"/>
      <c r="Q202" s="775"/>
      <c r="T202" s="775"/>
    </row>
    <row r="203" spans="1:20" ht="15.5" x14ac:dyDescent="0.25">
      <c r="A203" s="908">
        <f>VLOOKUP($A$195,$B$136:$G$144,2,(FALSE))</f>
        <v>230</v>
      </c>
      <c r="B203" s="909">
        <f>VLOOKUP($A$195,$B$136:$G$144,3,(FALSE))</f>
        <v>-0.2</v>
      </c>
      <c r="C203" s="909">
        <f>VLOOKUP($A$195,$B$136:$G$144,4,(FALSE))</f>
        <v>0.36799999999999999</v>
      </c>
      <c r="D203" s="909">
        <f>VLOOKUP($A$195,$B$136:$G$144,5,(FALSE))</f>
        <v>0.28400000000000003</v>
      </c>
      <c r="E203" s="910">
        <f>VLOOKUP($A$195,$B$136:$G$144,6,(FALSE))</f>
        <v>0.47</v>
      </c>
      <c r="F203" s="774"/>
      <c r="G203" s="981"/>
      <c r="H203" s="982"/>
      <c r="I203" s="982"/>
      <c r="J203" s="983"/>
      <c r="K203" s="774"/>
      <c r="L203" s="917"/>
      <c r="M203" s="918"/>
      <c r="N203" s="919">
        <f>E201</f>
        <v>0.47</v>
      </c>
      <c r="Q203" s="775"/>
      <c r="T203" s="775"/>
    </row>
    <row r="204" spans="1:20" ht="16" thickBot="1" x14ac:dyDescent="0.3">
      <c r="A204" s="920">
        <f>VLOOKUP($A$195,$B$145:$G$153,2,(FALSE))</f>
        <v>250</v>
      </c>
      <c r="B204" s="921">
        <f>VLOOKUP($A$195,$B$145:$G$153,3,(FALSE))</f>
        <v>9.9999999999999995E-7</v>
      </c>
      <c r="C204" s="921">
        <f>VLOOKUP($A$195,$B$145:$G$153,4,(FALSE))</f>
        <v>9.9999999999999995E-7</v>
      </c>
      <c r="D204" s="921">
        <f>VLOOKUP($A$195,$B$145:$G$153,5,(FALSE))</f>
        <v>9.9999999999999995E-7</v>
      </c>
      <c r="E204" s="922">
        <f>VLOOKUP($A$195,$B$145:$G$153,6,(FALSE))</f>
        <v>0.47</v>
      </c>
      <c r="F204" s="774"/>
      <c r="G204" s="893"/>
      <c r="H204" s="881"/>
      <c r="I204" s="894"/>
      <c r="J204" s="881"/>
      <c r="K204" s="774"/>
      <c r="L204" s="917"/>
      <c r="M204" s="918"/>
      <c r="N204" s="923"/>
      <c r="Q204" s="775"/>
      <c r="T204" s="775"/>
    </row>
    <row r="205" spans="1:20" ht="15.5" x14ac:dyDescent="0.25">
      <c r="A205" s="976" t="str">
        <f>B12</f>
        <v>Current Leakage</v>
      </c>
      <c r="B205" s="977"/>
      <c r="C205" s="977"/>
      <c r="D205" s="895" t="s">
        <v>274</v>
      </c>
      <c r="E205" s="924" t="s">
        <v>167</v>
      </c>
      <c r="F205" s="774"/>
      <c r="G205" s="925"/>
      <c r="H205" s="894"/>
      <c r="I205" s="897"/>
      <c r="J205" s="926"/>
      <c r="K205" s="774"/>
      <c r="L205" s="917"/>
      <c r="M205" s="918"/>
      <c r="N205" s="923"/>
      <c r="S205" s="927"/>
      <c r="T205" s="775"/>
    </row>
    <row r="206" spans="1:20" ht="15.5" x14ac:dyDescent="0.25">
      <c r="A206" s="526" t="s">
        <v>277</v>
      </c>
      <c r="B206" s="879">
        <f>B198</f>
        <v>2017</v>
      </c>
      <c r="C206" s="879">
        <f>C198</f>
        <v>2019</v>
      </c>
      <c r="D206" s="879"/>
      <c r="E206" s="928"/>
      <c r="F206" s="774"/>
      <c r="G206" s="893"/>
      <c r="H206" s="881"/>
      <c r="I206" s="894"/>
      <c r="J206" s="881"/>
      <c r="K206" s="774"/>
      <c r="L206" s="917"/>
      <c r="M206" s="918"/>
      <c r="N206" s="923"/>
      <c r="T206" s="775"/>
    </row>
    <row r="207" spans="1:20" x14ac:dyDescent="0.25">
      <c r="A207" s="929">
        <f>VLOOKUP($A$195,$J$100:$O$108,2,(FALSE))</f>
        <v>0</v>
      </c>
      <c r="B207" s="909">
        <f>VLOOKUP($A$195,$J$100:$O$108,3,(FALSE))</f>
        <v>9.9999999999999995E-7</v>
      </c>
      <c r="C207" s="909">
        <f>VLOOKUP($A$195,$J$100:$O$108,4,(FALSE))</f>
        <v>9.9999999999999995E-7</v>
      </c>
      <c r="D207" s="909">
        <f>VLOOKUP($A$195,$J$100:$O$108,5,(FALSE))</f>
        <v>9.9999999999999995E-7</v>
      </c>
      <c r="E207" s="910">
        <f>VLOOKUP($A$195,$J$100:$O$108,6,(FALSE))</f>
        <v>0.28999999999999998</v>
      </c>
      <c r="F207" s="774"/>
      <c r="G207" s="981"/>
      <c r="H207" s="982"/>
      <c r="I207" s="982"/>
      <c r="J207" s="983"/>
      <c r="K207" s="774"/>
      <c r="L207" s="930"/>
      <c r="M207" s="930"/>
      <c r="N207" s="931"/>
    </row>
    <row r="208" spans="1:20" x14ac:dyDescent="0.25">
      <c r="A208" s="929">
        <f>VLOOKUP($A$195,$J$109:$O$117,2,(FALSE))</f>
        <v>50</v>
      </c>
      <c r="B208" s="909">
        <f>VLOOKUP($A$195,$J$109:$O$117,3,(FALSE))</f>
        <v>-0.1</v>
      </c>
      <c r="C208" s="909">
        <f>VLOOKUP($A$195,$J$109:$O$117,4,(FALSE))</f>
        <v>0.2</v>
      </c>
      <c r="D208" s="909">
        <f>VLOOKUP($A$195,$J$109:$O$117,5,(FALSE))</f>
        <v>0.15000000000000002</v>
      </c>
      <c r="E208" s="910">
        <f>VLOOKUP($A$195,$J$109:$O$117,6,(FALSE))</f>
        <v>0.28999999999999998</v>
      </c>
      <c r="F208" s="774"/>
      <c r="G208" s="893"/>
      <c r="H208" s="881"/>
      <c r="I208" s="894"/>
      <c r="J208" s="881"/>
      <c r="K208" s="774"/>
      <c r="L208" s="932"/>
      <c r="M208" s="932"/>
      <c r="N208" s="923"/>
    </row>
    <row r="209" spans="1:15" x14ac:dyDescent="0.25">
      <c r="A209" s="929">
        <f>VLOOKUP($A$195,$J$118:$O$126,2,(FALSE))</f>
        <v>100</v>
      </c>
      <c r="B209" s="909">
        <f>VLOOKUP($A$195,$J$118:$O$126,3,(FALSE))</f>
        <v>-0.1</v>
      </c>
      <c r="C209" s="909">
        <f>VLOOKUP($A$195,$J$118:$O$126,4,(FALSE))</f>
        <v>0.3</v>
      </c>
      <c r="D209" s="909">
        <f>VLOOKUP($A$195,$J$118:$O$126,5,(FALSE))</f>
        <v>0.2</v>
      </c>
      <c r="E209" s="910">
        <f>VLOOKUP($A$195,$J$118:$O$126,6,(FALSE))</f>
        <v>0.28999999999999998</v>
      </c>
      <c r="F209" s="774"/>
      <c r="G209" s="933"/>
      <c r="H209" s="894"/>
      <c r="I209" s="934"/>
      <c r="J209" s="898"/>
      <c r="K209" s="774"/>
      <c r="L209" s="774"/>
      <c r="M209" s="774"/>
      <c r="N209" s="935"/>
    </row>
    <row r="210" spans="1:15" ht="13" thickBot="1" x14ac:dyDescent="0.3">
      <c r="A210" s="929">
        <f>VLOOKUP($A$195,$J$127:$O$135,2,(FALSE))</f>
        <v>200</v>
      </c>
      <c r="B210" s="909">
        <f>VLOOKUP($A$195,$J$127:$O$135,3,(FALSE))</f>
        <v>1.1000000000000001</v>
      </c>
      <c r="C210" s="909">
        <f>VLOOKUP($A$195,$J$127:$O$135,4,(FALSE))</f>
        <v>1.4</v>
      </c>
      <c r="D210" s="909">
        <f>VLOOKUP($A$195,$J$127:$O$135,5,(FALSE))</f>
        <v>0.14999999999999991</v>
      </c>
      <c r="E210" s="910">
        <f>VLOOKUP($A$195,$J$127:$O$135,6,(FALSE))</f>
        <v>0.28999999999999998</v>
      </c>
      <c r="F210" s="774"/>
      <c r="G210" s="936"/>
      <c r="H210" s="881"/>
      <c r="I210" s="937"/>
      <c r="J210" s="881"/>
      <c r="K210" s="774"/>
      <c r="L210" s="774"/>
      <c r="M210" s="774"/>
      <c r="N210" s="935"/>
    </row>
    <row r="211" spans="1:15" ht="13" x14ac:dyDescent="0.3">
      <c r="A211" s="929">
        <f>VLOOKUP($A$195,$J$136:$O$144,2,(FALSE))</f>
        <v>500</v>
      </c>
      <c r="B211" s="909">
        <f>VLOOKUP($A$195,$J$136:$O$144,3,(FALSE))</f>
        <v>0.9</v>
      </c>
      <c r="C211" s="909">
        <f>VLOOKUP($A$195,$J$136:$O$144,4,(FALSE))</f>
        <v>2.8</v>
      </c>
      <c r="D211" s="909">
        <f>VLOOKUP($A$195,$J$136:$O$144,5,(FALSE))</f>
        <v>0.95</v>
      </c>
      <c r="E211" s="910">
        <f>VLOOKUP($A$195,$J$136:$O$144,6,(FALSE))</f>
        <v>0.28999999999999998</v>
      </c>
      <c r="F211" s="774"/>
      <c r="G211" s="981"/>
      <c r="H211" s="982"/>
      <c r="I211" s="982"/>
      <c r="J211" s="983"/>
      <c r="K211" s="774"/>
      <c r="L211" s="938"/>
      <c r="M211" s="938"/>
      <c r="N211" s="540"/>
      <c r="O211" s="939"/>
    </row>
    <row r="212" spans="1:15" ht="13" thickBot="1" x14ac:dyDescent="0.3">
      <c r="A212" s="940">
        <f>VLOOKUP($A$195,$J$145:$O$153,2,(FALSE))</f>
        <v>1000</v>
      </c>
      <c r="B212" s="921">
        <f>VLOOKUP($A$195,$J$145:$O$153,3,(FALSE))</f>
        <v>2</v>
      </c>
      <c r="C212" s="921">
        <f>VLOOKUP($A$195,$J$145:$O$153,4,(FALSE))</f>
        <v>1.2E-2</v>
      </c>
      <c r="D212" s="921">
        <f>VLOOKUP($A$195,$J$145:$O$153,5,(FALSE))</f>
        <v>0.99399999999999999</v>
      </c>
      <c r="E212" s="922">
        <f>VLOOKUP($A$195,$J$145:$O$153,6,(FALSE))</f>
        <v>0.28999999999999998</v>
      </c>
      <c r="F212" s="774"/>
      <c r="G212" s="893"/>
      <c r="H212" s="881"/>
      <c r="I212" s="894"/>
      <c r="J212" s="881"/>
      <c r="K212" s="774"/>
      <c r="L212" s="776"/>
      <c r="M212" s="776"/>
      <c r="N212" s="941"/>
      <c r="O212" s="942"/>
    </row>
    <row r="213" spans="1:15" ht="13" x14ac:dyDescent="0.25">
      <c r="A213" s="976" t="str">
        <f>B20</f>
        <v>Main-PE</v>
      </c>
      <c r="B213" s="977"/>
      <c r="C213" s="977"/>
      <c r="D213" s="895" t="s">
        <v>274</v>
      </c>
      <c r="E213" s="924" t="s">
        <v>167</v>
      </c>
      <c r="F213" s="774"/>
      <c r="G213" s="933"/>
      <c r="H213" s="894"/>
      <c r="I213" s="934"/>
      <c r="J213" s="898"/>
      <c r="K213" s="774"/>
      <c r="L213" s="777"/>
      <c r="M213" s="776"/>
      <c r="N213" s="943"/>
      <c r="O213" s="944"/>
    </row>
    <row r="214" spans="1:15" ht="15" thickBot="1" x14ac:dyDescent="0.3">
      <c r="A214" s="526" t="s">
        <v>473</v>
      </c>
      <c r="B214" s="879">
        <f>B206</f>
        <v>2017</v>
      </c>
      <c r="C214" s="879">
        <f>C206</f>
        <v>2019</v>
      </c>
      <c r="D214" s="879"/>
      <c r="E214" s="928"/>
      <c r="F214" s="774"/>
      <c r="G214" s="936"/>
      <c r="H214" s="881"/>
      <c r="I214" s="937"/>
      <c r="J214" s="881"/>
      <c r="K214" s="774"/>
      <c r="L214" s="776"/>
      <c r="M214" s="776"/>
      <c r="N214" s="941"/>
      <c r="O214" s="942"/>
    </row>
    <row r="215" spans="1:15" x14ac:dyDescent="0.25">
      <c r="A215" s="929">
        <f>VLOOKUP($A$195,$B$158:$G$166,2,(FALSE))</f>
        <v>10</v>
      </c>
      <c r="B215" s="909">
        <f>VLOOKUP($A$195,$B$158:$G$166,3,(FALSE))</f>
        <v>9.9999999999999995E-7</v>
      </c>
      <c r="C215" s="909">
        <f>VLOOKUP($A$195,$B$158:$G$166,4,(FALSE))</f>
        <v>0.1</v>
      </c>
      <c r="D215" s="909">
        <f>VLOOKUP($A$195,$B$158:$G$166,5,(FALSE))</f>
        <v>4.9999500000000002E-2</v>
      </c>
      <c r="E215" s="945">
        <f>VLOOKUP($A$195,$B$158:$G$166,6,(FALSE))</f>
        <v>1.3</v>
      </c>
      <c r="F215" s="774"/>
      <c r="G215" s="975"/>
      <c r="H215" s="975"/>
      <c r="I215" s="975"/>
      <c r="J215" s="975"/>
      <c r="K215" s="774"/>
      <c r="L215" s="774"/>
      <c r="M215" s="774"/>
      <c r="N215" s="935"/>
    </row>
    <row r="216" spans="1:15" x14ac:dyDescent="0.25">
      <c r="A216" s="929">
        <f>VLOOKUP($A$195,$B$167:$G$175,2,(FALSE))</f>
        <v>20</v>
      </c>
      <c r="B216" s="909">
        <f>VLOOKUP($A$195,$B$167:$G$175,3,(FALSE))</f>
        <v>0.1</v>
      </c>
      <c r="C216" s="909">
        <f>VLOOKUP($A$195,$B$167:$G$175,4,(FALSE))</f>
        <v>0.2</v>
      </c>
      <c r="D216" s="909">
        <f>VLOOKUP($A$195,$B$167:$G$175,5,(FALSE))</f>
        <v>0.05</v>
      </c>
      <c r="E216" s="945">
        <f>VLOOKUP($A$195,$B$167:$G$175,6,(FALSE))</f>
        <v>1.3</v>
      </c>
      <c r="F216" s="774"/>
      <c r="G216" s="946"/>
      <c r="H216" s="946"/>
      <c r="I216" s="946"/>
      <c r="J216" s="947"/>
      <c r="K216" s="774"/>
      <c r="L216" s="774"/>
      <c r="M216" s="774"/>
      <c r="N216" s="935"/>
    </row>
    <row r="217" spans="1:15" x14ac:dyDescent="0.25">
      <c r="A217" s="929">
        <f>VLOOKUP($A$195,$B$176:$G$184,2,(FALSE))</f>
        <v>50</v>
      </c>
      <c r="B217" s="909">
        <f>VLOOKUP($A$195,$B$176:$G$184,3,(FALSE))</f>
        <v>0.3</v>
      </c>
      <c r="C217" s="909">
        <f>VLOOKUP($A$195,$B$176:$G$184,4,(FALSE))</f>
        <v>0.5</v>
      </c>
      <c r="D217" s="909">
        <f>VLOOKUP($A$195,$B$176:$G$184,5,(FALSE))</f>
        <v>0.1</v>
      </c>
      <c r="E217" s="945">
        <f>VLOOKUP($A$195,$B$176:$G$184,6,(FALSE))</f>
        <v>1.3</v>
      </c>
      <c r="F217" s="774"/>
      <c r="G217" s="947"/>
      <c r="H217" s="946"/>
      <c r="I217" s="947"/>
      <c r="J217" s="947"/>
      <c r="K217" s="774"/>
      <c r="L217" s="774"/>
      <c r="M217" s="774"/>
      <c r="N217" s="935"/>
    </row>
    <row r="218" spans="1:15" ht="13" thickBot="1" x14ac:dyDescent="0.3">
      <c r="A218" s="940">
        <f>VLOOKUP($A$195,$B$185:$G$193,2,(FALSE))</f>
        <v>100</v>
      </c>
      <c r="B218" s="921">
        <f>VLOOKUP($A$195,$B$185:$G$193,3,(FALSE))</f>
        <v>0.6</v>
      </c>
      <c r="C218" s="921">
        <f>VLOOKUP($A$195,$B$185:$G$193,4,(FALSE))</f>
        <v>1</v>
      </c>
      <c r="D218" s="921">
        <f>VLOOKUP($A$195,$B$185:$G$193,5,(FALSE))</f>
        <v>0.2</v>
      </c>
      <c r="E218" s="948">
        <f>VLOOKUP($A$195,$B$185:$G$193,6,(FALSE))</f>
        <v>1.3</v>
      </c>
      <c r="F218" s="774"/>
      <c r="G218" s="946"/>
      <c r="H218" s="946"/>
      <c r="I218" s="946"/>
      <c r="J218" s="947"/>
      <c r="K218" s="774"/>
      <c r="L218" s="774"/>
      <c r="M218" s="774"/>
      <c r="N218" s="935"/>
    </row>
    <row r="219" spans="1:15" ht="13" x14ac:dyDescent="0.25">
      <c r="A219" s="976" t="str">
        <f>B26</f>
        <v>Resistance</v>
      </c>
      <c r="B219" s="977"/>
      <c r="C219" s="977"/>
      <c r="D219" s="895" t="s">
        <v>274</v>
      </c>
      <c r="E219" s="924" t="s">
        <v>167</v>
      </c>
      <c r="F219" s="774"/>
      <c r="G219" s="975"/>
      <c r="H219" s="975"/>
      <c r="I219" s="975"/>
      <c r="J219" s="975"/>
      <c r="K219" s="774"/>
      <c r="L219" s="774"/>
      <c r="M219" s="774"/>
      <c r="N219" s="935"/>
    </row>
    <row r="220" spans="1:15" ht="14.5" x14ac:dyDescent="0.25">
      <c r="A220" s="526" t="s">
        <v>474</v>
      </c>
      <c r="B220" s="879">
        <f>B214</f>
        <v>2017</v>
      </c>
      <c r="C220" s="879">
        <f>C214</f>
        <v>2019</v>
      </c>
      <c r="D220" s="879"/>
      <c r="E220" s="928"/>
      <c r="F220" s="774"/>
      <c r="G220" s="946"/>
      <c r="H220" s="946"/>
      <c r="I220" s="946"/>
      <c r="J220" s="947"/>
      <c r="K220" s="774"/>
      <c r="L220" s="774"/>
      <c r="M220" s="774"/>
      <c r="N220" s="935"/>
    </row>
    <row r="221" spans="1:15" ht="14" x14ac:dyDescent="0.25">
      <c r="A221" s="949">
        <f>VLOOKUP($A$195,$J$158:$O$166,2,(FALSE))</f>
        <v>0.01</v>
      </c>
      <c r="B221" s="950">
        <f>VLOOKUP($A$195,$J$158:$O$166,3,(FALSE))</f>
        <v>9.9999999999999995E-7</v>
      </c>
      <c r="C221" s="950">
        <f>VLOOKUP($A$195,$J$158:$O$166,4,(FALSE))</f>
        <v>9.9999999999999995E-7</v>
      </c>
      <c r="D221" s="951">
        <f>VLOOKUP($A$195,$J$158:$O$166,5,(FALSE))</f>
        <v>9.9999999999999995E-7</v>
      </c>
      <c r="E221" s="952">
        <f>VLOOKUP($A$195,$J$158:$O$166,6,(FALSE))</f>
        <v>0.43</v>
      </c>
      <c r="F221" s="774"/>
      <c r="G221" s="947"/>
      <c r="H221" s="946"/>
      <c r="I221" s="947"/>
      <c r="J221" s="947"/>
      <c r="K221" s="774"/>
      <c r="L221" s="774"/>
      <c r="M221" s="774"/>
      <c r="N221" s="935"/>
    </row>
    <row r="222" spans="1:15" ht="14" x14ac:dyDescent="0.25">
      <c r="A222" s="949">
        <f>VLOOKUP($A$195,$J$167:$O$175,2,(FALSE))</f>
        <v>0.1</v>
      </c>
      <c r="B222" s="950">
        <f>VLOOKUP($A$195,$J$167:$O$175,3,(FALSE))</f>
        <v>6.0000000000000001E-3</v>
      </c>
      <c r="C222" s="950">
        <f>VLOOKUP($A$195,$J$167:$O$175,4,(FALSE))</f>
        <v>9.9999999999999995E-7</v>
      </c>
      <c r="D222" s="950">
        <f>VLOOKUP($A$195,$J$167:$O$175,5,(FALSE))</f>
        <v>9.9999999999999995E-7</v>
      </c>
      <c r="E222" s="952">
        <f>VLOOKUP($A$195,$J$167:$O$175,6,(FALSE))</f>
        <v>0.43</v>
      </c>
      <c r="F222" s="774"/>
      <c r="G222" s="946"/>
      <c r="H222" s="946"/>
      <c r="I222" s="946"/>
      <c r="J222" s="947"/>
      <c r="K222" s="774"/>
      <c r="L222" s="774"/>
      <c r="M222" s="774"/>
      <c r="N222" s="935"/>
    </row>
    <row r="223" spans="1:15" ht="14" x14ac:dyDescent="0.25">
      <c r="A223" s="949">
        <f>VLOOKUP($A$195,$J$176:$O$184,2,(FALSE))</f>
        <v>1</v>
      </c>
      <c r="B223" s="950">
        <f>VLOOKUP($A$195,$J$176:$O$184,3,(FALSE))</f>
        <v>7.0000000000000001E-3</v>
      </c>
      <c r="C223" s="950">
        <f>VLOOKUP($A$195,$J$176:$O$184,4,(FALSE))</f>
        <v>-1E-3</v>
      </c>
      <c r="D223" s="950">
        <f>VLOOKUP($A$195,$J$176:$O$184,5,(FALSE))</f>
        <v>9.9999999999999995E-7</v>
      </c>
      <c r="E223" s="952">
        <f>VLOOKUP($A$195,$J$176:$O$184,6,(FALSE))</f>
        <v>0.43</v>
      </c>
      <c r="F223" s="774"/>
      <c r="G223" s="975"/>
      <c r="H223" s="975"/>
      <c r="I223" s="975"/>
      <c r="J223" s="975"/>
      <c r="K223" s="774"/>
      <c r="L223" s="774"/>
      <c r="M223" s="774"/>
      <c r="N223" s="935"/>
    </row>
    <row r="224" spans="1:15" ht="14.5" thickBot="1" x14ac:dyDescent="0.3">
      <c r="A224" s="953">
        <f>VLOOKUP($A$195,$J$185:$O$193,2,(FALSE))</f>
        <v>2</v>
      </c>
      <c r="B224" s="954">
        <f>VLOOKUP($A$195,$J$185:$O$193,3,(FALSE))</f>
        <v>9.9999999999999995E-7</v>
      </c>
      <c r="C224" s="955">
        <f>VLOOKUP($A$195,$J$185:$O$193,4,(FALSE))</f>
        <v>9.9999999999999995E-7</v>
      </c>
      <c r="D224" s="955">
        <f>VLOOKUP($A$195,$J$185:$O$193,5,(FALSE))</f>
        <v>9.9999999999999995E-7</v>
      </c>
      <c r="E224" s="956">
        <f>VLOOKUP($A$195,$J$185:$O$193,6,(FALSE))</f>
        <v>0.43</v>
      </c>
      <c r="F224" s="774"/>
      <c r="G224" s="946"/>
      <c r="H224" s="946"/>
      <c r="I224" s="946"/>
      <c r="J224" s="947"/>
      <c r="K224" s="774"/>
      <c r="L224" s="774"/>
      <c r="M224" s="774"/>
      <c r="N224" s="935"/>
    </row>
    <row r="225" spans="1:24" x14ac:dyDescent="0.25">
      <c r="A225" s="778"/>
      <c r="B225" s="774"/>
      <c r="C225" s="774"/>
      <c r="D225" s="774"/>
      <c r="E225" s="774"/>
      <c r="F225" s="774"/>
      <c r="G225" s="947"/>
      <c r="H225" s="946"/>
      <c r="I225" s="947"/>
      <c r="J225" s="947"/>
      <c r="K225" s="774"/>
      <c r="L225" s="774"/>
      <c r="M225" s="774"/>
      <c r="N225" s="935"/>
    </row>
    <row r="226" spans="1:24" x14ac:dyDescent="0.25">
      <c r="A226" s="778"/>
      <c r="B226" s="774"/>
      <c r="C226" s="774"/>
      <c r="D226" s="774"/>
      <c r="E226" s="774"/>
      <c r="F226" s="774"/>
      <c r="G226" s="946"/>
      <c r="H226" s="946"/>
      <c r="I226" s="946"/>
      <c r="J226" s="947"/>
      <c r="K226" s="774"/>
      <c r="L226" s="774"/>
      <c r="M226" s="774"/>
      <c r="N226" s="935"/>
    </row>
    <row r="227" spans="1:24" ht="15.75" customHeight="1" x14ac:dyDescent="0.25">
      <c r="A227" s="778"/>
      <c r="B227" s="774"/>
      <c r="C227" s="774"/>
      <c r="D227" s="774"/>
      <c r="E227" s="774"/>
      <c r="F227" s="774"/>
      <c r="G227" s="975"/>
      <c r="H227" s="975"/>
      <c r="I227" s="975"/>
      <c r="J227" s="975"/>
      <c r="K227" s="774"/>
      <c r="L227" s="774"/>
      <c r="M227" s="774"/>
      <c r="N227" s="935"/>
    </row>
    <row r="228" spans="1:24" x14ac:dyDescent="0.25">
      <c r="A228" s="778"/>
      <c r="B228" s="774"/>
      <c r="C228" s="774"/>
      <c r="D228" s="774"/>
      <c r="E228" s="774"/>
      <c r="F228" s="774"/>
      <c r="G228" s="946"/>
      <c r="H228" s="946"/>
      <c r="I228" s="946"/>
      <c r="J228" s="947"/>
      <c r="K228" s="774"/>
      <c r="L228" s="774"/>
      <c r="M228" s="774"/>
      <c r="N228" s="935"/>
    </row>
    <row r="229" spans="1:24" x14ac:dyDescent="0.25">
      <c r="A229" s="778"/>
      <c r="B229" s="774"/>
      <c r="C229" s="774"/>
      <c r="D229" s="774"/>
      <c r="E229" s="774"/>
      <c r="F229" s="774"/>
      <c r="G229" s="947"/>
      <c r="H229" s="946"/>
      <c r="I229" s="947"/>
      <c r="J229" s="947"/>
      <c r="K229" s="774"/>
      <c r="L229" s="774"/>
      <c r="M229" s="774"/>
      <c r="N229" s="935"/>
    </row>
    <row r="230" spans="1:24" ht="13" thickBot="1" x14ac:dyDescent="0.3">
      <c r="A230" s="779"/>
      <c r="B230" s="780"/>
      <c r="C230" s="780"/>
      <c r="D230" s="780"/>
      <c r="E230" s="780"/>
      <c r="F230" s="780"/>
      <c r="G230" s="957"/>
      <c r="H230" s="957"/>
      <c r="I230" s="957"/>
      <c r="J230" s="958"/>
      <c r="K230" s="780"/>
      <c r="L230" s="780"/>
      <c r="M230" s="780"/>
      <c r="N230" s="959"/>
    </row>
    <row r="233" spans="1:24" ht="13" thickBot="1" x14ac:dyDescent="0.3"/>
    <row r="234" spans="1:24" ht="14" x14ac:dyDescent="0.3">
      <c r="A234" s="960" t="str">
        <f>ID!B59</f>
        <v>Electrical Safety Analyzer, Merek : Fluke, Model : ESA 615, SN : 2853078</v>
      </c>
      <c r="B234" s="960"/>
      <c r="C234" s="960"/>
      <c r="D234" s="960"/>
      <c r="E234" s="960"/>
      <c r="F234" s="960"/>
      <c r="G234" s="960"/>
      <c r="H234" s="960"/>
      <c r="I234" s="960"/>
      <c r="J234" s="960"/>
      <c r="K234" s="960"/>
      <c r="L234" s="781"/>
      <c r="M234" s="978">
        <f>A244</f>
        <v>4</v>
      </c>
      <c r="N234" s="979"/>
      <c r="O234" s="979"/>
      <c r="P234" s="979"/>
      <c r="Q234" s="979"/>
      <c r="R234" s="979"/>
      <c r="S234" s="979"/>
      <c r="T234" s="979"/>
      <c r="U234" s="979"/>
      <c r="V234" s="979"/>
      <c r="W234" s="979"/>
      <c r="X234" s="980"/>
    </row>
    <row r="235" spans="1:24" ht="14" x14ac:dyDescent="0.3">
      <c r="A235" s="960" t="s">
        <v>422</v>
      </c>
      <c r="B235" s="961"/>
      <c r="C235" s="961"/>
      <c r="D235" s="962"/>
      <c r="E235" s="962"/>
      <c r="F235" s="962"/>
      <c r="G235" s="962"/>
      <c r="H235" s="962"/>
      <c r="I235" s="963">
        <f>C5</f>
        <v>2019</v>
      </c>
      <c r="J235" s="963">
        <f>D5</f>
        <v>2020</v>
      </c>
      <c r="K235" s="964">
        <v>1</v>
      </c>
      <c r="L235" s="781"/>
      <c r="M235" s="965">
        <v>1</v>
      </c>
      <c r="N235" s="966" t="s">
        <v>482</v>
      </c>
      <c r="O235" s="967"/>
      <c r="P235" s="967"/>
      <c r="Q235" s="967"/>
      <c r="R235" s="967"/>
      <c r="S235" s="967"/>
      <c r="T235" s="967"/>
      <c r="U235" s="967"/>
      <c r="V235" s="967"/>
      <c r="W235" s="967"/>
      <c r="X235" s="968"/>
    </row>
    <row r="236" spans="1:24" ht="14" x14ac:dyDescent="0.3">
      <c r="A236" s="960" t="s">
        <v>423</v>
      </c>
      <c r="B236" s="961"/>
      <c r="C236" s="961"/>
      <c r="D236" s="962"/>
      <c r="E236" s="962"/>
      <c r="F236" s="962"/>
      <c r="G236" s="962"/>
      <c r="H236" s="962"/>
      <c r="I236" s="963">
        <f>J5</f>
        <v>2017</v>
      </c>
      <c r="J236" s="963">
        <f>K5</f>
        <v>2019</v>
      </c>
      <c r="K236" s="964">
        <v>2</v>
      </c>
      <c r="L236" s="781"/>
      <c r="M236" s="965">
        <v>2</v>
      </c>
      <c r="N236" s="966" t="s">
        <v>483</v>
      </c>
      <c r="O236" s="967"/>
      <c r="P236" s="967"/>
      <c r="Q236" s="967"/>
      <c r="R236" s="967"/>
      <c r="S236" s="967"/>
      <c r="T236" s="967"/>
      <c r="U236" s="967"/>
      <c r="V236" s="967"/>
      <c r="W236" s="967"/>
      <c r="X236" s="968"/>
    </row>
    <row r="237" spans="1:24" ht="14" x14ac:dyDescent="0.3">
      <c r="A237" s="960" t="s">
        <v>289</v>
      </c>
      <c r="B237" s="961"/>
      <c r="C237" s="961"/>
      <c r="D237" s="962"/>
      <c r="E237" s="962"/>
      <c r="F237" s="962"/>
      <c r="G237" s="962"/>
      <c r="H237" s="962"/>
      <c r="I237" s="963">
        <f>Q5</f>
        <v>2018</v>
      </c>
      <c r="J237" s="963">
        <f>R5</f>
        <v>2022</v>
      </c>
      <c r="K237" s="964">
        <v>3</v>
      </c>
      <c r="L237" s="781"/>
      <c r="M237" s="965">
        <v>3</v>
      </c>
      <c r="N237" s="966" t="s">
        <v>482</v>
      </c>
      <c r="O237" s="967"/>
      <c r="P237" s="967"/>
      <c r="Q237" s="967"/>
      <c r="R237" s="967"/>
      <c r="S237" s="967"/>
      <c r="T237" s="967"/>
      <c r="U237" s="967"/>
      <c r="V237" s="967"/>
      <c r="W237" s="967"/>
      <c r="X237" s="968"/>
    </row>
    <row r="238" spans="1:24" ht="14" x14ac:dyDescent="0.3">
      <c r="A238" s="960" t="s">
        <v>424</v>
      </c>
      <c r="B238" s="961"/>
      <c r="C238" s="961"/>
      <c r="D238" s="962"/>
      <c r="E238" s="962"/>
      <c r="F238" s="962"/>
      <c r="G238" s="962"/>
      <c r="H238" s="962"/>
      <c r="I238" s="963">
        <f>C36</f>
        <v>2017</v>
      </c>
      <c r="J238" s="963">
        <f>D36</f>
        <v>2019</v>
      </c>
      <c r="K238" s="964">
        <v>4</v>
      </c>
      <c r="L238" s="781"/>
      <c r="M238" s="965">
        <v>4</v>
      </c>
      <c r="N238" s="966" t="s">
        <v>482</v>
      </c>
      <c r="O238" s="967"/>
      <c r="P238" s="967"/>
      <c r="Q238" s="967"/>
      <c r="R238" s="967"/>
      <c r="S238" s="967"/>
      <c r="T238" s="967"/>
      <c r="U238" s="967"/>
      <c r="V238" s="967"/>
      <c r="W238" s="967"/>
      <c r="X238" s="968"/>
    </row>
    <row r="239" spans="1:24" ht="14" x14ac:dyDescent="0.3">
      <c r="A239" s="960" t="s">
        <v>425</v>
      </c>
      <c r="B239" s="961"/>
      <c r="C239" s="961"/>
      <c r="D239" s="962"/>
      <c r="E239" s="962"/>
      <c r="F239" s="962"/>
      <c r="G239" s="962"/>
      <c r="H239" s="962"/>
      <c r="I239" s="963">
        <f>J36</f>
        <v>2017</v>
      </c>
      <c r="J239" s="963">
        <f>K36</f>
        <v>2019</v>
      </c>
      <c r="K239" s="964">
        <v>5</v>
      </c>
      <c r="L239" s="781"/>
      <c r="M239" s="965">
        <v>5</v>
      </c>
      <c r="N239" s="966" t="s">
        <v>482</v>
      </c>
      <c r="O239" s="967"/>
      <c r="P239" s="967"/>
      <c r="Q239" s="967"/>
      <c r="R239" s="967"/>
      <c r="S239" s="967"/>
      <c r="T239" s="967"/>
      <c r="U239" s="967"/>
      <c r="V239" s="967"/>
      <c r="W239" s="967"/>
      <c r="X239" s="968"/>
    </row>
    <row r="240" spans="1:24" ht="14" x14ac:dyDescent="0.3">
      <c r="A240" s="960" t="s">
        <v>290</v>
      </c>
      <c r="B240" s="961"/>
      <c r="C240" s="961"/>
      <c r="D240" s="962"/>
      <c r="E240" s="962"/>
      <c r="F240" s="962"/>
      <c r="G240" s="962"/>
      <c r="H240" s="962"/>
      <c r="I240" s="963">
        <f>Q36</f>
        <v>2018</v>
      </c>
      <c r="J240" s="963">
        <f>R36</f>
        <v>2019</v>
      </c>
      <c r="K240" s="964">
        <v>6</v>
      </c>
      <c r="L240" s="781"/>
      <c r="M240" s="965">
        <v>6</v>
      </c>
      <c r="N240" s="966" t="s">
        <v>482</v>
      </c>
      <c r="O240" s="967"/>
      <c r="P240" s="967"/>
      <c r="Q240" s="967"/>
      <c r="R240" s="967"/>
      <c r="S240" s="967"/>
      <c r="T240" s="967"/>
      <c r="U240" s="967"/>
      <c r="V240" s="967"/>
      <c r="W240" s="967"/>
      <c r="X240" s="968"/>
    </row>
    <row r="241" spans="1:24" ht="14" x14ac:dyDescent="0.3">
      <c r="A241" s="960" t="s">
        <v>291</v>
      </c>
      <c r="B241" s="961"/>
      <c r="C241" s="961"/>
      <c r="D241" s="962"/>
      <c r="E241" s="962"/>
      <c r="F241" s="962"/>
      <c r="G241" s="962"/>
      <c r="H241" s="962"/>
      <c r="I241" s="963">
        <f>C67</f>
        <v>2019</v>
      </c>
      <c r="J241" s="963">
        <f>D67</f>
        <v>2020</v>
      </c>
      <c r="K241" s="964">
        <v>7</v>
      </c>
      <c r="L241" s="781"/>
      <c r="M241" s="965">
        <v>7</v>
      </c>
      <c r="N241" s="966" t="s">
        <v>482</v>
      </c>
      <c r="O241" s="967"/>
      <c r="P241" s="967"/>
      <c r="Q241" s="967"/>
      <c r="R241" s="967"/>
      <c r="S241" s="967"/>
      <c r="T241" s="967"/>
      <c r="U241" s="967"/>
      <c r="V241" s="967"/>
      <c r="W241" s="967"/>
      <c r="X241" s="968"/>
    </row>
    <row r="242" spans="1:24" ht="14" x14ac:dyDescent="0.3">
      <c r="A242" s="960" t="s">
        <v>292</v>
      </c>
      <c r="B242" s="961"/>
      <c r="C242" s="961"/>
      <c r="D242" s="962"/>
      <c r="E242" s="962"/>
      <c r="F242" s="962"/>
      <c r="G242" s="962"/>
      <c r="H242" s="962"/>
      <c r="I242" s="963">
        <f>J67</f>
        <v>2019</v>
      </c>
      <c r="J242" s="963">
        <f>K67</f>
        <v>2020</v>
      </c>
      <c r="K242" s="964">
        <v>8</v>
      </c>
      <c r="L242" s="781"/>
      <c r="M242" s="965">
        <v>8</v>
      </c>
      <c r="N242" s="966" t="s">
        <v>482</v>
      </c>
      <c r="O242" s="967"/>
      <c r="P242" s="967"/>
      <c r="Q242" s="967"/>
      <c r="R242" s="967"/>
      <c r="S242" s="967"/>
      <c r="T242" s="967"/>
      <c r="U242" s="967"/>
      <c r="V242" s="967"/>
      <c r="W242" s="967"/>
      <c r="X242" s="968"/>
    </row>
    <row r="243" spans="1:24" ht="14" x14ac:dyDescent="0.3">
      <c r="A243" s="960" t="s">
        <v>293</v>
      </c>
      <c r="B243" s="961"/>
      <c r="C243" s="961"/>
      <c r="D243" s="962"/>
      <c r="E243" s="962"/>
      <c r="F243" s="962"/>
      <c r="G243" s="962"/>
      <c r="H243" s="962"/>
      <c r="I243" s="963">
        <f>Q67</f>
        <v>2020</v>
      </c>
      <c r="J243" s="963">
        <f>R67</f>
        <v>2022</v>
      </c>
      <c r="K243" s="964">
        <v>9</v>
      </c>
      <c r="L243" s="781"/>
      <c r="M243" s="965">
        <v>9</v>
      </c>
      <c r="N243" s="966" t="s">
        <v>482</v>
      </c>
      <c r="O243" s="967"/>
      <c r="P243" s="967"/>
      <c r="Q243" s="967"/>
      <c r="R243" s="967"/>
      <c r="S243" s="967"/>
      <c r="T243" s="967"/>
      <c r="U243" s="967"/>
      <c r="V243" s="967"/>
      <c r="W243" s="967"/>
      <c r="X243" s="968"/>
    </row>
    <row r="244" spans="1:24" ht="14.5" thickBot="1" x14ac:dyDescent="0.35">
      <c r="A244" s="972">
        <f>VLOOKUP(A234,A235:K243,11,(FALSE))</f>
        <v>4</v>
      </c>
      <c r="B244" s="973"/>
      <c r="C244" s="973"/>
      <c r="D244" s="973"/>
      <c r="E244" s="973"/>
      <c r="F244" s="973"/>
      <c r="G244" s="973"/>
      <c r="H244" s="973"/>
      <c r="I244" s="973"/>
      <c r="J244" s="973"/>
      <c r="K244" s="974"/>
      <c r="L244" s="781"/>
      <c r="M244" s="969" t="str">
        <f>VLOOKUP(M234,M235:X243,2,FALSE)</f>
        <v>Hasil pengujian Keselamatan Listrik tertelusur ke Satuan Internasional ( SI ) melalui PT. Kaliman (LK-032-IDN)</v>
      </c>
      <c r="N244" s="970"/>
      <c r="O244" s="970"/>
      <c r="P244" s="970"/>
      <c r="Q244" s="970"/>
      <c r="R244" s="970"/>
      <c r="S244" s="970"/>
      <c r="T244" s="970"/>
      <c r="U244" s="970"/>
      <c r="V244" s="970"/>
      <c r="W244" s="970"/>
      <c r="X244" s="971"/>
    </row>
    <row r="245" spans="1:24" x14ac:dyDescent="0.25">
      <c r="A245" s="781"/>
      <c r="B245" s="781"/>
      <c r="C245" s="781"/>
      <c r="D245" s="781"/>
      <c r="E245" s="781"/>
      <c r="F245" s="781"/>
      <c r="G245" s="781"/>
      <c r="H245" s="781"/>
      <c r="I245" s="781"/>
      <c r="J245" s="781"/>
      <c r="K245" s="781"/>
      <c r="L245" s="781"/>
      <c r="M245" s="781"/>
      <c r="N245" s="781"/>
      <c r="O245" s="781"/>
      <c r="P245" s="781"/>
      <c r="Q245" s="781"/>
      <c r="R245" s="781"/>
      <c r="S245" s="781"/>
      <c r="T245" s="781"/>
      <c r="U245" s="781"/>
      <c r="V245" s="781"/>
      <c r="W245" s="781"/>
      <c r="X245" s="781"/>
    </row>
    <row r="246" spans="1:24" x14ac:dyDescent="0.25">
      <c r="A246" s="781"/>
      <c r="B246" s="781"/>
      <c r="C246" s="781"/>
      <c r="D246" s="781"/>
      <c r="E246" s="781"/>
      <c r="F246" s="781"/>
      <c r="G246" s="781"/>
      <c r="H246" s="781"/>
      <c r="I246" s="781"/>
      <c r="J246" s="781"/>
      <c r="K246" s="781"/>
      <c r="L246" s="781"/>
      <c r="M246" s="781"/>
      <c r="N246" s="781"/>
      <c r="O246" s="781"/>
      <c r="P246" s="781"/>
      <c r="Q246" s="781"/>
      <c r="R246" s="781"/>
      <c r="S246" s="781"/>
      <c r="T246" s="781"/>
      <c r="U246" s="781"/>
      <c r="V246" s="781"/>
      <c r="W246" s="781"/>
      <c r="X246" s="781"/>
    </row>
    <row r="247" spans="1:24" x14ac:dyDescent="0.25">
      <c r="A247" s="781"/>
      <c r="B247" s="781"/>
      <c r="C247" s="781"/>
      <c r="D247" s="781"/>
      <c r="E247" s="781"/>
      <c r="F247" s="781"/>
      <c r="G247" s="781"/>
      <c r="H247" s="781"/>
      <c r="I247" s="781"/>
      <c r="J247" s="781"/>
      <c r="K247" s="781"/>
      <c r="L247" s="781"/>
      <c r="M247" s="781"/>
      <c r="N247" s="781"/>
      <c r="O247" s="781"/>
      <c r="P247" s="781"/>
      <c r="Q247" s="781"/>
      <c r="R247" s="781"/>
      <c r="S247" s="781"/>
      <c r="T247" s="781"/>
      <c r="U247" s="781"/>
      <c r="V247" s="781"/>
      <c r="W247" s="781"/>
      <c r="X247" s="781"/>
    </row>
    <row r="248" spans="1:24" x14ac:dyDescent="0.25">
      <c r="A248" s="781"/>
      <c r="B248" s="781"/>
      <c r="C248" s="781"/>
      <c r="D248" s="781"/>
      <c r="E248" s="781"/>
      <c r="F248" s="781"/>
      <c r="G248" s="781"/>
      <c r="H248" s="781"/>
      <c r="I248" s="781"/>
      <c r="J248" s="781"/>
      <c r="K248" s="781"/>
      <c r="L248" s="781"/>
      <c r="M248" s="781"/>
      <c r="N248" s="781"/>
      <c r="O248" s="781"/>
      <c r="P248" s="781"/>
      <c r="Q248" s="781"/>
      <c r="R248" s="781"/>
      <c r="S248" s="781"/>
      <c r="T248" s="781"/>
      <c r="U248" s="781"/>
      <c r="V248" s="781"/>
      <c r="W248" s="781"/>
      <c r="X248" s="781"/>
    </row>
    <row r="249" spans="1:24" x14ac:dyDescent="0.25">
      <c r="A249" s="781"/>
      <c r="B249" s="781"/>
      <c r="C249" s="781"/>
      <c r="D249" s="781"/>
      <c r="E249" s="781"/>
      <c r="F249" s="781"/>
      <c r="G249" s="781"/>
      <c r="H249" s="781"/>
      <c r="I249" s="781"/>
      <c r="J249" s="781"/>
      <c r="K249" s="781"/>
      <c r="L249" s="781"/>
      <c r="M249" s="781"/>
      <c r="N249" s="781"/>
      <c r="O249" s="781"/>
      <c r="P249" s="781"/>
      <c r="Q249" s="781"/>
      <c r="R249" s="781"/>
      <c r="S249" s="781"/>
      <c r="T249" s="781"/>
      <c r="U249" s="781"/>
      <c r="V249" s="781"/>
      <c r="W249" s="781"/>
      <c r="X249" s="781"/>
    </row>
  </sheetData>
  <mergeCells count="179">
    <mergeCell ref="A1:T1"/>
    <mergeCell ref="A2:A31"/>
    <mergeCell ref="B2:F2"/>
    <mergeCell ref="H2:H31"/>
    <mergeCell ref="I2:M2"/>
    <mergeCell ref="O2:O31"/>
    <mergeCell ref="P2:T2"/>
    <mergeCell ref="B3:F3"/>
    <mergeCell ref="I3:M3"/>
    <mergeCell ref="P3:T3"/>
    <mergeCell ref="P4:R4"/>
    <mergeCell ref="S4:S5"/>
    <mergeCell ref="T4:T5"/>
    <mergeCell ref="B12:D12"/>
    <mergeCell ref="E12:E13"/>
    <mergeCell ref="F12:F13"/>
    <mergeCell ref="I12:K12"/>
    <mergeCell ref="L12:L13"/>
    <mergeCell ref="M12:M13"/>
    <mergeCell ref="P12:R12"/>
    <mergeCell ref="B4:D4"/>
    <mergeCell ref="E4:E5"/>
    <mergeCell ref="F4:F5"/>
    <mergeCell ref="I4:K4"/>
    <mergeCell ref="L4:L5"/>
    <mergeCell ref="M4:M5"/>
    <mergeCell ref="S12:S13"/>
    <mergeCell ref="T12:T13"/>
    <mergeCell ref="B20:D20"/>
    <mergeCell ref="E20:E21"/>
    <mergeCell ref="F20:F21"/>
    <mergeCell ref="I20:K20"/>
    <mergeCell ref="L20:L21"/>
    <mergeCell ref="M20:M21"/>
    <mergeCell ref="P20:R20"/>
    <mergeCell ref="S20:S21"/>
    <mergeCell ref="T20:T21"/>
    <mergeCell ref="B26:D26"/>
    <mergeCell ref="E26:E27"/>
    <mergeCell ref="F26:F27"/>
    <mergeCell ref="I26:K26"/>
    <mergeCell ref="L26:L27"/>
    <mergeCell ref="M26:M27"/>
    <mergeCell ref="P26:R26"/>
    <mergeCell ref="S26:S27"/>
    <mergeCell ref="T26:T27"/>
    <mergeCell ref="A33:A62"/>
    <mergeCell ref="B33:F33"/>
    <mergeCell ref="H33:H62"/>
    <mergeCell ref="I33:M33"/>
    <mergeCell ref="O33:O62"/>
    <mergeCell ref="P33:T33"/>
    <mergeCell ref="B34:F34"/>
    <mergeCell ref="I34:M34"/>
    <mergeCell ref="P34:T34"/>
    <mergeCell ref="B35:D35"/>
    <mergeCell ref="I35:K35"/>
    <mergeCell ref="P35:R35"/>
    <mergeCell ref="S35:S36"/>
    <mergeCell ref="T35:T36"/>
    <mergeCell ref="B43:D43"/>
    <mergeCell ref="I43:K43"/>
    <mergeCell ref="P43:R43"/>
    <mergeCell ref="S43:S44"/>
    <mergeCell ref="T43:T44"/>
    <mergeCell ref="B51:D51"/>
    <mergeCell ref="I51:K51"/>
    <mergeCell ref="P51:R51"/>
    <mergeCell ref="S51:S52"/>
    <mergeCell ref="T51:T52"/>
    <mergeCell ref="B57:D57"/>
    <mergeCell ref="I57:K57"/>
    <mergeCell ref="P57:R57"/>
    <mergeCell ref="S57:S58"/>
    <mergeCell ref="T57:T58"/>
    <mergeCell ref="S66:S67"/>
    <mergeCell ref="T66:T67"/>
    <mergeCell ref="B74:D74"/>
    <mergeCell ref="E74:E75"/>
    <mergeCell ref="F74:F75"/>
    <mergeCell ref="I74:K74"/>
    <mergeCell ref="L74:L75"/>
    <mergeCell ref="M74:M75"/>
    <mergeCell ref="P74:R74"/>
    <mergeCell ref="S74:S75"/>
    <mergeCell ref="E66:E67"/>
    <mergeCell ref="F66:F67"/>
    <mergeCell ref="I66:K66"/>
    <mergeCell ref="L66:L67"/>
    <mergeCell ref="M66:M67"/>
    <mergeCell ref="P66:R66"/>
    <mergeCell ref="H64:H93"/>
    <mergeCell ref="I64:M64"/>
    <mergeCell ref="O64:O93"/>
    <mergeCell ref="P64:T64"/>
    <mergeCell ref="B65:F65"/>
    <mergeCell ref="I65:M65"/>
    <mergeCell ref="P65:T65"/>
    <mergeCell ref="B66:D66"/>
    <mergeCell ref="T74:T75"/>
    <mergeCell ref="B82:D82"/>
    <mergeCell ref="E82:E83"/>
    <mergeCell ref="F82:F83"/>
    <mergeCell ref="I82:K82"/>
    <mergeCell ref="L82:L83"/>
    <mergeCell ref="M82:M83"/>
    <mergeCell ref="P82:R82"/>
    <mergeCell ref="S82:S83"/>
    <mergeCell ref="T82:T83"/>
    <mergeCell ref="C98:E98"/>
    <mergeCell ref="K98:M98"/>
    <mergeCell ref="A100:A108"/>
    <mergeCell ref="I100:I108"/>
    <mergeCell ref="A109:A117"/>
    <mergeCell ref="I109:I117"/>
    <mergeCell ref="P88:R88"/>
    <mergeCell ref="S88:S89"/>
    <mergeCell ref="T88:T89"/>
    <mergeCell ref="A95:Q95"/>
    <mergeCell ref="A97:A99"/>
    <mergeCell ref="B97:B99"/>
    <mergeCell ref="C97:G97"/>
    <mergeCell ref="I97:I99"/>
    <mergeCell ref="J97:J99"/>
    <mergeCell ref="K97:O97"/>
    <mergeCell ref="B88:D88"/>
    <mergeCell ref="E88:E89"/>
    <mergeCell ref="F88:F89"/>
    <mergeCell ref="I88:K88"/>
    <mergeCell ref="L88:L89"/>
    <mergeCell ref="M88:M89"/>
    <mergeCell ref="A64:A93"/>
    <mergeCell ref="B64:F64"/>
    <mergeCell ref="A145:A153"/>
    <mergeCell ref="I145:I153"/>
    <mergeCell ref="A155:A157"/>
    <mergeCell ref="B155:B157"/>
    <mergeCell ref="C155:G155"/>
    <mergeCell ref="I155:I157"/>
    <mergeCell ref="A118:A126"/>
    <mergeCell ref="I118:I126"/>
    <mergeCell ref="A127:A135"/>
    <mergeCell ref="I127:I135"/>
    <mergeCell ref="A136:A144"/>
    <mergeCell ref="I136:I144"/>
    <mergeCell ref="A167:A175"/>
    <mergeCell ref="I167:I175"/>
    <mergeCell ref="A176:A184"/>
    <mergeCell ref="I176:I184"/>
    <mergeCell ref="A185:A193"/>
    <mergeCell ref="I185:I193"/>
    <mergeCell ref="J155:J157"/>
    <mergeCell ref="K155:O155"/>
    <mergeCell ref="C156:E156"/>
    <mergeCell ref="K156:M156"/>
    <mergeCell ref="A158:A166"/>
    <mergeCell ref="I158:I166"/>
    <mergeCell ref="B195:E195"/>
    <mergeCell ref="G195:J195"/>
    <mergeCell ref="L195:L197"/>
    <mergeCell ref="M195:M197"/>
    <mergeCell ref="N195:N197"/>
    <mergeCell ref="A196:E196"/>
    <mergeCell ref="A197:C197"/>
    <mergeCell ref="D197:D198"/>
    <mergeCell ref="E197:E198"/>
    <mergeCell ref="A244:K244"/>
    <mergeCell ref="G215:J215"/>
    <mergeCell ref="A219:C219"/>
    <mergeCell ref="G219:J219"/>
    <mergeCell ref="G223:J223"/>
    <mergeCell ref="G227:J227"/>
    <mergeCell ref="M234:X234"/>
    <mergeCell ref="G199:J199"/>
    <mergeCell ref="G203:J203"/>
    <mergeCell ref="A205:C205"/>
    <mergeCell ref="G207:J207"/>
    <mergeCell ref="G211:J211"/>
    <mergeCell ref="A213:C213"/>
  </mergeCells>
  <pageMargins left="0.7" right="0.7" top="0.75" bottom="0.75" header="0.3" footer="0.3"/>
  <pageSetup paperSize="9" orientation="portrait" horizontalDpi="360" verticalDpi="36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FF0000"/>
  </sheetPr>
  <dimension ref="A1:AH112"/>
  <sheetViews>
    <sheetView view="pageBreakPreview" topLeftCell="A55" zoomScale="112" zoomScaleNormal="100" zoomScaleSheetLayoutView="112" workbookViewId="0">
      <selection activeCell="P64" sqref="P64"/>
    </sheetView>
  </sheetViews>
  <sheetFormatPr defaultRowHeight="14" x14ac:dyDescent="0.3"/>
  <cols>
    <col min="1" max="1" width="15.6328125" style="48" customWidth="1"/>
    <col min="2" max="2" width="18.6328125" style="48" bestFit="1" customWidth="1"/>
    <col min="3" max="3" width="6.54296875" style="48" customWidth="1"/>
    <col min="4" max="4" width="8.08984375" style="48" customWidth="1"/>
    <col min="5" max="5" width="7.453125" style="48" customWidth="1"/>
    <col min="6" max="6" width="6.90625" style="48" customWidth="1"/>
    <col min="7" max="7" width="7.08984375" style="48" customWidth="1"/>
    <col min="8" max="8" width="7" style="48" customWidth="1"/>
    <col min="9" max="9" width="6.54296875" style="48" customWidth="1"/>
    <col min="10" max="10" width="10.54296875" style="48" customWidth="1"/>
    <col min="11" max="11" width="13.453125" style="48" customWidth="1"/>
    <col min="12" max="12" width="7.54296875" style="48" customWidth="1"/>
    <col min="13" max="13" width="8" style="48" customWidth="1"/>
    <col min="14" max="14" width="6.54296875" style="48" customWidth="1"/>
    <col min="15" max="15" width="7" style="48" customWidth="1"/>
    <col min="16" max="16" width="7.6328125" style="48" customWidth="1"/>
    <col min="17" max="17" width="8.08984375" style="48" customWidth="1"/>
    <col min="18" max="18" width="7" style="48" customWidth="1"/>
    <col min="19" max="19" width="7.54296875" style="48" customWidth="1"/>
    <col min="20" max="20" width="8.7265625" style="48"/>
    <col min="21" max="21" width="8" style="48" customWidth="1"/>
    <col min="22" max="23" width="7.36328125" style="48" customWidth="1"/>
    <col min="24" max="24" width="6.08984375" style="48" customWidth="1"/>
    <col min="25" max="25" width="8.7265625" style="48"/>
    <col min="26" max="26" width="6.54296875" style="48" customWidth="1"/>
    <col min="27" max="27" width="6.90625" style="48" customWidth="1"/>
    <col min="28" max="28" width="7.36328125" style="48" customWidth="1"/>
    <col min="29" max="29" width="7" style="48" customWidth="1"/>
    <col min="30" max="30" width="8.7265625" style="48"/>
    <col min="31" max="31" width="7" style="48" customWidth="1"/>
    <col min="32" max="32" width="6.453125" style="48" customWidth="1"/>
    <col min="33" max="33" width="7" style="48" customWidth="1"/>
    <col min="34" max="34" width="7.453125" style="48" customWidth="1"/>
    <col min="35" max="16384" width="8.7265625" style="48"/>
  </cols>
  <sheetData>
    <row r="1" spans="1:14" x14ac:dyDescent="0.3">
      <c r="A1" s="1283" t="s">
        <v>191</v>
      </c>
      <c r="B1" s="1283"/>
      <c r="C1" s="1283"/>
      <c r="D1" s="1283"/>
      <c r="E1" s="1283"/>
      <c r="F1" s="1283"/>
      <c r="G1" s="1283"/>
      <c r="H1" s="1283"/>
      <c r="I1" s="1283"/>
      <c r="J1" s="1283"/>
      <c r="K1" s="1283"/>
      <c r="L1" s="1283"/>
      <c r="M1" s="693"/>
    </row>
    <row r="2" spans="1:14" x14ac:dyDescent="0.3">
      <c r="A2" s="694"/>
      <c r="B2" s="694"/>
      <c r="C2" s="694"/>
      <c r="D2" s="694"/>
      <c r="E2" s="694"/>
      <c r="F2" s="694"/>
      <c r="G2" s="694"/>
      <c r="H2" s="694"/>
      <c r="I2" s="694"/>
      <c r="J2" s="694"/>
      <c r="K2" s="694"/>
      <c r="L2" s="693"/>
      <c r="M2" s="693"/>
    </row>
    <row r="3" spans="1:14" x14ac:dyDescent="0.3">
      <c r="A3" s="695" t="s">
        <v>192</v>
      </c>
      <c r="B3" s="696"/>
      <c r="C3" s="47"/>
      <c r="D3" s="47"/>
      <c r="E3" s="47"/>
      <c r="F3" s="47"/>
      <c r="G3" s="47"/>
      <c r="H3" s="47"/>
      <c r="I3" s="47"/>
      <c r="J3" s="47"/>
      <c r="K3" s="47"/>
      <c r="L3" s="693"/>
      <c r="M3" s="693"/>
    </row>
    <row r="4" spans="1:14" x14ac:dyDescent="0.3">
      <c r="A4" s="697" t="s">
        <v>193</v>
      </c>
      <c r="B4" s="697" t="s">
        <v>194</v>
      </c>
      <c r="C4" s="697" t="s">
        <v>195</v>
      </c>
      <c r="D4" s="697" t="s">
        <v>196</v>
      </c>
      <c r="E4" s="697" t="s">
        <v>197</v>
      </c>
      <c r="F4" s="697" t="s">
        <v>198</v>
      </c>
      <c r="G4" s="697" t="s">
        <v>199</v>
      </c>
      <c r="H4" s="697" t="s">
        <v>200</v>
      </c>
      <c r="I4" s="697" t="s">
        <v>201</v>
      </c>
      <c r="J4" s="697" t="s">
        <v>202</v>
      </c>
      <c r="K4" s="697" t="s">
        <v>203</v>
      </c>
      <c r="L4" s="693"/>
      <c r="M4" s="693"/>
    </row>
    <row r="5" spans="1:14" x14ac:dyDescent="0.3">
      <c r="A5" s="698" t="s">
        <v>204</v>
      </c>
      <c r="B5" s="699">
        <f>ID!M82</f>
        <v>0</v>
      </c>
      <c r="C5" s="698" t="s">
        <v>205</v>
      </c>
      <c r="D5" s="698" t="s">
        <v>206</v>
      </c>
      <c r="E5" s="700">
        <f>SQRT(6)</f>
        <v>2.4494897427831779</v>
      </c>
      <c r="F5" s="700">
        <f>B5/E5</f>
        <v>0</v>
      </c>
      <c r="G5" s="701">
        <f>6-1</f>
        <v>5</v>
      </c>
      <c r="H5" s="701">
        <v>1</v>
      </c>
      <c r="I5" s="700">
        <f>F5*H5</f>
        <v>0</v>
      </c>
      <c r="J5" s="700">
        <f>I5^2</f>
        <v>0</v>
      </c>
      <c r="K5" s="700">
        <f>(J5^2)/G5</f>
        <v>0</v>
      </c>
      <c r="L5" s="693"/>
      <c r="M5" s="693"/>
      <c r="N5" s="48">
        <f>0.5*1</f>
        <v>0.5</v>
      </c>
    </row>
    <row r="6" spans="1:14" x14ac:dyDescent="0.3">
      <c r="A6" s="698" t="s">
        <v>6</v>
      </c>
      <c r="B6" s="698">
        <f>N5</f>
        <v>0.5</v>
      </c>
      <c r="C6" s="698" t="s">
        <v>205</v>
      </c>
      <c r="D6" s="698" t="s">
        <v>207</v>
      </c>
      <c r="E6" s="700">
        <f>SQRT(3)</f>
        <v>1.7320508075688772</v>
      </c>
      <c r="F6" s="700">
        <f>B6/E6</f>
        <v>0.28867513459481292</v>
      </c>
      <c r="G6" s="701">
        <v>50</v>
      </c>
      <c r="H6" s="701">
        <v>1</v>
      </c>
      <c r="I6" s="700">
        <f>F6*H6</f>
        <v>0.28867513459481292</v>
      </c>
      <c r="J6" s="700">
        <f>I6^2</f>
        <v>8.3333333333333356E-2</v>
      </c>
      <c r="K6" s="700">
        <f>(J6^2)/G6</f>
        <v>1.3888888888888897E-4</v>
      </c>
      <c r="L6" s="693"/>
      <c r="M6" s="693"/>
    </row>
    <row r="7" spans="1:14" x14ac:dyDescent="0.3">
      <c r="A7" s="1288" t="s">
        <v>208</v>
      </c>
      <c r="B7" s="1288"/>
      <c r="C7" s="1288"/>
      <c r="D7" s="1288"/>
      <c r="E7" s="1288"/>
      <c r="F7" s="1288"/>
      <c r="G7" s="1288"/>
      <c r="H7" s="1288"/>
      <c r="I7" s="1288"/>
      <c r="J7" s="700">
        <f>SUM(J5:J6)</f>
        <v>8.3333333333333356E-2</v>
      </c>
      <c r="K7" s="700">
        <f>SUM(K5:K6)</f>
        <v>1.3888888888888897E-4</v>
      </c>
      <c r="L7" s="693"/>
      <c r="M7" s="693"/>
    </row>
    <row r="8" spans="1:14" ht="16" x14ac:dyDescent="0.4">
      <c r="A8" s="1288" t="s">
        <v>209</v>
      </c>
      <c r="B8" s="1288"/>
      <c r="C8" s="1288"/>
      <c r="D8" s="1288"/>
      <c r="E8" s="1288"/>
      <c r="F8" s="1288"/>
      <c r="G8" s="1290" t="s">
        <v>459</v>
      </c>
      <c r="H8" s="1290"/>
      <c r="I8" s="1290"/>
      <c r="J8" s="700">
        <f>SQRT(J7)</f>
        <v>0.28867513459481292</v>
      </c>
      <c r="K8" s="700"/>
      <c r="L8" s="693"/>
      <c r="M8" s="693"/>
    </row>
    <row r="9" spans="1:14" ht="17.5" x14ac:dyDescent="0.4">
      <c r="A9" s="1288" t="s">
        <v>211</v>
      </c>
      <c r="B9" s="1288"/>
      <c r="C9" s="1288"/>
      <c r="D9" s="1288"/>
      <c r="E9" s="1288"/>
      <c r="F9" s="1288"/>
      <c r="G9" s="1289" t="s">
        <v>460</v>
      </c>
      <c r="H9" s="1289"/>
      <c r="I9" s="1289"/>
      <c r="J9" s="700">
        <f>J8^4/(K7)</f>
        <v>50</v>
      </c>
      <c r="K9" s="700"/>
      <c r="L9" s="693"/>
      <c r="M9" s="693"/>
    </row>
    <row r="10" spans="1:14" x14ac:dyDescent="0.3">
      <c r="A10" s="1288" t="s">
        <v>213</v>
      </c>
      <c r="B10" s="1288"/>
      <c r="C10" s="1288"/>
      <c r="D10" s="1288"/>
      <c r="E10" s="1288"/>
      <c r="F10" s="1288"/>
      <c r="G10" s="1289" t="s">
        <v>214</v>
      </c>
      <c r="H10" s="1289"/>
      <c r="I10" s="1289"/>
      <c r="J10" s="700">
        <f>1.95996+(2.37356/J9)+(2.818745/J9^2)+(2.546662/J9^3)+(1.761829/J9^4)+(0.245458/J9^5)+(1.000764/J9^6)</f>
        <v>2.008579354038154</v>
      </c>
      <c r="K10" s="700"/>
      <c r="L10" s="693"/>
      <c r="M10" s="693"/>
    </row>
    <row r="11" spans="1:14" x14ac:dyDescent="0.3">
      <c r="A11" s="1288" t="s">
        <v>215</v>
      </c>
      <c r="B11" s="1288"/>
      <c r="C11" s="1288"/>
      <c r="D11" s="1288"/>
      <c r="E11" s="1288"/>
      <c r="F11" s="1288"/>
      <c r="G11" s="1289" t="s">
        <v>216</v>
      </c>
      <c r="H11" s="1289"/>
      <c r="I11" s="1289"/>
      <c r="J11" s="700">
        <f>J10*J8</f>
        <v>0.57982691537132647</v>
      </c>
      <c r="K11" s="703" t="s">
        <v>9</v>
      </c>
      <c r="L11" s="693"/>
      <c r="M11" s="693"/>
    </row>
    <row r="12" spans="1:14" x14ac:dyDescent="0.3">
      <c r="A12" s="694"/>
      <c r="B12" s="694"/>
      <c r="C12" s="694"/>
      <c r="D12" s="694"/>
      <c r="E12" s="694"/>
      <c r="F12" s="694"/>
      <c r="G12" s="694"/>
      <c r="H12" s="694"/>
      <c r="I12" s="694"/>
      <c r="J12" s="694"/>
      <c r="K12" s="694"/>
      <c r="L12" s="693"/>
      <c r="M12" s="693"/>
    </row>
    <row r="13" spans="1:14" x14ac:dyDescent="0.3">
      <c r="A13" s="695" t="s">
        <v>217</v>
      </c>
      <c r="B13" s="47"/>
      <c r="C13" s="47"/>
      <c r="D13" s="47"/>
      <c r="E13" s="47"/>
      <c r="F13" s="47"/>
      <c r="G13" s="47"/>
      <c r="H13" s="47"/>
      <c r="I13" s="47"/>
      <c r="J13" s="47"/>
      <c r="K13" s="47"/>
      <c r="L13" s="693"/>
      <c r="M13" s="693"/>
    </row>
    <row r="14" spans="1:14" x14ac:dyDescent="0.3">
      <c r="A14" s="697" t="s">
        <v>193</v>
      </c>
      <c r="B14" s="697" t="s">
        <v>194</v>
      </c>
      <c r="C14" s="697" t="s">
        <v>195</v>
      </c>
      <c r="D14" s="697" t="s">
        <v>196</v>
      </c>
      <c r="E14" s="697" t="s">
        <v>197</v>
      </c>
      <c r="F14" s="697" t="s">
        <v>198</v>
      </c>
      <c r="G14" s="697" t="s">
        <v>199</v>
      </c>
      <c r="H14" s="697" t="s">
        <v>200</v>
      </c>
      <c r="I14" s="697" t="s">
        <v>201</v>
      </c>
      <c r="J14" s="697" t="s">
        <v>202</v>
      </c>
      <c r="K14" s="697" t="s">
        <v>203</v>
      </c>
      <c r="L14" s="693"/>
      <c r="M14" s="693"/>
    </row>
    <row r="15" spans="1:14" x14ac:dyDescent="0.3">
      <c r="A15" s="698" t="s">
        <v>204</v>
      </c>
      <c r="B15" s="702">
        <f>ID!M83</f>
        <v>0</v>
      </c>
      <c r="C15" s="698" t="s">
        <v>205</v>
      </c>
      <c r="D15" s="698" t="s">
        <v>206</v>
      </c>
      <c r="E15" s="700">
        <f>SQRT(6)</f>
        <v>2.4494897427831779</v>
      </c>
      <c r="F15" s="700">
        <f>B15/E15</f>
        <v>0</v>
      </c>
      <c r="G15" s="701">
        <f>6-1</f>
        <v>5</v>
      </c>
      <c r="H15" s="701">
        <v>1</v>
      </c>
      <c r="I15" s="700">
        <f>F15*H15</f>
        <v>0</v>
      </c>
      <c r="J15" s="700">
        <f>I15^2</f>
        <v>0</v>
      </c>
      <c r="K15" s="700">
        <f>(J15^2)/G15</f>
        <v>0</v>
      </c>
      <c r="L15" s="693"/>
      <c r="M15" s="693"/>
    </row>
    <row r="16" spans="1:14" x14ac:dyDescent="0.3">
      <c r="A16" s="698" t="s">
        <v>6</v>
      </c>
      <c r="B16" s="698">
        <f>1*0.5</f>
        <v>0.5</v>
      </c>
      <c r="C16" s="698" t="s">
        <v>205</v>
      </c>
      <c r="D16" s="698" t="s">
        <v>207</v>
      </c>
      <c r="E16" s="700">
        <f>SQRT(3)</f>
        <v>1.7320508075688772</v>
      </c>
      <c r="F16" s="700">
        <f>B16/E16</f>
        <v>0.28867513459481292</v>
      </c>
      <c r="G16" s="701">
        <v>50</v>
      </c>
      <c r="H16" s="701">
        <v>1</v>
      </c>
      <c r="I16" s="700">
        <f>F16*H16</f>
        <v>0.28867513459481292</v>
      </c>
      <c r="J16" s="700">
        <f>I16^2</f>
        <v>8.3333333333333356E-2</v>
      </c>
      <c r="K16" s="700">
        <f>(J16^2)/G16</f>
        <v>1.3888888888888897E-4</v>
      </c>
      <c r="L16" s="693"/>
      <c r="M16" s="693"/>
    </row>
    <row r="17" spans="1:13" x14ac:dyDescent="0.3">
      <c r="A17" s="1288" t="s">
        <v>208</v>
      </c>
      <c r="B17" s="1288"/>
      <c r="C17" s="1288"/>
      <c r="D17" s="1288"/>
      <c r="E17" s="1288"/>
      <c r="F17" s="1288"/>
      <c r="G17" s="1288"/>
      <c r="H17" s="1288"/>
      <c r="I17" s="1288"/>
      <c r="J17" s="700">
        <f>SUM(J15:J16)</f>
        <v>8.3333333333333356E-2</v>
      </c>
      <c r="K17" s="700">
        <f>SUM(K15:K16)</f>
        <v>1.3888888888888897E-4</v>
      </c>
      <c r="L17" s="693"/>
      <c r="M17" s="693"/>
    </row>
    <row r="18" spans="1:13" ht="16" x14ac:dyDescent="0.4">
      <c r="A18" s="1288" t="s">
        <v>209</v>
      </c>
      <c r="B18" s="1288"/>
      <c r="C18" s="1288"/>
      <c r="D18" s="1288"/>
      <c r="E18" s="1288"/>
      <c r="F18" s="1288"/>
      <c r="G18" s="1290" t="s">
        <v>459</v>
      </c>
      <c r="H18" s="1290"/>
      <c r="I18" s="1290"/>
      <c r="J18" s="700">
        <f>SQRT(J17)</f>
        <v>0.28867513459481292</v>
      </c>
      <c r="K18" s="700"/>
      <c r="L18" s="693"/>
      <c r="M18" s="693"/>
    </row>
    <row r="19" spans="1:13" ht="17.5" x14ac:dyDescent="0.4">
      <c r="A19" s="1288" t="s">
        <v>211</v>
      </c>
      <c r="B19" s="1288"/>
      <c r="C19" s="1288"/>
      <c r="D19" s="1288"/>
      <c r="E19" s="1288"/>
      <c r="F19" s="1288"/>
      <c r="G19" s="1289" t="s">
        <v>460</v>
      </c>
      <c r="H19" s="1289"/>
      <c r="I19" s="1289"/>
      <c r="J19" s="700">
        <f>J18^4/(K17)</f>
        <v>50</v>
      </c>
      <c r="K19" s="700"/>
      <c r="L19" s="693"/>
      <c r="M19" s="693"/>
    </row>
    <row r="20" spans="1:13" x14ac:dyDescent="0.3">
      <c r="A20" s="1288" t="s">
        <v>213</v>
      </c>
      <c r="B20" s="1288"/>
      <c r="C20" s="1288"/>
      <c r="D20" s="1288"/>
      <c r="E20" s="1288"/>
      <c r="F20" s="1288"/>
      <c r="G20" s="1289" t="s">
        <v>214</v>
      </c>
      <c r="H20" s="1289"/>
      <c r="I20" s="1289"/>
      <c r="J20" s="700">
        <f>1.95996+(2.37356/J19)+(2.818745/J19^2)+(2.546662/J19^3)+(1.761829/J19^4)+(0.245458/J19^5)+(1.000764/J19^6)</f>
        <v>2.008579354038154</v>
      </c>
      <c r="K20" s="700"/>
      <c r="L20" s="693"/>
      <c r="M20" s="693"/>
    </row>
    <row r="21" spans="1:13" x14ac:dyDescent="0.3">
      <c r="A21" s="1288" t="s">
        <v>215</v>
      </c>
      <c r="B21" s="1288"/>
      <c r="C21" s="1288"/>
      <c r="D21" s="1288"/>
      <c r="E21" s="1288"/>
      <c r="F21" s="1288"/>
      <c r="G21" s="1289" t="s">
        <v>216</v>
      </c>
      <c r="H21" s="1289"/>
      <c r="I21" s="1289"/>
      <c r="J21" s="700">
        <f>J20*J18</f>
        <v>0.57982691537132647</v>
      </c>
      <c r="K21" s="703" t="s">
        <v>9</v>
      </c>
      <c r="L21" s="693"/>
      <c r="M21" s="693"/>
    </row>
    <row r="22" spans="1:13" x14ac:dyDescent="0.3">
      <c r="A22" s="691"/>
      <c r="B22" s="691"/>
      <c r="C22" s="691"/>
      <c r="D22" s="691"/>
      <c r="E22" s="691"/>
      <c r="F22" s="691"/>
      <c r="G22" s="692"/>
      <c r="H22" s="692"/>
      <c r="I22" s="692"/>
      <c r="J22" s="704"/>
      <c r="K22" s="705"/>
      <c r="L22" s="693"/>
      <c r="M22" s="693"/>
    </row>
    <row r="23" spans="1:13" x14ac:dyDescent="0.3">
      <c r="A23" s="691"/>
      <c r="B23" s="691"/>
      <c r="C23" s="691"/>
      <c r="D23" s="691"/>
      <c r="E23" s="691"/>
      <c r="F23" s="691"/>
      <c r="G23" s="692"/>
      <c r="H23" s="692"/>
      <c r="I23" s="692"/>
      <c r="J23" s="47"/>
      <c r="K23" s="706"/>
    </row>
    <row r="24" spans="1:13" x14ac:dyDescent="0.3">
      <c r="A24" s="695" t="s">
        <v>218</v>
      </c>
      <c r="B24" s="47"/>
      <c r="C24" s="47"/>
      <c r="D24" s="47"/>
      <c r="E24" s="47"/>
      <c r="F24" s="47"/>
      <c r="G24" s="47"/>
      <c r="H24" s="47"/>
      <c r="I24" s="47"/>
      <c r="J24" s="47"/>
      <c r="K24" s="47"/>
    </row>
    <row r="25" spans="1:13" ht="21.75" customHeight="1" x14ac:dyDescent="0.3">
      <c r="A25" s="697" t="s">
        <v>193</v>
      </c>
      <c r="B25" s="697" t="s">
        <v>194</v>
      </c>
      <c r="C25" s="697" t="s">
        <v>195</v>
      </c>
      <c r="D25" s="697" t="s">
        <v>196</v>
      </c>
      <c r="E25" s="697" t="s">
        <v>197</v>
      </c>
      <c r="F25" s="697" t="s">
        <v>198</v>
      </c>
      <c r="G25" s="697" t="s">
        <v>199</v>
      </c>
      <c r="H25" s="697" t="s">
        <v>200</v>
      </c>
      <c r="I25" s="697" t="s">
        <v>201</v>
      </c>
      <c r="J25" s="697" t="s">
        <v>202</v>
      </c>
      <c r="K25" s="697" t="s">
        <v>203</v>
      </c>
    </row>
    <row r="26" spans="1:13" ht="21.75" customHeight="1" x14ac:dyDescent="0.3">
      <c r="A26" s="698" t="s">
        <v>204</v>
      </c>
      <c r="B26" s="707">
        <f>ID!M84</f>
        <v>0</v>
      </c>
      <c r="C26" s="698" t="s">
        <v>205</v>
      </c>
      <c r="D26" s="698" t="s">
        <v>206</v>
      </c>
      <c r="E26" s="700">
        <f>SQRT(6)</f>
        <v>2.4494897427831779</v>
      </c>
      <c r="F26" s="700">
        <f>B26/E26</f>
        <v>0</v>
      </c>
      <c r="G26" s="708">
        <f>6-1</f>
        <v>5</v>
      </c>
      <c r="H26" s="708">
        <v>1</v>
      </c>
      <c r="I26" s="700">
        <f>F26*H26</f>
        <v>0</v>
      </c>
      <c r="J26" s="700">
        <f>I26^2</f>
        <v>0</v>
      </c>
      <c r="K26" s="700">
        <f>(J26^2)/G26</f>
        <v>0</v>
      </c>
    </row>
    <row r="27" spans="1:13" ht="21.75" customHeight="1" x14ac:dyDescent="0.3">
      <c r="A27" s="698" t="s">
        <v>6</v>
      </c>
      <c r="B27" s="698">
        <f>1*0.5</f>
        <v>0.5</v>
      </c>
      <c r="C27" s="698" t="s">
        <v>205</v>
      </c>
      <c r="D27" s="698" t="s">
        <v>207</v>
      </c>
      <c r="E27" s="700">
        <f>SQRT(3)</f>
        <v>1.7320508075688772</v>
      </c>
      <c r="F27" s="700">
        <f>B27/E27</f>
        <v>0.28867513459481292</v>
      </c>
      <c r="G27" s="708">
        <v>50</v>
      </c>
      <c r="H27" s="708">
        <v>1</v>
      </c>
      <c r="I27" s="700">
        <f>F27*H27</f>
        <v>0.28867513459481292</v>
      </c>
      <c r="J27" s="700">
        <f>I27^2</f>
        <v>8.3333333333333356E-2</v>
      </c>
      <c r="K27" s="700">
        <f>(J27^2)/G27</f>
        <v>1.3888888888888897E-4</v>
      </c>
    </row>
    <row r="28" spans="1:13" ht="21.75" customHeight="1" x14ac:dyDescent="0.3">
      <c r="A28" s="1288" t="s">
        <v>208</v>
      </c>
      <c r="B28" s="1288"/>
      <c r="C28" s="1288"/>
      <c r="D28" s="1288"/>
      <c r="E28" s="1288"/>
      <c r="F28" s="1288"/>
      <c r="G28" s="1288"/>
      <c r="H28" s="1288"/>
      <c r="I28" s="1288"/>
      <c r="J28" s="700">
        <f>SUM(J26:J27)</f>
        <v>8.3333333333333356E-2</v>
      </c>
      <c r="K28" s="700">
        <f>SUM(K26:K27)</f>
        <v>1.3888888888888897E-4</v>
      </c>
    </row>
    <row r="29" spans="1:13" ht="21.75" customHeight="1" x14ac:dyDescent="0.4">
      <c r="A29" s="1288" t="s">
        <v>209</v>
      </c>
      <c r="B29" s="1288"/>
      <c r="C29" s="1288"/>
      <c r="D29" s="1288"/>
      <c r="E29" s="1288"/>
      <c r="F29" s="1288"/>
      <c r="G29" s="1290" t="s">
        <v>459</v>
      </c>
      <c r="H29" s="1290"/>
      <c r="I29" s="1290"/>
      <c r="J29" s="700">
        <f>SQRT(J28)</f>
        <v>0.28867513459481292</v>
      </c>
      <c r="K29" s="700"/>
    </row>
    <row r="30" spans="1:13" ht="21.75" customHeight="1" x14ac:dyDescent="0.4">
      <c r="A30" s="1288" t="s">
        <v>211</v>
      </c>
      <c r="B30" s="1288"/>
      <c r="C30" s="1288"/>
      <c r="D30" s="1288"/>
      <c r="E30" s="1288"/>
      <c r="F30" s="1288"/>
      <c r="G30" s="1289" t="s">
        <v>460</v>
      </c>
      <c r="H30" s="1289"/>
      <c r="I30" s="1289"/>
      <c r="J30" s="700">
        <f>J29^4/(K28)</f>
        <v>50</v>
      </c>
      <c r="K30" s="700"/>
    </row>
    <row r="31" spans="1:13" ht="21.75" customHeight="1" x14ac:dyDescent="0.3">
      <c r="A31" s="1288" t="s">
        <v>213</v>
      </c>
      <c r="B31" s="1288"/>
      <c r="C31" s="1288"/>
      <c r="D31" s="1288"/>
      <c r="E31" s="1288"/>
      <c r="F31" s="1288"/>
      <c r="G31" s="1289" t="s">
        <v>214</v>
      </c>
      <c r="H31" s="1289"/>
      <c r="I31" s="1289"/>
      <c r="J31" s="700">
        <f>1.95996+(2.37356/J30)+(2.818745/J30^2)+(2.546662/J30^3)+(1.761829/J30^4)+(0.245458/J30^5)+(1.000764/J30^6)</f>
        <v>2.008579354038154</v>
      </c>
      <c r="K31" s="700"/>
    </row>
    <row r="32" spans="1:13" ht="21.75" customHeight="1" x14ac:dyDescent="0.3">
      <c r="A32" s="1288" t="s">
        <v>215</v>
      </c>
      <c r="B32" s="1288"/>
      <c r="C32" s="1288"/>
      <c r="D32" s="1288"/>
      <c r="E32" s="1288"/>
      <c r="F32" s="1288"/>
      <c r="G32" s="1289" t="s">
        <v>216</v>
      </c>
      <c r="H32" s="1289"/>
      <c r="I32" s="1289"/>
      <c r="J32" s="700">
        <f>J31*J29</f>
        <v>0.57982691537132647</v>
      </c>
      <c r="K32" s="703" t="s">
        <v>9</v>
      </c>
    </row>
    <row r="33" spans="1:12" ht="21.75" customHeight="1" x14ac:dyDescent="0.3">
      <c r="A33" s="691"/>
      <c r="B33" s="691"/>
      <c r="C33" s="691"/>
      <c r="D33" s="691"/>
      <c r="E33" s="691"/>
      <c r="F33" s="691"/>
      <c r="G33" s="692"/>
      <c r="H33" s="692"/>
      <c r="I33" s="692"/>
      <c r="J33" s="704"/>
      <c r="K33" s="705"/>
    </row>
    <row r="34" spans="1:12" ht="18.75" customHeight="1" x14ac:dyDescent="0.3">
      <c r="A34" s="695" t="s">
        <v>219</v>
      </c>
      <c r="B34" s="47"/>
      <c r="C34" s="47"/>
      <c r="D34" s="47"/>
      <c r="E34" s="47"/>
      <c r="F34" s="47"/>
      <c r="G34" s="47"/>
      <c r="H34" s="47"/>
      <c r="I34" s="47"/>
      <c r="J34" s="47"/>
      <c r="K34" s="47"/>
    </row>
    <row r="35" spans="1:12" ht="18.75" customHeight="1" x14ac:dyDescent="0.3">
      <c r="A35" s="697" t="s">
        <v>193</v>
      </c>
      <c r="B35" s="697" t="s">
        <v>194</v>
      </c>
      <c r="C35" s="697" t="s">
        <v>195</v>
      </c>
      <c r="D35" s="697" t="s">
        <v>196</v>
      </c>
      <c r="E35" s="697" t="s">
        <v>197</v>
      </c>
      <c r="F35" s="697" t="s">
        <v>198</v>
      </c>
      <c r="G35" s="697" t="s">
        <v>199</v>
      </c>
      <c r="H35" s="697" t="s">
        <v>200</v>
      </c>
      <c r="I35" s="697" t="s">
        <v>201</v>
      </c>
      <c r="J35" s="697" t="s">
        <v>202</v>
      </c>
      <c r="K35" s="697" t="s">
        <v>203</v>
      </c>
    </row>
    <row r="36" spans="1:12" ht="18.75" customHeight="1" x14ac:dyDescent="0.3">
      <c r="A36" s="698" t="s">
        <v>204</v>
      </c>
      <c r="B36" s="765">
        <f>ID!M85</f>
        <v>0</v>
      </c>
      <c r="C36" s="698" t="s">
        <v>205</v>
      </c>
      <c r="D36" s="698" t="s">
        <v>206</v>
      </c>
      <c r="E36" s="700">
        <f>SQRT(6)</f>
        <v>2.4494897427831779</v>
      </c>
      <c r="F36" s="700">
        <f>B36/E36</f>
        <v>0</v>
      </c>
      <c r="G36" s="708">
        <f>6-1</f>
        <v>5</v>
      </c>
      <c r="H36" s="708">
        <v>1</v>
      </c>
      <c r="I36" s="700">
        <f>F36*H36</f>
        <v>0</v>
      </c>
      <c r="J36" s="700">
        <f>I36^2</f>
        <v>0</v>
      </c>
      <c r="K36" s="700">
        <f>(J36^2)/G36</f>
        <v>0</v>
      </c>
    </row>
    <row r="37" spans="1:12" ht="18.75" customHeight="1" x14ac:dyDescent="0.3">
      <c r="A37" s="698" t="s">
        <v>6</v>
      </c>
      <c r="B37" s="766">
        <f>1*0.5</f>
        <v>0.5</v>
      </c>
      <c r="C37" s="698" t="s">
        <v>205</v>
      </c>
      <c r="D37" s="698" t="s">
        <v>207</v>
      </c>
      <c r="E37" s="700">
        <f>SQRT(3)</f>
        <v>1.7320508075688772</v>
      </c>
      <c r="F37" s="700">
        <f>B37/E37</f>
        <v>0.28867513459481292</v>
      </c>
      <c r="G37" s="708">
        <v>50</v>
      </c>
      <c r="H37" s="708">
        <v>1</v>
      </c>
      <c r="I37" s="700">
        <f>F37*H37</f>
        <v>0.28867513459481292</v>
      </c>
      <c r="J37" s="700">
        <f>I37^2</f>
        <v>8.3333333333333356E-2</v>
      </c>
      <c r="K37" s="700">
        <f>(J37^2)/G37</f>
        <v>1.3888888888888897E-4</v>
      </c>
    </row>
    <row r="38" spans="1:12" ht="18.75" customHeight="1" x14ac:dyDescent="0.3">
      <c r="A38" s="1288" t="s">
        <v>208</v>
      </c>
      <c r="B38" s="1288"/>
      <c r="C38" s="1288"/>
      <c r="D38" s="1288"/>
      <c r="E38" s="1288"/>
      <c r="F38" s="1288"/>
      <c r="G38" s="1288"/>
      <c r="H38" s="1288"/>
      <c r="I38" s="1288"/>
      <c r="J38" s="700">
        <f>SUM(J36:J37)</f>
        <v>8.3333333333333356E-2</v>
      </c>
      <c r="K38" s="700">
        <f>SUM(K36:K37)</f>
        <v>1.3888888888888897E-4</v>
      </c>
    </row>
    <row r="39" spans="1:12" ht="18.75" customHeight="1" x14ac:dyDescent="0.4">
      <c r="A39" s="1288" t="s">
        <v>209</v>
      </c>
      <c r="B39" s="1288"/>
      <c r="C39" s="1288"/>
      <c r="D39" s="1288"/>
      <c r="E39" s="1288"/>
      <c r="F39" s="1288"/>
      <c r="G39" s="1290" t="s">
        <v>459</v>
      </c>
      <c r="H39" s="1290"/>
      <c r="I39" s="1290"/>
      <c r="J39" s="700">
        <f>SQRT(J38)</f>
        <v>0.28867513459481292</v>
      </c>
      <c r="K39" s="700"/>
    </row>
    <row r="40" spans="1:12" ht="18.75" customHeight="1" x14ac:dyDescent="0.4">
      <c r="A40" s="1288" t="s">
        <v>211</v>
      </c>
      <c r="B40" s="1288"/>
      <c r="C40" s="1288"/>
      <c r="D40" s="1288"/>
      <c r="E40" s="1288"/>
      <c r="F40" s="1288"/>
      <c r="G40" s="1289" t="s">
        <v>460</v>
      </c>
      <c r="H40" s="1289"/>
      <c r="I40" s="1289"/>
      <c r="J40" s="700">
        <f>J39^4/(K38)</f>
        <v>50</v>
      </c>
      <c r="K40" s="700"/>
    </row>
    <row r="41" spans="1:12" ht="18.75" customHeight="1" x14ac:dyDescent="0.3">
      <c r="A41" s="1288" t="s">
        <v>213</v>
      </c>
      <c r="B41" s="1288"/>
      <c r="C41" s="1288"/>
      <c r="D41" s="1288"/>
      <c r="E41" s="1288"/>
      <c r="F41" s="1288"/>
      <c r="G41" s="1289" t="s">
        <v>214</v>
      </c>
      <c r="H41" s="1289"/>
      <c r="I41" s="1289"/>
      <c r="J41" s="700">
        <f>1.95996+(2.37356/J40)+(2.818745/J40^2)+(2.546662/J40^3)+(1.761829/J40^4)+(0.245458/J40^5)+(1.000764/J40^6)</f>
        <v>2.008579354038154</v>
      </c>
      <c r="K41" s="700"/>
    </row>
    <row r="42" spans="1:12" ht="18.75" customHeight="1" x14ac:dyDescent="0.3">
      <c r="A42" s="1288" t="s">
        <v>215</v>
      </c>
      <c r="B42" s="1288"/>
      <c r="C42" s="1288"/>
      <c r="D42" s="1288"/>
      <c r="E42" s="1288"/>
      <c r="F42" s="1288"/>
      <c r="G42" s="1289" t="s">
        <v>216</v>
      </c>
      <c r="H42" s="1289"/>
      <c r="I42" s="1289"/>
      <c r="J42" s="700">
        <f>J41*J39</f>
        <v>0.57982691537132647</v>
      </c>
      <c r="K42" s="703" t="s">
        <v>9</v>
      </c>
    </row>
    <row r="43" spans="1:12" ht="18.75" customHeight="1" x14ac:dyDescent="0.3">
      <c r="A43" s="691"/>
      <c r="B43" s="691"/>
      <c r="C43" s="691"/>
      <c r="D43" s="691"/>
      <c r="E43" s="691"/>
      <c r="F43" s="691"/>
      <c r="G43" s="692"/>
      <c r="H43" s="692"/>
      <c r="I43" s="692"/>
      <c r="J43" s="704"/>
      <c r="K43" s="705"/>
    </row>
    <row r="44" spans="1:12" x14ac:dyDescent="0.3">
      <c r="A44" s="47"/>
      <c r="B44" s="47"/>
      <c r="C44" s="47"/>
      <c r="D44" s="47"/>
      <c r="E44" s="47"/>
      <c r="F44" s="47"/>
      <c r="G44" s="47"/>
      <c r="H44" s="47"/>
      <c r="I44" s="47"/>
      <c r="J44" s="47"/>
      <c r="K44" s="47"/>
    </row>
    <row r="45" spans="1:12" ht="37.5" customHeight="1" x14ac:dyDescent="0.3">
      <c r="A45" s="52"/>
      <c r="B45" s="1305"/>
      <c r="C45" s="1306"/>
      <c r="D45" s="1306"/>
      <c r="E45" s="1307"/>
      <c r="F45" s="47"/>
      <c r="G45" s="47"/>
      <c r="H45" s="47"/>
      <c r="I45" s="47"/>
      <c r="J45" s="47"/>
      <c r="K45" s="47"/>
    </row>
    <row r="46" spans="1:12" x14ac:dyDescent="0.3">
      <c r="A46" s="698"/>
      <c r="B46" s="698"/>
      <c r="C46" s="698"/>
      <c r="D46" s="698"/>
      <c r="E46" s="698"/>
      <c r="F46" s="47"/>
      <c r="G46" s="47"/>
      <c r="H46" s="47"/>
      <c r="I46" s="47"/>
      <c r="J46" s="47"/>
      <c r="K46" s="47"/>
    </row>
    <row r="47" spans="1:12" x14ac:dyDescent="0.3">
      <c r="A47" s="701"/>
      <c r="B47" s="701"/>
      <c r="C47" s="698"/>
      <c r="D47" s="698"/>
      <c r="E47" s="698"/>
      <c r="F47" s="47"/>
      <c r="G47" s="1293"/>
      <c r="H47" s="1294"/>
      <c r="I47" s="1294"/>
      <c r="J47" s="1295"/>
      <c r="K47" s="698"/>
      <c r="L47" s="47"/>
    </row>
    <row r="48" spans="1:12" x14ac:dyDescent="0.3">
      <c r="A48" s="709"/>
      <c r="B48" s="709"/>
      <c r="C48" s="709"/>
      <c r="D48" s="709"/>
      <c r="E48" s="709"/>
      <c r="F48" s="47"/>
      <c r="G48" s="51"/>
      <c r="H48" s="51"/>
      <c r="I48" s="51"/>
      <c r="J48" s="51"/>
      <c r="K48" s="698"/>
      <c r="L48" s="698"/>
    </row>
    <row r="49" spans="1:15" x14ac:dyDescent="0.3">
      <c r="A49" s="710"/>
      <c r="B49" s="710"/>
      <c r="C49" s="710"/>
      <c r="D49" s="710"/>
      <c r="E49" s="710"/>
      <c r="F49" s="47"/>
      <c r="G49" s="711"/>
      <c r="H49" s="51"/>
      <c r="I49" s="711"/>
      <c r="J49" s="711"/>
      <c r="K49" s="698"/>
      <c r="L49" s="698"/>
    </row>
    <row r="50" spans="1:15" x14ac:dyDescent="0.3">
      <c r="A50" s="712"/>
      <c r="B50" s="712"/>
      <c r="C50" s="712"/>
      <c r="D50" s="712"/>
      <c r="E50" s="712"/>
      <c r="F50" s="47"/>
      <c r="G50" s="51"/>
      <c r="H50" s="51"/>
      <c r="I50" s="51"/>
      <c r="J50" s="51"/>
      <c r="K50" s="47"/>
    </row>
    <row r="51" spans="1:15" x14ac:dyDescent="0.3">
      <c r="A51" s="712"/>
      <c r="B51" s="712"/>
      <c r="C51" s="712"/>
      <c r="D51" s="712"/>
      <c r="E51" s="712"/>
      <c r="F51" s="47"/>
      <c r="G51" s="1302"/>
      <c r="H51" s="1303"/>
      <c r="I51" s="1303"/>
      <c r="J51" s="1304"/>
      <c r="K51" s="47"/>
    </row>
    <row r="52" spans="1:15" x14ac:dyDescent="0.3">
      <c r="A52" s="712"/>
      <c r="B52" s="712"/>
      <c r="C52" s="712"/>
      <c r="D52" s="712"/>
      <c r="E52" s="712"/>
      <c r="F52" s="47"/>
      <c r="G52" s="51"/>
      <c r="H52" s="51"/>
      <c r="I52" s="51"/>
      <c r="J52" s="51"/>
      <c r="K52" s="47"/>
    </row>
    <row r="53" spans="1:15" x14ac:dyDescent="0.3">
      <c r="A53" s="712"/>
      <c r="B53" s="712"/>
      <c r="C53" s="712"/>
      <c r="D53" s="712"/>
      <c r="E53" s="712"/>
      <c r="F53" s="47"/>
      <c r="G53" s="711"/>
      <c r="H53" s="51"/>
      <c r="I53" s="711"/>
      <c r="J53" s="711"/>
      <c r="K53" s="47"/>
    </row>
    <row r="54" spans="1:15" x14ac:dyDescent="0.3">
      <c r="A54" s="712"/>
      <c r="B54" s="712"/>
      <c r="C54" s="698"/>
      <c r="D54" s="712"/>
      <c r="E54" s="712"/>
      <c r="F54" s="47"/>
      <c r="G54" s="51"/>
      <c r="H54" s="51"/>
      <c r="I54" s="51"/>
      <c r="J54" s="51"/>
      <c r="K54" s="47"/>
    </row>
    <row r="55" spans="1:15" x14ac:dyDescent="0.3">
      <c r="A55" s="713"/>
      <c r="B55" s="713"/>
      <c r="C55" s="47"/>
      <c r="D55" s="713"/>
      <c r="E55" s="713"/>
      <c r="F55" s="47"/>
      <c r="G55" s="55"/>
      <c r="H55" s="55"/>
      <c r="I55" s="55"/>
      <c r="J55" s="55"/>
      <c r="K55" s="47"/>
    </row>
    <row r="56" spans="1:15" ht="48" customHeight="1" x14ac:dyDescent="0.3">
      <c r="A56" s="1297"/>
      <c r="B56" s="1297"/>
      <c r="C56" s="1297"/>
      <c r="D56" s="1297"/>
      <c r="E56" s="1297"/>
      <c r="F56" s="1297"/>
      <c r="G56" s="1297"/>
      <c r="H56" s="1297"/>
      <c r="I56" s="1297"/>
      <c r="J56" s="1297"/>
      <c r="K56" s="1297"/>
      <c r="L56" s="1297"/>
      <c r="M56" s="1297"/>
      <c r="N56" s="1297"/>
      <c r="O56" s="1297"/>
    </row>
    <row r="57" spans="1:15" ht="18.75" customHeight="1" x14ac:dyDescent="0.3">
      <c r="A57" s="714"/>
      <c r="B57" s="714"/>
      <c r="C57" s="714"/>
      <c r="D57" s="714"/>
      <c r="E57" s="714"/>
      <c r="F57" s="715"/>
      <c r="G57" s="716"/>
      <c r="H57" s="716"/>
      <c r="I57" s="714"/>
      <c r="J57" s="714"/>
      <c r="K57" s="714"/>
      <c r="L57" s="714"/>
      <c r="M57" s="714"/>
      <c r="N57" s="714"/>
      <c r="O57" s="714"/>
    </row>
    <row r="58" spans="1:15" x14ac:dyDescent="0.3">
      <c r="A58" s="1291"/>
      <c r="B58" s="1298"/>
      <c r="C58" s="1299"/>
      <c r="D58" s="1300"/>
      <c r="F58" s="716"/>
      <c r="G58" s="1301"/>
      <c r="H58" s="1301"/>
      <c r="I58" s="717"/>
      <c r="J58" s="718"/>
      <c r="K58" s="719"/>
    </row>
    <row r="59" spans="1:15" x14ac:dyDescent="0.3">
      <c r="A59" s="1291"/>
      <c r="B59" s="701"/>
      <c r="C59" s="701"/>
      <c r="D59" s="701"/>
      <c r="F59" s="716"/>
      <c r="G59" s="154"/>
      <c r="H59" s="154"/>
      <c r="I59" s="720"/>
      <c r="J59" s="721"/>
      <c r="K59" s="721"/>
    </row>
    <row r="60" spans="1:15" x14ac:dyDescent="0.3">
      <c r="A60" s="52"/>
      <c r="B60" s="722"/>
      <c r="C60" s="723"/>
      <c r="D60" s="724"/>
      <c r="F60" s="716"/>
      <c r="G60" s="151"/>
      <c r="H60" s="725"/>
      <c r="I60" s="720"/>
      <c r="J60" s="721"/>
      <c r="K60" s="721"/>
    </row>
    <row r="61" spans="1:15" x14ac:dyDescent="0.3">
      <c r="A61" s="52"/>
      <c r="B61" s="722"/>
      <c r="C61" s="723"/>
      <c r="D61" s="724"/>
      <c r="F61" s="716"/>
      <c r="G61" s="151"/>
      <c r="H61" s="725"/>
      <c r="I61" s="720"/>
      <c r="J61" s="721"/>
      <c r="K61" s="721"/>
    </row>
    <row r="62" spans="1:15" x14ac:dyDescent="0.3">
      <c r="A62" s="154"/>
      <c r="B62" s="726"/>
      <c r="C62" s="727"/>
      <c r="D62" s="724"/>
      <c r="F62" s="716"/>
      <c r="G62" s="151"/>
      <c r="H62" s="725"/>
      <c r="I62" s="720"/>
      <c r="J62" s="721"/>
      <c r="K62" s="721"/>
    </row>
    <row r="63" spans="1:15" x14ac:dyDescent="0.3">
      <c r="A63" s="154"/>
      <c r="B63" s="726"/>
      <c r="C63" s="727"/>
      <c r="D63" s="724"/>
      <c r="F63" s="716"/>
      <c r="G63" s="151"/>
      <c r="H63" s="725"/>
      <c r="I63" s="720"/>
      <c r="J63" s="720"/>
      <c r="L63" s="721"/>
    </row>
    <row r="64" spans="1:15" x14ac:dyDescent="0.3">
      <c r="A64" s="154"/>
      <c r="B64" s="726"/>
      <c r="C64" s="727"/>
      <c r="D64" s="724"/>
      <c r="F64" s="716"/>
      <c r="G64" s="151"/>
      <c r="H64" s="725"/>
    </row>
    <row r="65" spans="1:34" x14ac:dyDescent="0.3">
      <c r="G65" s="151"/>
      <c r="H65" s="725"/>
    </row>
    <row r="66" spans="1:34" ht="14.5" x14ac:dyDescent="0.35">
      <c r="A66" s="728"/>
      <c r="C66" s="729"/>
      <c r="G66" s="730"/>
      <c r="H66" s="731"/>
      <c r="I66" s="693"/>
    </row>
    <row r="67" spans="1:34" x14ac:dyDescent="0.3">
      <c r="A67" s="1291"/>
      <c r="B67" s="1292"/>
      <c r="C67" s="729"/>
      <c r="F67" s="693"/>
      <c r="G67" s="732"/>
      <c r="H67" s="1072"/>
      <c r="I67" s="1072"/>
      <c r="J67" s="1072"/>
      <c r="K67" s="1072"/>
      <c r="L67" s="1072"/>
      <c r="M67" s="1072"/>
      <c r="N67" s="1292"/>
    </row>
    <row r="68" spans="1:34" x14ac:dyDescent="0.3">
      <c r="A68" s="1291"/>
      <c r="B68" s="1292"/>
      <c r="C68" s="729"/>
      <c r="F68" s="733"/>
      <c r="G68" s="734"/>
      <c r="H68" s="154"/>
      <c r="I68" s="711"/>
      <c r="J68" s="154"/>
      <c r="K68" s="701"/>
      <c r="L68" s="154"/>
      <c r="M68" s="151"/>
      <c r="N68" s="1292"/>
    </row>
    <row r="69" spans="1:34" x14ac:dyDescent="0.3">
      <c r="A69" s="735"/>
      <c r="B69" s="764"/>
      <c r="C69" s="729"/>
      <c r="F69" s="733"/>
      <c r="G69" s="734"/>
      <c r="H69" s="725"/>
      <c r="I69" s="736"/>
      <c r="J69" s="725"/>
      <c r="K69" s="737"/>
      <c r="L69" s="725"/>
      <c r="M69" s="738"/>
      <c r="N69" s="739"/>
    </row>
    <row r="70" spans="1:34" x14ac:dyDescent="0.3">
      <c r="A70" s="735"/>
      <c r="B70" s="764"/>
      <c r="C70" s="729"/>
      <c r="F70" s="740"/>
      <c r="G70" s="52"/>
      <c r="H70" s="736"/>
      <c r="I70" s="736"/>
      <c r="J70" s="725"/>
      <c r="K70" s="737"/>
      <c r="L70" s="725"/>
      <c r="M70" s="738"/>
      <c r="N70" s="724"/>
    </row>
    <row r="71" spans="1:34" x14ac:dyDescent="0.3">
      <c r="A71" s="735"/>
      <c r="B71" s="764"/>
      <c r="C71" s="729"/>
      <c r="F71" s="693"/>
      <c r="G71" s="701"/>
      <c r="H71" s="737"/>
      <c r="I71" s="736"/>
      <c r="J71" s="725"/>
      <c r="K71" s="737"/>
      <c r="L71" s="725"/>
      <c r="M71" s="738"/>
      <c r="N71" s="724"/>
    </row>
    <row r="72" spans="1:34" x14ac:dyDescent="0.3">
      <c r="A72" s="735"/>
      <c r="B72" s="764"/>
      <c r="C72" s="729"/>
      <c r="F72" s="733"/>
      <c r="G72" s="52"/>
      <c r="H72" s="736"/>
      <c r="I72" s="725"/>
      <c r="J72" s="725"/>
      <c r="K72" s="737"/>
      <c r="L72" s="725"/>
      <c r="M72" s="738"/>
      <c r="N72" s="724"/>
    </row>
    <row r="73" spans="1:34" x14ac:dyDescent="0.3">
      <c r="A73" s="729"/>
      <c r="B73" s="729"/>
      <c r="C73" s="729"/>
      <c r="D73" s="47"/>
      <c r="E73" s="47"/>
      <c r="F73" s="47"/>
    </row>
    <row r="74" spans="1:34" ht="41.25" customHeight="1" x14ac:dyDescent="0.3">
      <c r="A74" s="1308"/>
      <c r="B74" s="1308"/>
      <c r="C74" s="1308"/>
      <c r="D74" s="1308"/>
      <c r="E74" s="1308"/>
      <c r="F74" s="1308"/>
      <c r="G74" s="1308"/>
      <c r="H74" s="1308"/>
      <c r="I74" s="1308"/>
      <c r="J74" s="1308"/>
      <c r="K74" s="1308"/>
      <c r="L74" s="1308"/>
      <c r="M74" s="1308"/>
      <c r="N74" s="1308"/>
      <c r="O74" s="1308"/>
      <c r="P74" s="1308"/>
      <c r="Q74" s="1308"/>
      <c r="R74" s="1308"/>
      <c r="S74" s="1308"/>
      <c r="T74" s="1308"/>
      <c r="U74" s="1308"/>
      <c r="V74" s="1308"/>
      <c r="W74" s="1308"/>
      <c r="X74" s="1308"/>
      <c r="Y74" s="1308"/>
      <c r="Z74" s="1308"/>
      <c r="AA74" s="1308"/>
      <c r="AB74" s="1308"/>
      <c r="AC74" s="1308"/>
      <c r="AD74" s="741"/>
      <c r="AE74" s="741"/>
      <c r="AF74" s="741"/>
      <c r="AG74" s="741"/>
      <c r="AH74" s="741"/>
    </row>
    <row r="75" spans="1:34" ht="21" customHeight="1" thickBot="1" x14ac:dyDescent="0.35">
      <c r="A75" s="1296"/>
      <c r="B75" s="1296"/>
      <c r="C75" s="1296"/>
      <c r="D75" s="1296"/>
      <c r="E75" s="742"/>
      <c r="F75" s="1284"/>
      <c r="G75" s="1284"/>
      <c r="H75" s="1284"/>
      <c r="I75" s="1284"/>
      <c r="J75" s="742"/>
      <c r="K75" s="1296"/>
      <c r="L75" s="1296"/>
      <c r="M75" s="1296"/>
      <c r="N75" s="1296"/>
      <c r="O75" s="741"/>
      <c r="P75" s="1284"/>
      <c r="Q75" s="1284"/>
      <c r="R75" s="1284"/>
      <c r="S75" s="1284"/>
      <c r="T75" s="741"/>
      <c r="U75" s="1296"/>
      <c r="V75" s="1296"/>
      <c r="W75" s="1296"/>
      <c r="X75" s="1296"/>
      <c r="Y75" s="741"/>
      <c r="Z75" s="1296"/>
      <c r="AA75" s="1296"/>
      <c r="AB75" s="1296"/>
      <c r="AC75" s="1296"/>
      <c r="AD75" s="741"/>
      <c r="AE75" s="1284"/>
      <c r="AF75" s="1284"/>
      <c r="AG75" s="1284"/>
      <c r="AH75" s="1284"/>
    </row>
    <row r="76" spans="1:34" x14ac:dyDescent="0.3">
      <c r="A76" s="1280"/>
      <c r="B76" s="1281"/>
      <c r="C76" s="1281"/>
      <c r="D76" s="1282"/>
      <c r="F76" s="1285"/>
      <c r="G76" s="1286"/>
      <c r="H76" s="1286"/>
      <c r="I76" s="1287"/>
      <c r="J76" s="706"/>
      <c r="K76" s="1280"/>
      <c r="L76" s="1281"/>
      <c r="M76" s="1281"/>
      <c r="N76" s="1282"/>
      <c r="P76" s="1285"/>
      <c r="Q76" s="1286"/>
      <c r="R76" s="1286"/>
      <c r="S76" s="1287"/>
      <c r="U76" s="1280"/>
      <c r="V76" s="1281"/>
      <c r="W76" s="1281"/>
      <c r="X76" s="1282"/>
      <c r="Z76" s="1280"/>
      <c r="AA76" s="1281"/>
      <c r="AB76" s="1281"/>
      <c r="AC76" s="1282"/>
      <c r="AE76" s="1285"/>
      <c r="AF76" s="1286"/>
      <c r="AG76" s="1286"/>
      <c r="AH76" s="1287"/>
    </row>
    <row r="77" spans="1:34" x14ac:dyDescent="0.3">
      <c r="A77" s="743"/>
      <c r="B77" s="744"/>
      <c r="C77" s="744"/>
      <c r="D77" s="745"/>
      <c r="F77" s="746"/>
      <c r="G77" s="747"/>
      <c r="H77" s="747"/>
      <c r="I77" s="748"/>
      <c r="J77" s="55"/>
      <c r="K77" s="743"/>
      <c r="L77" s="744"/>
      <c r="M77" s="744"/>
      <c r="N77" s="745"/>
      <c r="P77" s="746"/>
      <c r="Q77" s="747"/>
      <c r="R77" s="747"/>
      <c r="S77" s="748"/>
      <c r="U77" s="743"/>
      <c r="V77" s="744"/>
      <c r="W77" s="744"/>
      <c r="X77" s="745"/>
      <c r="Z77" s="743"/>
      <c r="AA77" s="744"/>
      <c r="AB77" s="744"/>
      <c r="AC77" s="745"/>
      <c r="AE77" s="746"/>
      <c r="AF77" s="747"/>
      <c r="AG77" s="747"/>
      <c r="AH77" s="748"/>
    </row>
    <row r="78" spans="1:34" x14ac:dyDescent="0.3">
      <c r="A78" s="749"/>
      <c r="B78" s="744"/>
      <c r="C78" s="750"/>
      <c r="D78" s="745"/>
      <c r="F78" s="751"/>
      <c r="G78" s="747"/>
      <c r="H78" s="752"/>
      <c r="I78" s="748"/>
      <c r="J78" s="55"/>
      <c r="K78" s="749"/>
      <c r="L78" s="744"/>
      <c r="M78" s="750"/>
      <c r="N78" s="745"/>
      <c r="P78" s="751"/>
      <c r="Q78" s="747"/>
      <c r="R78" s="752"/>
      <c r="S78" s="748"/>
      <c r="U78" s="749"/>
      <c r="V78" s="744"/>
      <c r="W78" s="750"/>
      <c r="X78" s="745"/>
      <c r="Z78" s="749"/>
      <c r="AA78" s="744"/>
      <c r="AB78" s="750"/>
      <c r="AC78" s="745"/>
      <c r="AE78" s="751"/>
      <c r="AF78" s="747"/>
      <c r="AG78" s="752"/>
      <c r="AH78" s="748"/>
    </row>
    <row r="79" spans="1:34" ht="14.5" thickBot="1" x14ac:dyDescent="0.35">
      <c r="A79" s="753"/>
      <c r="B79" s="754"/>
      <c r="C79" s="754"/>
      <c r="D79" s="755"/>
      <c r="F79" s="756"/>
      <c r="G79" s="757"/>
      <c r="H79" s="757"/>
      <c r="I79" s="758"/>
      <c r="J79" s="55"/>
      <c r="K79" s="753"/>
      <c r="L79" s="754"/>
      <c r="M79" s="754"/>
      <c r="N79" s="755"/>
      <c r="P79" s="756"/>
      <c r="Q79" s="757"/>
      <c r="R79" s="757"/>
      <c r="S79" s="758"/>
      <c r="U79" s="753"/>
      <c r="V79" s="754"/>
      <c r="W79" s="754"/>
      <c r="X79" s="755"/>
      <c r="Z79" s="753"/>
      <c r="AA79" s="754"/>
      <c r="AB79" s="754"/>
      <c r="AC79" s="755"/>
      <c r="AE79" s="756"/>
      <c r="AF79" s="757"/>
      <c r="AG79" s="757"/>
      <c r="AH79" s="758"/>
    </row>
    <row r="80" spans="1:34" ht="14.5" thickBot="1" x14ac:dyDescent="0.35">
      <c r="A80" s="55"/>
      <c r="B80" s="694"/>
      <c r="C80" s="694"/>
      <c r="D80" s="705"/>
      <c r="F80" s="759"/>
      <c r="G80" s="760"/>
      <c r="H80" s="760"/>
      <c r="I80" s="761"/>
      <c r="J80" s="706"/>
      <c r="K80" s="55"/>
      <c r="L80" s="694"/>
      <c r="M80" s="694"/>
      <c r="N80" s="705"/>
      <c r="P80" s="759"/>
      <c r="Q80" s="760"/>
      <c r="R80" s="760"/>
      <c r="S80" s="761"/>
      <c r="U80" s="55"/>
      <c r="V80" s="694"/>
      <c r="W80" s="694"/>
      <c r="X80" s="705"/>
      <c r="Z80" s="55"/>
      <c r="AA80" s="694"/>
      <c r="AB80" s="694"/>
      <c r="AC80" s="705"/>
      <c r="AE80" s="759"/>
      <c r="AF80" s="760"/>
      <c r="AG80" s="760"/>
      <c r="AH80" s="761"/>
    </row>
    <row r="81" spans="1:34" x14ac:dyDescent="0.3">
      <c r="A81" s="1280"/>
      <c r="B81" s="1281"/>
      <c r="C81" s="1281"/>
      <c r="D81" s="1282"/>
      <c r="F81" s="1285"/>
      <c r="G81" s="1286"/>
      <c r="H81" s="1286"/>
      <c r="I81" s="1287"/>
      <c r="J81" s="55"/>
      <c r="K81" s="1280"/>
      <c r="L81" s="1281"/>
      <c r="M81" s="1281"/>
      <c r="N81" s="1282"/>
      <c r="P81" s="1285"/>
      <c r="Q81" s="1286"/>
      <c r="R81" s="1286"/>
      <c r="S81" s="1287"/>
      <c r="U81" s="1280"/>
      <c r="V81" s="1281"/>
      <c r="W81" s="1281"/>
      <c r="X81" s="1282"/>
      <c r="Z81" s="1280"/>
      <c r="AA81" s="1281"/>
      <c r="AB81" s="1281"/>
      <c r="AC81" s="1282"/>
      <c r="AE81" s="1285"/>
      <c r="AF81" s="1286"/>
      <c r="AG81" s="1286"/>
      <c r="AH81" s="1287"/>
    </row>
    <row r="82" spans="1:34" x14ac:dyDescent="0.3">
      <c r="A82" s="743"/>
      <c r="B82" s="744"/>
      <c r="C82" s="744"/>
      <c r="D82" s="745"/>
      <c r="E82" s="762"/>
      <c r="F82" s="746"/>
      <c r="G82" s="747"/>
      <c r="H82" s="747"/>
      <c r="I82" s="748"/>
      <c r="J82" s="55"/>
      <c r="K82" s="743"/>
      <c r="L82" s="744"/>
      <c r="M82" s="744"/>
      <c r="N82" s="745"/>
      <c r="P82" s="746"/>
      <c r="Q82" s="747"/>
      <c r="R82" s="747"/>
      <c r="S82" s="748"/>
      <c r="U82" s="743"/>
      <c r="V82" s="744"/>
      <c r="W82" s="744"/>
      <c r="X82" s="745"/>
      <c r="Z82" s="743"/>
      <c r="AA82" s="744"/>
      <c r="AB82" s="744"/>
      <c r="AC82" s="745"/>
      <c r="AE82" s="746"/>
      <c r="AF82" s="747"/>
      <c r="AG82" s="747"/>
      <c r="AH82" s="748"/>
    </row>
    <row r="83" spans="1:34" x14ac:dyDescent="0.3">
      <c r="A83" s="749"/>
      <c r="B83" s="744"/>
      <c r="C83" s="750"/>
      <c r="D83" s="745"/>
      <c r="E83" s="55"/>
      <c r="F83" s="751"/>
      <c r="G83" s="747"/>
      <c r="H83" s="752"/>
      <c r="I83" s="748"/>
      <c r="J83" s="55"/>
      <c r="K83" s="749"/>
      <c r="L83" s="744"/>
      <c r="M83" s="750"/>
      <c r="N83" s="745"/>
      <c r="P83" s="751"/>
      <c r="Q83" s="747"/>
      <c r="R83" s="752"/>
      <c r="S83" s="748"/>
      <c r="U83" s="749"/>
      <c r="V83" s="744"/>
      <c r="W83" s="750"/>
      <c r="X83" s="745"/>
      <c r="Z83" s="749"/>
      <c r="AA83" s="744"/>
      <c r="AB83" s="750"/>
      <c r="AC83" s="745"/>
      <c r="AE83" s="751"/>
      <c r="AF83" s="747"/>
      <c r="AG83" s="752"/>
      <c r="AH83" s="748"/>
    </row>
    <row r="84" spans="1:34" ht="14.5" thickBot="1" x14ac:dyDescent="0.35">
      <c r="A84" s="753"/>
      <c r="B84" s="754"/>
      <c r="C84" s="754"/>
      <c r="D84" s="755"/>
      <c r="E84" s="47"/>
      <c r="F84" s="756"/>
      <c r="G84" s="757"/>
      <c r="H84" s="757"/>
      <c r="I84" s="758"/>
      <c r="J84" s="47"/>
      <c r="K84" s="753"/>
      <c r="L84" s="754"/>
      <c r="M84" s="754"/>
      <c r="N84" s="755"/>
      <c r="P84" s="756"/>
      <c r="Q84" s="757"/>
      <c r="R84" s="757"/>
      <c r="S84" s="758"/>
      <c r="U84" s="753"/>
      <c r="V84" s="754"/>
      <c r="W84" s="754"/>
      <c r="X84" s="755"/>
      <c r="Z84" s="753"/>
      <c r="AA84" s="754"/>
      <c r="AB84" s="754"/>
      <c r="AC84" s="755"/>
      <c r="AE84" s="756"/>
      <c r="AF84" s="757"/>
      <c r="AG84" s="757"/>
      <c r="AH84" s="758"/>
    </row>
    <row r="85" spans="1:34" ht="14.5" thickBot="1" x14ac:dyDescent="0.35">
      <c r="A85" s="55"/>
      <c r="B85" s="55"/>
      <c r="C85" s="55"/>
      <c r="D85" s="55"/>
      <c r="E85" s="47"/>
      <c r="F85" s="759"/>
      <c r="G85" s="759"/>
      <c r="H85" s="759"/>
      <c r="I85" s="759"/>
      <c r="J85" s="47"/>
      <c r="K85" s="55"/>
      <c r="L85" s="55"/>
      <c r="M85" s="55"/>
      <c r="N85" s="55"/>
      <c r="P85" s="759"/>
      <c r="Q85" s="759"/>
      <c r="R85" s="759"/>
      <c r="S85" s="759"/>
      <c r="U85" s="55"/>
      <c r="V85" s="55"/>
      <c r="W85" s="55"/>
      <c r="X85" s="55"/>
      <c r="Z85" s="55"/>
      <c r="AA85" s="55"/>
      <c r="AB85" s="55"/>
      <c r="AC85" s="55"/>
      <c r="AE85" s="759"/>
      <c r="AF85" s="759"/>
      <c r="AG85" s="759"/>
      <c r="AH85" s="759"/>
    </row>
    <row r="86" spans="1:34" x14ac:dyDescent="0.3">
      <c r="A86" s="1280"/>
      <c r="B86" s="1281"/>
      <c r="C86" s="1281"/>
      <c r="D86" s="1282"/>
      <c r="E86" s="47"/>
      <c r="F86" s="1285"/>
      <c r="G86" s="1286"/>
      <c r="H86" s="1286"/>
      <c r="I86" s="1287"/>
      <c r="J86" s="47"/>
      <c r="K86" s="1280"/>
      <c r="L86" s="1281"/>
      <c r="M86" s="1281"/>
      <c r="N86" s="1282"/>
      <c r="P86" s="1285"/>
      <c r="Q86" s="1286"/>
      <c r="R86" s="1286"/>
      <c r="S86" s="1287"/>
      <c r="U86" s="1280"/>
      <c r="V86" s="1281"/>
      <c r="W86" s="1281"/>
      <c r="X86" s="1282"/>
      <c r="Z86" s="1280"/>
      <c r="AA86" s="1281"/>
      <c r="AB86" s="1281"/>
      <c r="AC86" s="1282"/>
      <c r="AE86" s="1285"/>
      <c r="AF86" s="1286"/>
      <c r="AG86" s="1286"/>
      <c r="AH86" s="1287"/>
    </row>
    <row r="87" spans="1:34" x14ac:dyDescent="0.3">
      <c r="A87" s="743"/>
      <c r="B87" s="744"/>
      <c r="C87" s="744"/>
      <c r="D87" s="745"/>
      <c r="E87" s="47"/>
      <c r="F87" s="746"/>
      <c r="G87" s="747"/>
      <c r="H87" s="747"/>
      <c r="I87" s="748"/>
      <c r="J87" s="47"/>
      <c r="K87" s="743"/>
      <c r="L87" s="744"/>
      <c r="M87" s="744"/>
      <c r="N87" s="745"/>
      <c r="P87" s="746"/>
      <c r="Q87" s="747"/>
      <c r="R87" s="747"/>
      <c r="S87" s="748"/>
      <c r="U87" s="743"/>
      <c r="V87" s="744"/>
      <c r="W87" s="744"/>
      <c r="X87" s="745"/>
      <c r="Z87" s="743"/>
      <c r="AA87" s="744"/>
      <c r="AB87" s="744"/>
      <c r="AC87" s="745"/>
      <c r="AE87" s="746"/>
      <c r="AF87" s="747"/>
      <c r="AG87" s="747"/>
      <c r="AH87" s="748"/>
    </row>
    <row r="88" spans="1:34" x14ac:dyDescent="0.3">
      <c r="A88" s="749"/>
      <c r="B88" s="744"/>
      <c r="C88" s="750"/>
      <c r="D88" s="745"/>
      <c r="F88" s="751"/>
      <c r="G88" s="747"/>
      <c r="H88" s="752"/>
      <c r="I88" s="748"/>
      <c r="K88" s="749"/>
      <c r="L88" s="744"/>
      <c r="M88" s="750"/>
      <c r="N88" s="745"/>
      <c r="P88" s="751"/>
      <c r="Q88" s="747"/>
      <c r="R88" s="752"/>
      <c r="S88" s="748"/>
      <c r="U88" s="749"/>
      <c r="V88" s="744"/>
      <c r="W88" s="750"/>
      <c r="X88" s="745"/>
      <c r="Z88" s="749"/>
      <c r="AA88" s="744"/>
      <c r="AB88" s="750"/>
      <c r="AC88" s="745"/>
      <c r="AE88" s="751"/>
      <c r="AF88" s="747"/>
      <c r="AG88" s="752"/>
      <c r="AH88" s="748"/>
    </row>
    <row r="89" spans="1:34" ht="14.5" thickBot="1" x14ac:dyDescent="0.35">
      <c r="A89" s="753"/>
      <c r="B89" s="754"/>
      <c r="C89" s="754"/>
      <c r="D89" s="755"/>
      <c r="F89" s="756"/>
      <c r="G89" s="757"/>
      <c r="H89" s="757"/>
      <c r="I89" s="758"/>
      <c r="K89" s="753"/>
      <c r="L89" s="754"/>
      <c r="M89" s="754"/>
      <c r="N89" s="755"/>
      <c r="P89" s="756"/>
      <c r="Q89" s="757"/>
      <c r="R89" s="757"/>
      <c r="S89" s="758"/>
      <c r="U89" s="753"/>
      <c r="V89" s="754"/>
      <c r="W89" s="754"/>
      <c r="X89" s="755"/>
      <c r="Z89" s="753"/>
      <c r="AA89" s="754"/>
      <c r="AB89" s="754"/>
      <c r="AC89" s="755"/>
      <c r="AE89" s="756"/>
      <c r="AF89" s="757"/>
      <c r="AG89" s="757"/>
      <c r="AH89" s="758"/>
    </row>
    <row r="90" spans="1:34" ht="14.5" thickBot="1" x14ac:dyDescent="0.35">
      <c r="F90" s="729"/>
      <c r="G90" s="729"/>
      <c r="H90" s="729"/>
      <c r="I90" s="729"/>
      <c r="P90" s="729"/>
      <c r="Q90" s="729"/>
      <c r="R90" s="729"/>
      <c r="S90" s="729"/>
      <c r="AE90" s="729"/>
      <c r="AF90" s="729"/>
      <c r="AG90" s="729"/>
      <c r="AH90" s="729"/>
    </row>
    <row r="91" spans="1:34" x14ac:dyDescent="0.3">
      <c r="A91" s="1280"/>
      <c r="B91" s="1281"/>
      <c r="C91" s="1281"/>
      <c r="D91" s="1282"/>
      <c r="F91" s="1285"/>
      <c r="G91" s="1286"/>
      <c r="H91" s="1286"/>
      <c r="I91" s="1287"/>
      <c r="K91" s="1280"/>
      <c r="L91" s="1281"/>
      <c r="M91" s="1281"/>
      <c r="N91" s="1282"/>
      <c r="P91" s="1285"/>
      <c r="Q91" s="1286"/>
      <c r="R91" s="1286"/>
      <c r="S91" s="1287"/>
      <c r="U91" s="1280"/>
      <c r="V91" s="1281"/>
      <c r="W91" s="1281"/>
      <c r="X91" s="1282"/>
      <c r="Z91" s="1280"/>
      <c r="AA91" s="1281"/>
      <c r="AB91" s="1281"/>
      <c r="AC91" s="1282"/>
      <c r="AE91" s="1285"/>
      <c r="AF91" s="1286"/>
      <c r="AG91" s="1286"/>
      <c r="AH91" s="1287"/>
    </row>
    <row r="92" spans="1:34" x14ac:dyDescent="0.3">
      <c r="A92" s="743"/>
      <c r="B92" s="744"/>
      <c r="C92" s="744"/>
      <c r="D92" s="745"/>
      <c r="F92" s="746"/>
      <c r="G92" s="747"/>
      <c r="H92" s="747"/>
      <c r="I92" s="748"/>
      <c r="K92" s="743"/>
      <c r="L92" s="744"/>
      <c r="M92" s="744"/>
      <c r="N92" s="745"/>
      <c r="P92" s="746"/>
      <c r="Q92" s="747"/>
      <c r="R92" s="747"/>
      <c r="S92" s="748"/>
      <c r="U92" s="743"/>
      <c r="V92" s="744"/>
      <c r="W92" s="744"/>
      <c r="X92" s="745"/>
      <c r="Z92" s="743"/>
      <c r="AA92" s="744"/>
      <c r="AB92" s="744"/>
      <c r="AC92" s="745"/>
      <c r="AE92" s="746"/>
      <c r="AF92" s="747"/>
      <c r="AG92" s="747"/>
      <c r="AH92" s="748"/>
    </row>
    <row r="93" spans="1:34" x14ac:dyDescent="0.3">
      <c r="A93" s="749"/>
      <c r="B93" s="744"/>
      <c r="C93" s="750"/>
      <c r="D93" s="745"/>
      <c r="F93" s="751"/>
      <c r="G93" s="747"/>
      <c r="H93" s="752"/>
      <c r="I93" s="748"/>
      <c r="K93" s="749"/>
      <c r="L93" s="744"/>
      <c r="M93" s="750"/>
      <c r="N93" s="745"/>
      <c r="P93" s="751"/>
      <c r="Q93" s="747"/>
      <c r="R93" s="752"/>
      <c r="S93" s="748"/>
      <c r="U93" s="749"/>
      <c r="V93" s="744"/>
      <c r="W93" s="750"/>
      <c r="X93" s="745"/>
      <c r="Z93" s="749"/>
      <c r="AA93" s="744"/>
      <c r="AB93" s="750"/>
      <c r="AC93" s="745"/>
      <c r="AE93" s="751"/>
      <c r="AF93" s="747"/>
      <c r="AG93" s="752"/>
      <c r="AH93" s="748"/>
    </row>
    <row r="94" spans="1:34" ht="14.5" thickBot="1" x14ac:dyDescent="0.35">
      <c r="A94" s="753"/>
      <c r="B94" s="754"/>
      <c r="C94" s="754"/>
      <c r="D94" s="755"/>
      <c r="F94" s="756"/>
      <c r="G94" s="757"/>
      <c r="H94" s="757"/>
      <c r="I94" s="758"/>
      <c r="K94" s="753"/>
      <c r="L94" s="754"/>
      <c r="M94" s="754"/>
      <c r="N94" s="755"/>
      <c r="P94" s="756"/>
      <c r="Q94" s="757"/>
      <c r="R94" s="757"/>
      <c r="S94" s="758"/>
      <c r="U94" s="753"/>
      <c r="V94" s="754"/>
      <c r="W94" s="754"/>
      <c r="X94" s="755"/>
      <c r="Z94" s="753"/>
      <c r="AA94" s="754"/>
      <c r="AB94" s="754"/>
      <c r="AC94" s="755"/>
      <c r="AE94" s="756"/>
      <c r="AF94" s="757"/>
      <c r="AG94" s="757"/>
      <c r="AH94" s="758"/>
    </row>
    <row r="95" spans="1:34" ht="14.5" thickBot="1" x14ac:dyDescent="0.35">
      <c r="F95" s="729"/>
      <c r="G95" s="729"/>
      <c r="H95" s="729"/>
      <c r="I95" s="729"/>
      <c r="P95" s="729"/>
      <c r="Q95" s="729"/>
      <c r="R95" s="729"/>
      <c r="S95" s="729"/>
      <c r="AE95" s="729"/>
      <c r="AF95" s="729"/>
      <c r="AG95" s="729"/>
      <c r="AH95" s="729"/>
    </row>
    <row r="96" spans="1:34" x14ac:dyDescent="0.3">
      <c r="A96" s="1280"/>
      <c r="B96" s="1281"/>
      <c r="C96" s="1281"/>
      <c r="D96" s="1282"/>
      <c r="F96" s="1285"/>
      <c r="G96" s="1286"/>
      <c r="H96" s="1286"/>
      <c r="I96" s="1287"/>
      <c r="K96" s="1280"/>
      <c r="L96" s="1281"/>
      <c r="M96" s="1281"/>
      <c r="N96" s="1282"/>
      <c r="P96" s="1285"/>
      <c r="Q96" s="1286"/>
      <c r="R96" s="1286"/>
      <c r="S96" s="1287"/>
      <c r="U96" s="1280"/>
      <c r="V96" s="1281"/>
      <c r="W96" s="1281"/>
      <c r="X96" s="1282"/>
      <c r="Z96" s="1280"/>
      <c r="AA96" s="1281"/>
      <c r="AB96" s="1281"/>
      <c r="AC96" s="1282"/>
      <c r="AE96" s="1285"/>
      <c r="AF96" s="1286"/>
      <c r="AG96" s="1286"/>
      <c r="AH96" s="1287"/>
    </row>
    <row r="97" spans="1:34" x14ac:dyDescent="0.3">
      <c r="A97" s="743"/>
      <c r="B97" s="744"/>
      <c r="C97" s="744"/>
      <c r="D97" s="745"/>
      <c r="F97" s="746"/>
      <c r="G97" s="747"/>
      <c r="H97" s="747"/>
      <c r="I97" s="748"/>
      <c r="K97" s="743"/>
      <c r="L97" s="744"/>
      <c r="M97" s="744"/>
      <c r="N97" s="745"/>
      <c r="P97" s="746"/>
      <c r="Q97" s="747"/>
      <c r="R97" s="747"/>
      <c r="S97" s="748"/>
      <c r="U97" s="743"/>
      <c r="V97" s="744"/>
      <c r="W97" s="744"/>
      <c r="X97" s="745"/>
      <c r="Z97" s="743"/>
      <c r="AA97" s="744"/>
      <c r="AB97" s="744"/>
      <c r="AC97" s="745"/>
      <c r="AE97" s="746"/>
      <c r="AF97" s="747"/>
      <c r="AG97" s="747"/>
      <c r="AH97" s="748"/>
    </row>
    <row r="98" spans="1:34" x14ac:dyDescent="0.3">
      <c r="A98" s="749"/>
      <c r="B98" s="744"/>
      <c r="C98" s="750"/>
      <c r="D98" s="745"/>
      <c r="F98" s="751"/>
      <c r="G98" s="747"/>
      <c r="H98" s="752"/>
      <c r="I98" s="748"/>
      <c r="K98" s="749"/>
      <c r="L98" s="744"/>
      <c r="M98" s="750"/>
      <c r="N98" s="745"/>
      <c r="P98" s="751"/>
      <c r="Q98" s="747"/>
      <c r="R98" s="752"/>
      <c r="S98" s="748"/>
      <c r="U98" s="749"/>
      <c r="V98" s="744"/>
      <c r="W98" s="750"/>
      <c r="X98" s="745"/>
      <c r="Z98" s="749"/>
      <c r="AA98" s="744"/>
      <c r="AB98" s="750"/>
      <c r="AC98" s="745"/>
      <c r="AE98" s="751"/>
      <c r="AF98" s="747"/>
      <c r="AG98" s="752"/>
      <c r="AH98" s="748"/>
    </row>
    <row r="99" spans="1:34" ht="14.5" thickBot="1" x14ac:dyDescent="0.35">
      <c r="A99" s="753"/>
      <c r="B99" s="754"/>
      <c r="C99" s="754"/>
      <c r="D99" s="755"/>
      <c r="F99" s="756"/>
      <c r="G99" s="757"/>
      <c r="H99" s="757"/>
      <c r="I99" s="758"/>
      <c r="K99" s="753"/>
      <c r="L99" s="754"/>
      <c r="M99" s="754"/>
      <c r="N99" s="755"/>
      <c r="P99" s="756"/>
      <c r="Q99" s="757"/>
      <c r="R99" s="757"/>
      <c r="S99" s="758"/>
      <c r="U99" s="753"/>
      <c r="V99" s="754"/>
      <c r="W99" s="754"/>
      <c r="X99" s="755"/>
      <c r="Z99" s="753"/>
      <c r="AA99" s="754"/>
      <c r="AB99" s="754"/>
      <c r="AC99" s="755"/>
      <c r="AE99" s="756"/>
      <c r="AF99" s="757"/>
      <c r="AG99" s="757"/>
      <c r="AH99" s="758"/>
    </row>
    <row r="100" spans="1:34" ht="14.5" thickBot="1" x14ac:dyDescent="0.35">
      <c r="AE100" s="729"/>
      <c r="AF100" s="729"/>
      <c r="AG100" s="729"/>
      <c r="AH100" s="729"/>
    </row>
    <row r="101" spans="1:34" x14ac:dyDescent="0.3">
      <c r="A101" s="1280"/>
      <c r="B101" s="1281"/>
      <c r="C101" s="1281"/>
      <c r="D101" s="1282"/>
      <c r="K101" s="1280"/>
      <c r="L101" s="1281"/>
      <c r="M101" s="1281"/>
      <c r="N101" s="1282"/>
      <c r="U101" s="1280"/>
      <c r="V101" s="1281"/>
      <c r="W101" s="1281"/>
      <c r="X101" s="1282"/>
      <c r="Z101" s="1280"/>
      <c r="AA101" s="1281"/>
      <c r="AB101" s="1281"/>
      <c r="AC101" s="1282"/>
      <c r="AE101" s="729"/>
      <c r="AF101" s="729"/>
      <c r="AG101" s="729"/>
      <c r="AH101" s="729"/>
    </row>
    <row r="102" spans="1:34" x14ac:dyDescent="0.3">
      <c r="A102" s="743"/>
      <c r="B102" s="744"/>
      <c r="C102" s="744"/>
      <c r="D102" s="745"/>
      <c r="K102" s="743"/>
      <c r="L102" s="744"/>
      <c r="M102" s="744"/>
      <c r="N102" s="745"/>
      <c r="U102" s="743"/>
      <c r="V102" s="744"/>
      <c r="W102" s="744"/>
      <c r="X102" s="745"/>
      <c r="Z102" s="743"/>
      <c r="AA102" s="744"/>
      <c r="AB102" s="744"/>
      <c r="AC102" s="745"/>
      <c r="AE102" s="729"/>
      <c r="AF102" s="729"/>
      <c r="AG102" s="729"/>
      <c r="AH102" s="729"/>
    </row>
    <row r="103" spans="1:34" x14ac:dyDescent="0.3">
      <c r="A103" s="749"/>
      <c r="B103" s="744"/>
      <c r="C103" s="750"/>
      <c r="D103" s="745"/>
      <c r="K103" s="749"/>
      <c r="L103" s="744"/>
      <c r="M103" s="750"/>
      <c r="N103" s="745"/>
      <c r="U103" s="749"/>
      <c r="V103" s="744"/>
      <c r="W103" s="750"/>
      <c r="X103" s="745"/>
      <c r="Z103" s="749"/>
      <c r="AA103" s="744"/>
      <c r="AB103" s="750"/>
      <c r="AC103" s="745"/>
      <c r="AE103" s="729"/>
      <c r="AF103" s="729"/>
      <c r="AG103" s="729"/>
      <c r="AH103" s="729"/>
    </row>
    <row r="104" spans="1:34" ht="14.5" thickBot="1" x14ac:dyDescent="0.35">
      <c r="A104" s="753"/>
      <c r="B104" s="754"/>
      <c r="C104" s="754"/>
      <c r="D104" s="755"/>
      <c r="K104" s="753"/>
      <c r="L104" s="754"/>
      <c r="M104" s="754"/>
      <c r="N104" s="755"/>
      <c r="U104" s="753"/>
      <c r="V104" s="754"/>
      <c r="W104" s="754"/>
      <c r="X104" s="755"/>
      <c r="Z104" s="753"/>
      <c r="AA104" s="754"/>
      <c r="AB104" s="754"/>
      <c r="AC104" s="755"/>
      <c r="AE104" s="729"/>
      <c r="AF104" s="729"/>
      <c r="AG104" s="729"/>
      <c r="AH104" s="729"/>
    </row>
    <row r="105" spans="1:34" x14ac:dyDescent="0.3">
      <c r="AE105" s="729"/>
      <c r="AF105" s="729"/>
      <c r="AG105" s="729"/>
      <c r="AH105" s="729"/>
    </row>
    <row r="106" spans="1:34" x14ac:dyDescent="0.3">
      <c r="AE106" s="729"/>
      <c r="AF106" s="729"/>
      <c r="AG106" s="729"/>
      <c r="AH106" s="729"/>
    </row>
    <row r="107" spans="1:34" x14ac:dyDescent="0.3">
      <c r="A107" s="1308"/>
      <c r="B107" s="1308"/>
      <c r="C107" s="1308"/>
      <c r="D107" s="1308"/>
      <c r="E107" s="1308"/>
      <c r="F107" s="1308"/>
      <c r="G107" s="1308"/>
      <c r="H107" s="1308"/>
      <c r="I107" s="1308"/>
      <c r="J107" s="1308"/>
      <c r="K107" s="1308"/>
      <c r="L107" s="1308"/>
      <c r="M107" s="1308"/>
      <c r="N107" s="1308"/>
      <c r="O107" s="1308"/>
      <c r="P107" s="1308"/>
      <c r="Q107" s="1308"/>
      <c r="R107" s="1308"/>
      <c r="S107" s="1308"/>
      <c r="T107" s="1308"/>
      <c r="U107" s="1308"/>
      <c r="V107" s="1308"/>
      <c r="W107" s="1308"/>
      <c r="X107" s="1308"/>
      <c r="Y107" s="1308"/>
      <c r="Z107" s="1308"/>
      <c r="AA107" s="1308"/>
      <c r="AB107" s="1308"/>
      <c r="AC107" s="1308"/>
      <c r="AD107" s="741"/>
      <c r="AE107" s="763"/>
      <c r="AF107" s="763"/>
      <c r="AG107" s="763"/>
      <c r="AH107" s="763"/>
    </row>
    <row r="108" spans="1:34" ht="21" customHeight="1" thickBot="1" x14ac:dyDescent="0.35">
      <c r="A108" s="1296"/>
      <c r="B108" s="1296"/>
      <c r="C108" s="1296"/>
      <c r="D108" s="1296"/>
      <c r="E108" s="742"/>
      <c r="F108" s="1284"/>
      <c r="G108" s="1284"/>
      <c r="H108" s="1284"/>
      <c r="I108" s="1284"/>
      <c r="J108" s="742"/>
      <c r="K108" s="1296"/>
      <c r="L108" s="1296"/>
      <c r="M108" s="1296"/>
      <c r="N108" s="1296"/>
      <c r="O108" s="741"/>
      <c r="P108" s="1284"/>
      <c r="Q108" s="1284"/>
      <c r="R108" s="1284"/>
      <c r="S108" s="1284"/>
      <c r="T108" s="741"/>
      <c r="U108" s="1296"/>
      <c r="V108" s="1296"/>
      <c r="W108" s="1296"/>
      <c r="X108" s="1296"/>
      <c r="Y108" s="741"/>
      <c r="Z108" s="1296"/>
      <c r="AA108" s="1296"/>
      <c r="AB108" s="1296"/>
      <c r="AC108" s="1296"/>
      <c r="AD108" s="741"/>
      <c r="AE108" s="1284"/>
      <c r="AF108" s="1284"/>
      <c r="AG108" s="1284"/>
      <c r="AH108" s="1284"/>
    </row>
    <row r="109" spans="1:34" x14ac:dyDescent="0.3">
      <c r="A109" s="1280"/>
      <c r="B109" s="1281"/>
      <c r="C109" s="1281"/>
      <c r="D109" s="1282"/>
      <c r="F109" s="1285"/>
      <c r="G109" s="1286"/>
      <c r="H109" s="1286"/>
      <c r="I109" s="1287"/>
      <c r="J109" s="706"/>
      <c r="K109" s="1280"/>
      <c r="L109" s="1281"/>
      <c r="M109" s="1281"/>
      <c r="N109" s="1282"/>
      <c r="P109" s="1285"/>
      <c r="Q109" s="1286"/>
      <c r="R109" s="1286"/>
      <c r="S109" s="1287"/>
      <c r="U109" s="1280"/>
      <c r="V109" s="1281"/>
      <c r="W109" s="1281"/>
      <c r="X109" s="1282"/>
      <c r="Z109" s="1280"/>
      <c r="AA109" s="1281"/>
      <c r="AB109" s="1281"/>
      <c r="AC109" s="1282"/>
      <c r="AE109" s="1285"/>
      <c r="AF109" s="1286"/>
      <c r="AG109" s="1286"/>
      <c r="AH109" s="1287"/>
    </row>
    <row r="110" spans="1:34" x14ac:dyDescent="0.3">
      <c r="A110" s="743"/>
      <c r="B110" s="744"/>
      <c r="C110" s="744"/>
      <c r="D110" s="745"/>
      <c r="F110" s="746"/>
      <c r="G110" s="747"/>
      <c r="H110" s="747"/>
      <c r="I110" s="748"/>
      <c r="J110" s="55"/>
      <c r="K110" s="743"/>
      <c r="L110" s="744"/>
      <c r="M110" s="744"/>
      <c r="N110" s="745"/>
      <c r="P110" s="746"/>
      <c r="Q110" s="747"/>
      <c r="R110" s="747"/>
      <c r="S110" s="748"/>
      <c r="U110" s="743"/>
      <c r="V110" s="744"/>
      <c r="W110" s="744"/>
      <c r="X110" s="745"/>
      <c r="Z110" s="743"/>
      <c r="AA110" s="744"/>
      <c r="AB110" s="744"/>
      <c r="AC110" s="745"/>
      <c r="AE110" s="746"/>
      <c r="AF110" s="747"/>
      <c r="AG110" s="747"/>
      <c r="AH110" s="748"/>
    </row>
    <row r="111" spans="1:34" x14ac:dyDescent="0.3">
      <c r="A111" s="749"/>
      <c r="B111" s="744"/>
      <c r="C111" s="750"/>
      <c r="D111" s="745"/>
      <c r="F111" s="751"/>
      <c r="G111" s="747"/>
      <c r="H111" s="752"/>
      <c r="I111" s="748"/>
      <c r="J111" s="55"/>
      <c r="K111" s="749"/>
      <c r="L111" s="744"/>
      <c r="M111" s="750"/>
      <c r="N111" s="745"/>
      <c r="P111" s="751"/>
      <c r="Q111" s="747"/>
      <c r="R111" s="752"/>
      <c r="S111" s="748"/>
      <c r="U111" s="749"/>
      <c r="V111" s="744"/>
      <c r="W111" s="750"/>
      <c r="X111" s="745"/>
      <c r="Z111" s="749"/>
      <c r="AA111" s="744"/>
      <c r="AB111" s="750"/>
      <c r="AC111" s="745"/>
      <c r="AE111" s="751"/>
      <c r="AF111" s="747"/>
      <c r="AG111" s="752"/>
      <c r="AH111" s="748"/>
    </row>
    <row r="112" spans="1:34" ht="14.5" thickBot="1" x14ac:dyDescent="0.35">
      <c r="A112" s="753"/>
      <c r="B112" s="754"/>
      <c r="C112" s="754"/>
      <c r="D112" s="755"/>
      <c r="F112" s="756"/>
      <c r="G112" s="757"/>
      <c r="H112" s="757"/>
      <c r="I112" s="758"/>
      <c r="J112" s="55"/>
      <c r="K112" s="753"/>
      <c r="L112" s="754"/>
      <c r="M112" s="754"/>
      <c r="N112" s="755"/>
      <c r="P112" s="756"/>
      <c r="Q112" s="757"/>
      <c r="R112" s="757"/>
      <c r="S112" s="758"/>
      <c r="U112" s="753"/>
      <c r="V112" s="754"/>
      <c r="W112" s="754"/>
      <c r="X112" s="755"/>
      <c r="Z112" s="753"/>
      <c r="AA112" s="754"/>
      <c r="AB112" s="754"/>
      <c r="AC112" s="755"/>
      <c r="AE112" s="756"/>
      <c r="AF112" s="757"/>
      <c r="AG112" s="757"/>
      <c r="AH112" s="758"/>
    </row>
  </sheetData>
  <mergeCells count="110">
    <mergeCell ref="A11:F11"/>
    <mergeCell ref="G11:I11"/>
    <mergeCell ref="A8:F8"/>
    <mergeCell ref="G8:I8"/>
    <mergeCell ref="A9:F9"/>
    <mergeCell ref="G9:I9"/>
    <mergeCell ref="A10:F10"/>
    <mergeCell ref="G10:I10"/>
    <mergeCell ref="A7:I7"/>
    <mergeCell ref="A107:AC107"/>
    <mergeCell ref="A74:AC74"/>
    <mergeCell ref="Z75:AC75"/>
    <mergeCell ref="Z76:AC76"/>
    <mergeCell ref="Z81:AC81"/>
    <mergeCell ref="Z86:AC86"/>
    <mergeCell ref="Z91:AC91"/>
    <mergeCell ref="Z96:AC96"/>
    <mergeCell ref="Z108:AC108"/>
    <mergeCell ref="U108:X108"/>
    <mergeCell ref="U76:X76"/>
    <mergeCell ref="U81:X81"/>
    <mergeCell ref="U86:X86"/>
    <mergeCell ref="U91:X91"/>
    <mergeCell ref="U96:X96"/>
    <mergeCell ref="P76:S76"/>
    <mergeCell ref="P81:S81"/>
    <mergeCell ref="P86:S86"/>
    <mergeCell ref="P91:S91"/>
    <mergeCell ref="P96:S96"/>
    <mergeCell ref="K81:N81"/>
    <mergeCell ref="P108:S108"/>
    <mergeCell ref="A101:D101"/>
    <mergeCell ref="K101:N101"/>
    <mergeCell ref="U101:X101"/>
    <mergeCell ref="A56:O56"/>
    <mergeCell ref="B58:D58"/>
    <mergeCell ref="G58:H58"/>
    <mergeCell ref="G51:J51"/>
    <mergeCell ref="N67:N68"/>
    <mergeCell ref="B45:E45"/>
    <mergeCell ref="U75:X75"/>
    <mergeCell ref="P75:S75"/>
    <mergeCell ref="K96:N96"/>
    <mergeCell ref="K75:N75"/>
    <mergeCell ref="K76:N76"/>
    <mergeCell ref="F81:I81"/>
    <mergeCell ref="F86:I86"/>
    <mergeCell ref="F91:I91"/>
    <mergeCell ref="F96:I96"/>
    <mergeCell ref="A86:D86"/>
    <mergeCell ref="A91:D91"/>
    <mergeCell ref="A76:D76"/>
    <mergeCell ref="A81:D81"/>
    <mergeCell ref="A108:D108"/>
    <mergeCell ref="F108:I108"/>
    <mergeCell ref="K108:N108"/>
    <mergeCell ref="AE108:AH108"/>
    <mergeCell ref="AE109:AH109"/>
    <mergeCell ref="A109:D109"/>
    <mergeCell ref="F109:I109"/>
    <mergeCell ref="K109:N109"/>
    <mergeCell ref="P109:S109"/>
    <mergeCell ref="Z109:AC109"/>
    <mergeCell ref="U109:X109"/>
    <mergeCell ref="A17:I17"/>
    <mergeCell ref="A18:F18"/>
    <mergeCell ref="G18:I18"/>
    <mergeCell ref="A19:F19"/>
    <mergeCell ref="G19:I19"/>
    <mergeCell ref="K86:N86"/>
    <mergeCell ref="K91:N91"/>
    <mergeCell ref="A75:D75"/>
    <mergeCell ref="A96:D96"/>
    <mergeCell ref="F75:I75"/>
    <mergeCell ref="F76:I76"/>
    <mergeCell ref="G32:I32"/>
    <mergeCell ref="A32:F32"/>
    <mergeCell ref="A20:F20"/>
    <mergeCell ref="G20:I20"/>
    <mergeCell ref="A21:F21"/>
    <mergeCell ref="G21:I21"/>
    <mergeCell ref="A29:F29"/>
    <mergeCell ref="A41:F41"/>
    <mergeCell ref="G41:I41"/>
    <mergeCell ref="A42:F42"/>
    <mergeCell ref="G42:I42"/>
    <mergeCell ref="Z101:AC101"/>
    <mergeCell ref="H67:M67"/>
    <mergeCell ref="A1:L1"/>
    <mergeCell ref="AE75:AH75"/>
    <mergeCell ref="AE76:AH76"/>
    <mergeCell ref="AE81:AH81"/>
    <mergeCell ref="AE86:AH86"/>
    <mergeCell ref="AE91:AH91"/>
    <mergeCell ref="AE96:AH96"/>
    <mergeCell ref="A28:I28"/>
    <mergeCell ref="G31:I31"/>
    <mergeCell ref="A31:F31"/>
    <mergeCell ref="G30:I30"/>
    <mergeCell ref="A30:F30"/>
    <mergeCell ref="G29:I29"/>
    <mergeCell ref="A38:I38"/>
    <mergeCell ref="A39:F39"/>
    <mergeCell ref="G39:I39"/>
    <mergeCell ref="A40:F40"/>
    <mergeCell ref="G40:I40"/>
    <mergeCell ref="A67:A68"/>
    <mergeCell ref="B67:B68"/>
    <mergeCell ref="G47:J47"/>
    <mergeCell ref="A58:A59"/>
  </mergeCells>
  <pageMargins left="0.7" right="0.7" top="0.75" bottom="0.75" header="0.3" footer="0.3"/>
  <pageSetup paperSize="9" scale="79" orientation="portrait" horizontalDpi="4294967293" verticalDpi="200" r:id="rId1"/>
  <headerFooter>
    <oddHeader>&amp;R&amp;"Times New Roman,Regular"&amp;9OA.UB - 041-18 / REV : 0</oddHeader>
  </headerFooter>
  <rowBreaks count="3" manualBreakCount="3">
    <brk id="23" max="11" man="1"/>
    <brk id="43" max="33" man="1"/>
    <brk id="106" max="33" man="1"/>
  </row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H142"/>
  <sheetViews>
    <sheetView view="pageBreakPreview" topLeftCell="A67" zoomScale="112" zoomScaleNormal="100" zoomScaleSheetLayoutView="112" workbookViewId="0">
      <selection activeCell="G76" sqref="G76:J76"/>
    </sheetView>
  </sheetViews>
  <sheetFormatPr defaultRowHeight="12.5" x14ac:dyDescent="0.25"/>
  <cols>
    <col min="1" max="1" width="15.6328125" style="7" customWidth="1"/>
    <col min="2" max="2" width="8.7265625" style="7"/>
    <col min="3" max="3" width="6.54296875" style="7" customWidth="1"/>
    <col min="4" max="4" width="8.08984375" style="7" customWidth="1"/>
    <col min="5" max="5" width="7.453125" style="7" customWidth="1"/>
    <col min="6" max="6" width="6.90625" style="7" customWidth="1"/>
    <col min="7" max="7" width="7.08984375" style="7" customWidth="1"/>
    <col min="8" max="8" width="7" style="7" customWidth="1"/>
    <col min="9" max="9" width="6.54296875" style="7" customWidth="1"/>
    <col min="10" max="10" width="10.54296875" style="7" customWidth="1"/>
    <col min="11" max="11" width="13.453125" style="7" customWidth="1"/>
    <col min="12" max="12" width="5.6328125" style="7" customWidth="1"/>
    <col min="13" max="13" width="5.08984375" style="7" customWidth="1"/>
    <col min="14" max="14" width="6.54296875" style="7" customWidth="1"/>
    <col min="15" max="15" width="7" style="7" customWidth="1"/>
    <col min="16" max="16" width="7.6328125" style="7" customWidth="1"/>
    <col min="17" max="17" width="8.08984375" style="7" customWidth="1"/>
    <col min="18" max="18" width="7" style="7" customWidth="1"/>
    <col min="19" max="19" width="7.54296875" style="7" customWidth="1"/>
    <col min="20" max="20" width="8.7265625" style="7"/>
    <col min="21" max="21" width="8" style="7" customWidth="1"/>
    <col min="22" max="23" width="7.36328125" style="7" customWidth="1"/>
    <col min="24" max="24" width="6.08984375" style="7" customWidth="1"/>
    <col min="25" max="25" width="8.7265625" style="7"/>
    <col min="26" max="26" width="6.54296875" style="7" customWidth="1"/>
    <col min="27" max="27" width="6.90625" style="7" customWidth="1"/>
    <col min="28" max="28" width="7.36328125" style="7" customWidth="1"/>
    <col min="29" max="29" width="7" style="7" customWidth="1"/>
    <col min="30" max="30" width="8.7265625" style="7"/>
    <col min="31" max="31" width="7" style="7" customWidth="1"/>
    <col min="32" max="32" width="6.453125" style="7" customWidth="1"/>
    <col min="33" max="33" width="7" style="7" customWidth="1"/>
    <col min="34" max="34" width="7.453125" style="7" customWidth="1"/>
    <col min="35" max="16384" width="8.7265625" style="7"/>
  </cols>
  <sheetData>
    <row r="1" spans="1:13" ht="18" x14ac:dyDescent="0.4">
      <c r="A1" s="1340" t="s">
        <v>191</v>
      </c>
      <c r="B1" s="1340"/>
      <c r="C1" s="1340"/>
      <c r="D1" s="1340"/>
      <c r="E1" s="1340"/>
      <c r="F1" s="1340"/>
      <c r="G1" s="1340"/>
      <c r="H1" s="1340"/>
      <c r="I1" s="1340"/>
      <c r="J1" s="1340"/>
      <c r="K1" s="1340"/>
      <c r="L1" s="1340"/>
      <c r="M1" s="623"/>
    </row>
    <row r="2" spans="1:13" ht="18" x14ac:dyDescent="0.4">
      <c r="A2" s="624"/>
      <c r="B2" s="624"/>
      <c r="C2" s="624"/>
      <c r="D2" s="624"/>
      <c r="E2" s="624"/>
      <c r="F2" s="624"/>
      <c r="G2" s="624"/>
      <c r="H2" s="624"/>
      <c r="I2" s="624"/>
      <c r="J2" s="624"/>
      <c r="K2" s="624"/>
      <c r="L2" s="623"/>
      <c r="M2" s="623"/>
    </row>
    <row r="3" spans="1:13" ht="18" x14ac:dyDescent="0.4">
      <c r="A3" s="625" t="s">
        <v>223</v>
      </c>
      <c r="B3" s="626"/>
      <c r="C3" s="627"/>
      <c r="D3" s="627"/>
      <c r="E3" s="627"/>
      <c r="F3" s="627"/>
      <c r="G3" s="627"/>
      <c r="H3" s="627"/>
      <c r="I3" s="627"/>
      <c r="J3" s="627"/>
      <c r="K3" s="627"/>
      <c r="L3" s="623"/>
      <c r="M3" s="623"/>
    </row>
    <row r="4" spans="1:13" ht="18" x14ac:dyDescent="0.4">
      <c r="A4" s="628" t="s">
        <v>193</v>
      </c>
      <c r="B4" s="628" t="s">
        <v>194</v>
      </c>
      <c r="C4" s="628" t="s">
        <v>195</v>
      </c>
      <c r="D4" s="628" t="s">
        <v>196</v>
      </c>
      <c r="E4" s="628" t="s">
        <v>197</v>
      </c>
      <c r="F4" s="628" t="s">
        <v>198</v>
      </c>
      <c r="G4" s="628" t="s">
        <v>199</v>
      </c>
      <c r="H4" s="628" t="s">
        <v>200</v>
      </c>
      <c r="I4" s="628" t="s">
        <v>201</v>
      </c>
      <c r="J4" s="628" t="s">
        <v>202</v>
      </c>
      <c r="K4" s="628" t="s">
        <v>203</v>
      </c>
      <c r="L4" s="623"/>
      <c r="M4" s="623"/>
    </row>
    <row r="5" spans="1:13" ht="18" x14ac:dyDescent="0.4">
      <c r="A5" s="5" t="s">
        <v>204</v>
      </c>
      <c r="B5" s="6">
        <f>ID!N89</f>
        <v>0</v>
      </c>
      <c r="C5" s="629" t="s">
        <v>224</v>
      </c>
      <c r="D5" s="5" t="s">
        <v>206</v>
      </c>
      <c r="E5" s="13">
        <f>SQRT(6)</f>
        <v>2.4494897427831779</v>
      </c>
      <c r="F5" s="13">
        <f>B5/E5</f>
        <v>0</v>
      </c>
      <c r="G5" s="13">
        <f>6-1</f>
        <v>5</v>
      </c>
      <c r="H5" s="13">
        <v>1</v>
      </c>
      <c r="I5" s="13">
        <f>F5*H5</f>
        <v>0</v>
      </c>
      <c r="J5" s="13">
        <f>I5^2</f>
        <v>0</v>
      </c>
      <c r="K5" s="13">
        <f>(J5^2)/G5</f>
        <v>0</v>
      </c>
      <c r="L5" s="623"/>
      <c r="M5" s="623"/>
    </row>
    <row r="6" spans="1:13" ht="18" x14ac:dyDescent="0.4">
      <c r="A6" s="5" t="s">
        <v>6</v>
      </c>
      <c r="B6" s="6">
        <f>1*0.5</f>
        <v>0.5</v>
      </c>
      <c r="C6" s="629" t="s">
        <v>224</v>
      </c>
      <c r="D6" s="5" t="s">
        <v>207</v>
      </c>
      <c r="E6" s="13">
        <f>SQRT(3)</f>
        <v>1.7320508075688772</v>
      </c>
      <c r="F6" s="13">
        <f>B6/E6</f>
        <v>0.28867513459481292</v>
      </c>
      <c r="G6" s="13">
        <v>50</v>
      </c>
      <c r="H6" s="13">
        <v>1</v>
      </c>
      <c r="I6" s="13">
        <f>F6*H6</f>
        <v>0.28867513459481292</v>
      </c>
      <c r="J6" s="13">
        <f>I6^2</f>
        <v>8.3333333333333356E-2</v>
      </c>
      <c r="K6" s="13">
        <f>(J6^2)/G6</f>
        <v>1.3888888888888897E-4</v>
      </c>
      <c r="L6" s="623"/>
      <c r="M6" s="623"/>
    </row>
    <row r="7" spans="1:13" ht="18" x14ac:dyDescent="0.4">
      <c r="A7" s="1335" t="s">
        <v>208</v>
      </c>
      <c r="B7" s="1335"/>
      <c r="C7" s="1335"/>
      <c r="D7" s="1335"/>
      <c r="E7" s="1335"/>
      <c r="F7" s="1335"/>
      <c r="G7" s="1335"/>
      <c r="H7" s="1335"/>
      <c r="I7" s="1335"/>
      <c r="J7" s="13">
        <f>SUM(J5:J6)</f>
        <v>8.3333333333333356E-2</v>
      </c>
      <c r="K7" s="13">
        <f>SUM(K5:K6)</f>
        <v>1.3888888888888897E-4</v>
      </c>
      <c r="L7" s="623"/>
      <c r="M7" s="623"/>
    </row>
    <row r="8" spans="1:13" ht="18.5" x14ac:dyDescent="0.45">
      <c r="A8" s="1335" t="s">
        <v>209</v>
      </c>
      <c r="B8" s="1335"/>
      <c r="C8" s="1335"/>
      <c r="D8" s="1335"/>
      <c r="E8" s="1335"/>
      <c r="F8" s="1335"/>
      <c r="G8" s="1338" t="s">
        <v>210</v>
      </c>
      <c r="H8" s="1338"/>
      <c r="I8" s="1338"/>
      <c r="J8" s="13">
        <f>SQRT(J7)</f>
        <v>0.28867513459481292</v>
      </c>
      <c r="K8" s="13"/>
      <c r="L8" s="623"/>
      <c r="M8" s="623"/>
    </row>
    <row r="9" spans="1:13" ht="18.5" x14ac:dyDescent="0.45">
      <c r="A9" s="1335" t="s">
        <v>211</v>
      </c>
      <c r="B9" s="1335"/>
      <c r="C9" s="1335"/>
      <c r="D9" s="1335"/>
      <c r="E9" s="1335"/>
      <c r="F9" s="1335"/>
      <c r="G9" s="1336" t="s">
        <v>212</v>
      </c>
      <c r="H9" s="1336"/>
      <c r="I9" s="1336"/>
      <c r="J9" s="13">
        <f>J8^4/(K7)</f>
        <v>50</v>
      </c>
      <c r="K9" s="13"/>
      <c r="L9" s="623"/>
      <c r="M9" s="623"/>
    </row>
    <row r="10" spans="1:13" ht="18" x14ac:dyDescent="0.4">
      <c r="A10" s="1335" t="s">
        <v>213</v>
      </c>
      <c r="B10" s="1335"/>
      <c r="C10" s="1335"/>
      <c r="D10" s="1335"/>
      <c r="E10" s="1335"/>
      <c r="F10" s="1335"/>
      <c r="G10" s="1337" t="s">
        <v>214</v>
      </c>
      <c r="H10" s="1337"/>
      <c r="I10" s="1337"/>
      <c r="J10" s="13">
        <f>1.95996+(2.37356/J9)+(2.818745/J9^2)+(2.546662/J9^3)+(1.761829/J9^4)+(0.245458/J9^5)+(1.000764/J9^6)</f>
        <v>2.008579354038154</v>
      </c>
      <c r="K10" s="13"/>
      <c r="L10" s="623"/>
      <c r="M10" s="623"/>
    </row>
    <row r="11" spans="1:13" ht="18" x14ac:dyDescent="0.4">
      <c r="A11" s="1335" t="s">
        <v>215</v>
      </c>
      <c r="B11" s="1335"/>
      <c r="C11" s="1335"/>
      <c r="D11" s="1335"/>
      <c r="E11" s="1335"/>
      <c r="F11" s="1335"/>
      <c r="G11" s="1337" t="s">
        <v>216</v>
      </c>
      <c r="H11" s="1337"/>
      <c r="I11" s="1337"/>
      <c r="J11" s="13">
        <f>J10*J8</f>
        <v>0.57982691537132647</v>
      </c>
      <c r="K11" s="14" t="s">
        <v>224</v>
      </c>
      <c r="L11" s="623"/>
      <c r="M11" s="623"/>
    </row>
    <row r="12" spans="1:13" ht="18" x14ac:dyDescent="0.4">
      <c r="A12" s="624"/>
      <c r="B12" s="624"/>
      <c r="C12" s="624"/>
      <c r="D12" s="624"/>
      <c r="E12" s="624"/>
      <c r="F12" s="624"/>
      <c r="G12" s="624"/>
      <c r="H12" s="624"/>
      <c r="I12" s="624"/>
      <c r="J12" s="624"/>
      <c r="K12" s="624"/>
      <c r="L12" s="623"/>
      <c r="M12" s="623"/>
    </row>
    <row r="13" spans="1:13" ht="18" x14ac:dyDescent="0.4">
      <c r="A13" s="625" t="s">
        <v>225</v>
      </c>
      <c r="B13" s="627"/>
      <c r="C13" s="627"/>
      <c r="D13" s="627"/>
      <c r="E13" s="627"/>
      <c r="F13" s="627"/>
      <c r="G13" s="627"/>
      <c r="H13" s="627"/>
      <c r="I13" s="627"/>
      <c r="J13" s="627"/>
      <c r="K13" s="627"/>
      <c r="L13" s="623"/>
      <c r="M13" s="623"/>
    </row>
    <row r="14" spans="1:13" ht="18" x14ac:dyDescent="0.4">
      <c r="A14" s="628" t="s">
        <v>193</v>
      </c>
      <c r="B14" s="628" t="s">
        <v>194</v>
      </c>
      <c r="C14" s="628" t="s">
        <v>195</v>
      </c>
      <c r="D14" s="628" t="s">
        <v>196</v>
      </c>
      <c r="E14" s="628" t="s">
        <v>197</v>
      </c>
      <c r="F14" s="628" t="s">
        <v>198</v>
      </c>
      <c r="G14" s="628" t="s">
        <v>199</v>
      </c>
      <c r="H14" s="628" t="s">
        <v>200</v>
      </c>
      <c r="I14" s="628" t="s">
        <v>201</v>
      </c>
      <c r="J14" s="628" t="s">
        <v>202</v>
      </c>
      <c r="K14" s="628" t="s">
        <v>203</v>
      </c>
      <c r="L14" s="623"/>
      <c r="M14" s="623"/>
    </row>
    <row r="15" spans="1:13" ht="18" x14ac:dyDescent="0.4">
      <c r="A15" s="5" t="s">
        <v>204</v>
      </c>
      <c r="B15" s="6">
        <f>ID!N90</f>
        <v>0</v>
      </c>
      <c r="C15" s="629" t="s">
        <v>224</v>
      </c>
      <c r="D15" s="5" t="s">
        <v>206</v>
      </c>
      <c r="E15" s="13">
        <f>SQRT(6)</f>
        <v>2.4494897427831779</v>
      </c>
      <c r="F15" s="13">
        <f>B15/E15</f>
        <v>0</v>
      </c>
      <c r="G15" s="13">
        <f>6-1</f>
        <v>5</v>
      </c>
      <c r="H15" s="13">
        <v>1</v>
      </c>
      <c r="I15" s="13">
        <f>F15*H15</f>
        <v>0</v>
      </c>
      <c r="J15" s="13">
        <f>I15^2</f>
        <v>0</v>
      </c>
      <c r="K15" s="13">
        <f>(J15^2)/G15</f>
        <v>0</v>
      </c>
      <c r="L15" s="623"/>
      <c r="M15" s="623"/>
    </row>
    <row r="16" spans="1:13" ht="18" x14ac:dyDescent="0.4">
      <c r="A16" s="5" t="s">
        <v>6</v>
      </c>
      <c r="B16" s="6">
        <f>1*0.5</f>
        <v>0.5</v>
      </c>
      <c r="C16" s="629" t="s">
        <v>224</v>
      </c>
      <c r="D16" s="5" t="s">
        <v>207</v>
      </c>
      <c r="E16" s="13">
        <f>SQRT(3)</f>
        <v>1.7320508075688772</v>
      </c>
      <c r="F16" s="13">
        <f>B16/E16</f>
        <v>0.28867513459481292</v>
      </c>
      <c r="G16" s="13">
        <v>50</v>
      </c>
      <c r="H16" s="13">
        <v>1</v>
      </c>
      <c r="I16" s="13">
        <f>F16*H16</f>
        <v>0.28867513459481292</v>
      </c>
      <c r="J16" s="13">
        <f>I16^2</f>
        <v>8.3333333333333356E-2</v>
      </c>
      <c r="K16" s="13">
        <f>(J16^2)/G16</f>
        <v>1.3888888888888897E-4</v>
      </c>
      <c r="L16" s="623"/>
      <c r="M16" s="623"/>
    </row>
    <row r="17" spans="1:23" ht="18" x14ac:dyDescent="0.4">
      <c r="A17" s="1335" t="s">
        <v>208</v>
      </c>
      <c r="B17" s="1335"/>
      <c r="C17" s="1335"/>
      <c r="D17" s="1335"/>
      <c r="E17" s="1335"/>
      <c r="F17" s="1335"/>
      <c r="G17" s="1335"/>
      <c r="H17" s="1335"/>
      <c r="I17" s="1335"/>
      <c r="J17" s="13">
        <f>SUM(J15:J16)</f>
        <v>8.3333333333333356E-2</v>
      </c>
      <c r="K17" s="13">
        <f>SUM(K15:K16)</f>
        <v>1.3888888888888897E-4</v>
      </c>
      <c r="L17" s="623"/>
      <c r="M17" s="623"/>
    </row>
    <row r="18" spans="1:23" ht="18.5" x14ac:dyDescent="0.45">
      <c r="A18" s="1335" t="s">
        <v>209</v>
      </c>
      <c r="B18" s="1335"/>
      <c r="C18" s="1335"/>
      <c r="D18" s="1335"/>
      <c r="E18" s="1335"/>
      <c r="F18" s="1335"/>
      <c r="G18" s="1338" t="s">
        <v>210</v>
      </c>
      <c r="H18" s="1338"/>
      <c r="I18" s="1338"/>
      <c r="J18" s="13">
        <f>SQRT(J17)</f>
        <v>0.28867513459481292</v>
      </c>
      <c r="K18" s="13"/>
      <c r="L18" s="623"/>
      <c r="M18" s="623"/>
    </row>
    <row r="19" spans="1:23" ht="18.5" x14ac:dyDescent="0.45">
      <c r="A19" s="1335" t="s">
        <v>211</v>
      </c>
      <c r="B19" s="1335"/>
      <c r="C19" s="1335"/>
      <c r="D19" s="1335"/>
      <c r="E19" s="1335"/>
      <c r="F19" s="1335"/>
      <c r="G19" s="1336" t="s">
        <v>212</v>
      </c>
      <c r="H19" s="1336"/>
      <c r="I19" s="1336"/>
      <c r="J19" s="13">
        <f>J18^4/(K17)</f>
        <v>50</v>
      </c>
      <c r="K19" s="13"/>
      <c r="L19" s="623"/>
      <c r="M19" s="623"/>
    </row>
    <row r="20" spans="1:23" ht="18" x14ac:dyDescent="0.4">
      <c r="A20" s="1335" t="s">
        <v>213</v>
      </c>
      <c r="B20" s="1335"/>
      <c r="C20" s="1335"/>
      <c r="D20" s="1335"/>
      <c r="E20" s="1335"/>
      <c r="F20" s="1335"/>
      <c r="G20" s="1337" t="s">
        <v>214</v>
      </c>
      <c r="H20" s="1337"/>
      <c r="I20" s="1337"/>
      <c r="J20" s="13">
        <f>1.95996+(2.37356/J19)+(2.818745/J19^2)+(2.546662/J19^3)+(1.761829/J19^4)+(0.245458/J19^5)+(1.000764/J19^6)</f>
        <v>2.008579354038154</v>
      </c>
      <c r="K20" s="13"/>
      <c r="L20" s="623"/>
      <c r="M20" s="623"/>
    </row>
    <row r="21" spans="1:23" ht="18" x14ac:dyDescent="0.4">
      <c r="A21" s="1335" t="s">
        <v>215</v>
      </c>
      <c r="B21" s="1335"/>
      <c r="C21" s="1335"/>
      <c r="D21" s="1335"/>
      <c r="E21" s="1335"/>
      <c r="F21" s="1335"/>
      <c r="G21" s="1337" t="s">
        <v>216</v>
      </c>
      <c r="H21" s="1337"/>
      <c r="I21" s="1337"/>
      <c r="J21" s="13">
        <f>J20*J18</f>
        <v>0.57982691537132647</v>
      </c>
      <c r="K21" s="14" t="s">
        <v>224</v>
      </c>
      <c r="L21" s="623"/>
      <c r="M21" s="623"/>
    </row>
    <row r="22" spans="1:23" ht="18" x14ac:dyDescent="0.4">
      <c r="A22" s="630"/>
      <c r="B22" s="630"/>
      <c r="C22" s="630"/>
      <c r="D22" s="630"/>
      <c r="E22" s="630"/>
      <c r="F22" s="630"/>
      <c r="G22" s="631"/>
      <c r="H22" s="631"/>
      <c r="I22" s="631"/>
      <c r="J22" s="16"/>
      <c r="K22" s="17"/>
      <c r="L22" s="623"/>
      <c r="M22" s="623"/>
    </row>
    <row r="23" spans="1:23" ht="13" x14ac:dyDescent="0.3">
      <c r="A23" s="625" t="s">
        <v>226</v>
      </c>
      <c r="B23" s="627"/>
      <c r="C23" s="627"/>
      <c r="D23" s="627"/>
      <c r="E23" s="627"/>
      <c r="F23" s="627"/>
      <c r="G23" s="627"/>
      <c r="H23" s="627"/>
      <c r="I23" s="627"/>
      <c r="J23" s="627"/>
      <c r="K23" s="627"/>
    </row>
    <row r="24" spans="1:23" ht="21" customHeight="1" x14ac:dyDescent="0.3">
      <c r="A24" s="628" t="s">
        <v>193</v>
      </c>
      <c r="B24" s="628" t="s">
        <v>194</v>
      </c>
      <c r="C24" s="628" t="s">
        <v>195</v>
      </c>
      <c r="D24" s="628" t="s">
        <v>196</v>
      </c>
      <c r="E24" s="628" t="s">
        <v>197</v>
      </c>
      <c r="F24" s="628" t="s">
        <v>198</v>
      </c>
      <c r="G24" s="628" t="s">
        <v>199</v>
      </c>
      <c r="H24" s="628" t="s">
        <v>200</v>
      </c>
      <c r="I24" s="628" t="s">
        <v>201</v>
      </c>
      <c r="J24" s="628" t="s">
        <v>202</v>
      </c>
      <c r="K24" s="628" t="s">
        <v>203</v>
      </c>
    </row>
    <row r="25" spans="1:23" ht="21" customHeight="1" x14ac:dyDescent="0.3">
      <c r="A25" s="5" t="s">
        <v>204</v>
      </c>
      <c r="B25" s="6">
        <f>ID!N91</f>
        <v>0</v>
      </c>
      <c r="C25" s="629" t="s">
        <v>224</v>
      </c>
      <c r="D25" s="5" t="s">
        <v>206</v>
      </c>
      <c r="E25" s="13">
        <f>SQRT(6)</f>
        <v>2.4494897427831779</v>
      </c>
      <c r="F25" s="13">
        <f>B25/E25</f>
        <v>0</v>
      </c>
      <c r="G25" s="13">
        <f>6-1</f>
        <v>5</v>
      </c>
      <c r="H25" s="13">
        <v>1</v>
      </c>
      <c r="I25" s="13">
        <f>F25*H25</f>
        <v>0</v>
      </c>
      <c r="J25" s="13">
        <f>I25^2</f>
        <v>0</v>
      </c>
      <c r="K25" s="13">
        <f>(J25^2)/G25</f>
        <v>0</v>
      </c>
      <c r="T25" s="1339"/>
      <c r="U25" s="1339"/>
      <c r="V25" s="1339"/>
      <c r="W25" s="1339"/>
    </row>
    <row r="26" spans="1:23" ht="21" customHeight="1" x14ac:dyDescent="0.25">
      <c r="A26" s="5" t="s">
        <v>6</v>
      </c>
      <c r="B26" s="6">
        <f>1*0.5</f>
        <v>0.5</v>
      </c>
      <c r="C26" s="629" t="s">
        <v>224</v>
      </c>
      <c r="D26" s="5" t="s">
        <v>207</v>
      </c>
      <c r="E26" s="13">
        <f>SQRT(3)</f>
        <v>1.7320508075688772</v>
      </c>
      <c r="F26" s="13">
        <f>B26/E26</f>
        <v>0.28867513459481292</v>
      </c>
      <c r="G26" s="13">
        <v>50</v>
      </c>
      <c r="H26" s="13">
        <v>1</v>
      </c>
      <c r="I26" s="13">
        <f>F26*H26</f>
        <v>0.28867513459481292</v>
      </c>
      <c r="J26" s="13">
        <f>I26^2</f>
        <v>8.3333333333333356E-2</v>
      </c>
      <c r="K26" s="13">
        <f>(J26^2)/G26</f>
        <v>1.3888888888888897E-4</v>
      </c>
      <c r="T26" s="4"/>
      <c r="U26" s="4"/>
      <c r="V26" s="4"/>
      <c r="W26" s="4"/>
    </row>
    <row r="27" spans="1:23" ht="21" customHeight="1" x14ac:dyDescent="0.3">
      <c r="A27" s="1335" t="s">
        <v>208</v>
      </c>
      <c r="B27" s="1335"/>
      <c r="C27" s="1335"/>
      <c r="D27" s="1335"/>
      <c r="E27" s="1335"/>
      <c r="F27" s="1335"/>
      <c r="G27" s="1335"/>
      <c r="H27" s="1335"/>
      <c r="I27" s="1335"/>
      <c r="J27" s="13">
        <f>SUM(J25:J26)</f>
        <v>8.3333333333333356E-2</v>
      </c>
      <c r="K27" s="13">
        <f>SUM(K25:K26)</f>
        <v>1.3888888888888897E-4</v>
      </c>
      <c r="T27" s="4"/>
      <c r="U27" s="4"/>
      <c r="V27" s="4"/>
      <c r="W27" s="4"/>
    </row>
    <row r="28" spans="1:23" ht="21" customHeight="1" x14ac:dyDescent="0.45">
      <c r="A28" s="1335" t="s">
        <v>209</v>
      </c>
      <c r="B28" s="1335"/>
      <c r="C28" s="1335"/>
      <c r="D28" s="1335"/>
      <c r="E28" s="1335"/>
      <c r="F28" s="1335"/>
      <c r="G28" s="1338" t="s">
        <v>210</v>
      </c>
      <c r="H28" s="1338"/>
      <c r="I28" s="1338"/>
      <c r="J28" s="13">
        <f>SQRT(J27)</f>
        <v>0.28867513459481292</v>
      </c>
      <c r="K28" s="13"/>
    </row>
    <row r="29" spans="1:23" ht="21" customHeight="1" x14ac:dyDescent="0.45">
      <c r="A29" s="1335" t="s">
        <v>211</v>
      </c>
      <c r="B29" s="1335"/>
      <c r="C29" s="1335"/>
      <c r="D29" s="1335"/>
      <c r="E29" s="1335"/>
      <c r="F29" s="1335"/>
      <c r="G29" s="1336" t="s">
        <v>212</v>
      </c>
      <c r="H29" s="1336"/>
      <c r="I29" s="1336"/>
      <c r="J29" s="13">
        <f>J28^4/(K27)</f>
        <v>50</v>
      </c>
      <c r="K29" s="13"/>
    </row>
    <row r="30" spans="1:23" ht="21" customHeight="1" x14ac:dyDescent="0.3">
      <c r="A30" s="1335" t="s">
        <v>213</v>
      </c>
      <c r="B30" s="1335"/>
      <c r="C30" s="1335"/>
      <c r="D30" s="1335"/>
      <c r="E30" s="1335"/>
      <c r="F30" s="1335"/>
      <c r="G30" s="1337" t="s">
        <v>214</v>
      </c>
      <c r="H30" s="1337"/>
      <c r="I30" s="1337"/>
      <c r="J30" s="13">
        <f>1.95996+(2.37356/J29)+(2.818745/J29^2)+(2.546662/J29^3)+(1.761829/J29^4)+(0.245458/J29^5)+(1.000764/J29^6)</f>
        <v>2.008579354038154</v>
      </c>
      <c r="K30" s="13"/>
    </row>
    <row r="31" spans="1:23" ht="21" customHeight="1" x14ac:dyDescent="0.3">
      <c r="A31" s="1335" t="s">
        <v>215</v>
      </c>
      <c r="B31" s="1335"/>
      <c r="C31" s="1335"/>
      <c r="D31" s="1335"/>
      <c r="E31" s="1335"/>
      <c r="F31" s="1335"/>
      <c r="G31" s="1337" t="s">
        <v>216</v>
      </c>
      <c r="H31" s="1337"/>
      <c r="I31" s="1337"/>
      <c r="J31" s="13">
        <f>J30*J28</f>
        <v>0.57982691537132647</v>
      </c>
      <c r="K31" s="14" t="s">
        <v>224</v>
      </c>
    </row>
    <row r="32" spans="1:23" ht="14" x14ac:dyDescent="0.3">
      <c r="A32" s="630"/>
      <c r="B32" s="630"/>
      <c r="C32" s="630"/>
      <c r="D32" s="630"/>
      <c r="E32" s="630"/>
      <c r="F32" s="630"/>
      <c r="G32" s="631"/>
      <c r="H32" s="631"/>
      <c r="I32" s="631"/>
      <c r="J32" s="627"/>
      <c r="K32" s="632"/>
    </row>
    <row r="33" spans="1:11" ht="13" x14ac:dyDescent="0.3">
      <c r="A33" s="625" t="s">
        <v>227</v>
      </c>
      <c r="B33" s="627"/>
      <c r="C33" s="627"/>
      <c r="D33" s="627"/>
      <c r="E33" s="627"/>
      <c r="F33" s="627"/>
      <c r="G33" s="627"/>
      <c r="H33" s="627"/>
      <c r="I33" s="627"/>
      <c r="J33" s="627"/>
      <c r="K33" s="627"/>
    </row>
    <row r="34" spans="1:11" ht="21.75" customHeight="1" x14ac:dyDescent="0.3">
      <c r="A34" s="628" t="s">
        <v>193</v>
      </c>
      <c r="B34" s="628" t="s">
        <v>194</v>
      </c>
      <c r="C34" s="628" t="s">
        <v>195</v>
      </c>
      <c r="D34" s="628" t="s">
        <v>196</v>
      </c>
      <c r="E34" s="628" t="s">
        <v>197</v>
      </c>
      <c r="F34" s="628" t="s">
        <v>198</v>
      </c>
      <c r="G34" s="628" t="s">
        <v>199</v>
      </c>
      <c r="H34" s="628" t="s">
        <v>200</v>
      </c>
      <c r="I34" s="628" t="s">
        <v>201</v>
      </c>
      <c r="J34" s="628" t="s">
        <v>202</v>
      </c>
      <c r="K34" s="628" t="s">
        <v>203</v>
      </c>
    </row>
    <row r="35" spans="1:11" ht="21.75" customHeight="1" x14ac:dyDescent="0.25">
      <c r="A35" s="5" t="s">
        <v>204</v>
      </c>
      <c r="B35" s="15">
        <f>ID!N92</f>
        <v>0</v>
      </c>
      <c r="C35" s="629" t="s">
        <v>224</v>
      </c>
      <c r="D35" s="5" t="s">
        <v>206</v>
      </c>
      <c r="E35" s="13">
        <f>SQRT(6)</f>
        <v>2.4494897427831779</v>
      </c>
      <c r="F35" s="13">
        <f>B35/E35</f>
        <v>0</v>
      </c>
      <c r="G35" s="13">
        <f>6-1</f>
        <v>5</v>
      </c>
      <c r="H35" s="13">
        <v>1</v>
      </c>
      <c r="I35" s="13">
        <f>F35*H35</f>
        <v>0</v>
      </c>
      <c r="J35" s="13">
        <f>I35^2</f>
        <v>0</v>
      </c>
      <c r="K35" s="13">
        <f>(J35^2)/G35</f>
        <v>0</v>
      </c>
    </row>
    <row r="36" spans="1:11" ht="21.75" customHeight="1" x14ac:dyDescent="0.25">
      <c r="A36" s="5" t="s">
        <v>6</v>
      </c>
      <c r="B36" s="15">
        <f>1*0.5</f>
        <v>0.5</v>
      </c>
      <c r="C36" s="629" t="s">
        <v>224</v>
      </c>
      <c r="D36" s="5" t="s">
        <v>207</v>
      </c>
      <c r="E36" s="13">
        <f>SQRT(3)</f>
        <v>1.7320508075688772</v>
      </c>
      <c r="F36" s="13">
        <f>B36/E36</f>
        <v>0.28867513459481292</v>
      </c>
      <c r="G36" s="13">
        <v>50</v>
      </c>
      <c r="H36" s="13">
        <v>1</v>
      </c>
      <c r="I36" s="13">
        <f>F36*H36</f>
        <v>0.28867513459481292</v>
      </c>
      <c r="J36" s="13">
        <f>I36^2</f>
        <v>8.3333333333333356E-2</v>
      </c>
      <c r="K36" s="13">
        <f>(J36^2)/G36</f>
        <v>1.3888888888888897E-4</v>
      </c>
    </row>
    <row r="37" spans="1:11" ht="21.75" customHeight="1" x14ac:dyDescent="0.3">
      <c r="A37" s="1335" t="s">
        <v>208</v>
      </c>
      <c r="B37" s="1335"/>
      <c r="C37" s="1335"/>
      <c r="D37" s="1335"/>
      <c r="E37" s="1335"/>
      <c r="F37" s="1335"/>
      <c r="G37" s="1335"/>
      <c r="H37" s="1335"/>
      <c r="I37" s="1335"/>
      <c r="J37" s="13">
        <f>SUM(J35:J36)</f>
        <v>8.3333333333333356E-2</v>
      </c>
      <c r="K37" s="13">
        <f>SUM(K35:K36)</f>
        <v>1.3888888888888897E-4</v>
      </c>
    </row>
    <row r="38" spans="1:11" ht="21.75" customHeight="1" x14ac:dyDescent="0.45">
      <c r="A38" s="1335" t="s">
        <v>209</v>
      </c>
      <c r="B38" s="1335"/>
      <c r="C38" s="1335"/>
      <c r="D38" s="1335"/>
      <c r="E38" s="1335"/>
      <c r="F38" s="1335"/>
      <c r="G38" s="1338" t="s">
        <v>210</v>
      </c>
      <c r="H38" s="1338"/>
      <c r="I38" s="1338"/>
      <c r="J38" s="13">
        <f>SQRT(J37)</f>
        <v>0.28867513459481292</v>
      </c>
      <c r="K38" s="13"/>
    </row>
    <row r="39" spans="1:11" ht="21.75" customHeight="1" x14ac:dyDescent="0.45">
      <c r="A39" s="1335" t="s">
        <v>211</v>
      </c>
      <c r="B39" s="1335"/>
      <c r="C39" s="1335"/>
      <c r="D39" s="1335"/>
      <c r="E39" s="1335"/>
      <c r="F39" s="1335"/>
      <c r="G39" s="1336" t="s">
        <v>212</v>
      </c>
      <c r="H39" s="1336"/>
      <c r="I39" s="1336"/>
      <c r="J39" s="13">
        <f>J38^4/(K37)</f>
        <v>50</v>
      </c>
      <c r="K39" s="13"/>
    </row>
    <row r="40" spans="1:11" ht="21.75" customHeight="1" x14ac:dyDescent="0.3">
      <c r="A40" s="1335" t="s">
        <v>213</v>
      </c>
      <c r="B40" s="1335"/>
      <c r="C40" s="1335"/>
      <c r="D40" s="1335"/>
      <c r="E40" s="1335"/>
      <c r="F40" s="1335"/>
      <c r="G40" s="1337" t="s">
        <v>214</v>
      </c>
      <c r="H40" s="1337"/>
      <c r="I40" s="1337"/>
      <c r="J40" s="13">
        <f>1.95996+(2.37356/J39)+(2.818745/J39^2)+(2.546662/J39^3)+(1.761829/J39^4)+(0.245458/J39^5)+(1.000764/J39^6)</f>
        <v>2.008579354038154</v>
      </c>
      <c r="K40" s="13"/>
    </row>
    <row r="41" spans="1:11" ht="21.75" customHeight="1" x14ac:dyDescent="0.3">
      <c r="A41" s="1335" t="s">
        <v>215</v>
      </c>
      <c r="B41" s="1335"/>
      <c r="C41" s="1335"/>
      <c r="D41" s="1335"/>
      <c r="E41" s="1335"/>
      <c r="F41" s="1335"/>
      <c r="G41" s="1337" t="s">
        <v>216</v>
      </c>
      <c r="H41" s="1337"/>
      <c r="I41" s="1337"/>
      <c r="J41" s="13">
        <f>J40*J38</f>
        <v>0.57982691537132647</v>
      </c>
      <c r="K41" s="14" t="s">
        <v>224</v>
      </c>
    </row>
    <row r="42" spans="1:11" ht="21.75" customHeight="1" x14ac:dyDescent="0.3">
      <c r="A42" s="630"/>
      <c r="B42" s="630"/>
      <c r="C42" s="630"/>
      <c r="D42" s="630"/>
      <c r="E42" s="630"/>
      <c r="F42" s="630"/>
      <c r="G42" s="631"/>
      <c r="H42" s="631"/>
      <c r="I42" s="631"/>
      <c r="J42" s="16"/>
      <c r="K42" s="17"/>
    </row>
    <row r="43" spans="1:11" ht="21.75" customHeight="1" x14ac:dyDescent="0.3">
      <c r="A43" s="625" t="s">
        <v>228</v>
      </c>
      <c r="B43" s="627"/>
      <c r="C43" s="627"/>
      <c r="D43" s="627"/>
      <c r="E43" s="627"/>
      <c r="F43" s="627"/>
      <c r="G43" s="627"/>
      <c r="H43" s="627"/>
      <c r="I43" s="627"/>
      <c r="J43" s="627"/>
      <c r="K43" s="627"/>
    </row>
    <row r="44" spans="1:11" ht="21.75" customHeight="1" x14ac:dyDescent="0.3">
      <c r="A44" s="628" t="s">
        <v>193</v>
      </c>
      <c r="B44" s="628" t="s">
        <v>194</v>
      </c>
      <c r="C44" s="628" t="s">
        <v>195</v>
      </c>
      <c r="D44" s="628" t="s">
        <v>196</v>
      </c>
      <c r="E44" s="628" t="s">
        <v>197</v>
      </c>
      <c r="F44" s="628" t="s">
        <v>198</v>
      </c>
      <c r="G44" s="628" t="s">
        <v>199</v>
      </c>
      <c r="H44" s="628" t="s">
        <v>200</v>
      </c>
      <c r="I44" s="628" t="s">
        <v>201</v>
      </c>
      <c r="J44" s="628" t="s">
        <v>202</v>
      </c>
      <c r="K44" s="628" t="s">
        <v>203</v>
      </c>
    </row>
    <row r="45" spans="1:11" ht="21.75" customHeight="1" x14ac:dyDescent="0.25">
      <c r="A45" s="5" t="s">
        <v>204</v>
      </c>
      <c r="B45" s="6">
        <f>ID!N93</f>
        <v>0</v>
      </c>
      <c r="C45" s="629" t="s">
        <v>224</v>
      </c>
      <c r="D45" s="5" t="s">
        <v>206</v>
      </c>
      <c r="E45" s="13">
        <f>SQRT(6)</f>
        <v>2.4494897427831779</v>
      </c>
      <c r="F45" s="13">
        <f>B45/E45</f>
        <v>0</v>
      </c>
      <c r="G45" s="13">
        <f>6-1</f>
        <v>5</v>
      </c>
      <c r="H45" s="13">
        <v>1</v>
      </c>
      <c r="I45" s="13">
        <f>F45*H45</f>
        <v>0</v>
      </c>
      <c r="J45" s="13">
        <f>I45^2</f>
        <v>0</v>
      </c>
      <c r="K45" s="13">
        <f>(J45^2)/G45</f>
        <v>0</v>
      </c>
    </row>
    <row r="46" spans="1:11" ht="21.75" customHeight="1" x14ac:dyDescent="0.25">
      <c r="A46" s="5" t="s">
        <v>6</v>
      </c>
      <c r="B46" s="6">
        <f>1*0.5</f>
        <v>0.5</v>
      </c>
      <c r="C46" s="629" t="s">
        <v>224</v>
      </c>
      <c r="D46" s="5" t="s">
        <v>207</v>
      </c>
      <c r="E46" s="13">
        <f>SQRT(3)</f>
        <v>1.7320508075688772</v>
      </c>
      <c r="F46" s="13">
        <f>B46/E46</f>
        <v>0.28867513459481292</v>
      </c>
      <c r="G46" s="13">
        <v>50</v>
      </c>
      <c r="H46" s="13">
        <v>1</v>
      </c>
      <c r="I46" s="13">
        <f>F46*H46</f>
        <v>0.28867513459481292</v>
      </c>
      <c r="J46" s="13">
        <f>I46^2</f>
        <v>8.3333333333333356E-2</v>
      </c>
      <c r="K46" s="13">
        <f>(J46^2)/G46</f>
        <v>1.3888888888888897E-4</v>
      </c>
    </row>
    <row r="47" spans="1:11" ht="21.75" customHeight="1" x14ac:dyDescent="0.3">
      <c r="A47" s="1335" t="s">
        <v>208</v>
      </c>
      <c r="B47" s="1335"/>
      <c r="C47" s="1335"/>
      <c r="D47" s="1335"/>
      <c r="E47" s="1335"/>
      <c r="F47" s="1335"/>
      <c r="G47" s="1335"/>
      <c r="H47" s="1335"/>
      <c r="I47" s="1335"/>
      <c r="J47" s="13">
        <f>SUM(J45:J46)</f>
        <v>8.3333333333333356E-2</v>
      </c>
      <c r="K47" s="13">
        <f>SUM(K45:K46)</f>
        <v>1.3888888888888897E-4</v>
      </c>
    </row>
    <row r="48" spans="1:11" ht="21.75" customHeight="1" x14ac:dyDescent="0.45">
      <c r="A48" s="1335" t="s">
        <v>209</v>
      </c>
      <c r="B48" s="1335"/>
      <c r="C48" s="1335"/>
      <c r="D48" s="1335"/>
      <c r="E48" s="1335"/>
      <c r="F48" s="1335"/>
      <c r="G48" s="1338" t="s">
        <v>210</v>
      </c>
      <c r="H48" s="1338"/>
      <c r="I48" s="1338"/>
      <c r="J48" s="13">
        <f>SQRT(J47)</f>
        <v>0.28867513459481292</v>
      </c>
      <c r="K48" s="13"/>
    </row>
    <row r="49" spans="1:11" ht="21.75" customHeight="1" x14ac:dyDescent="0.45">
      <c r="A49" s="1335" t="s">
        <v>211</v>
      </c>
      <c r="B49" s="1335"/>
      <c r="C49" s="1335"/>
      <c r="D49" s="1335"/>
      <c r="E49" s="1335"/>
      <c r="F49" s="1335"/>
      <c r="G49" s="1336" t="s">
        <v>212</v>
      </c>
      <c r="H49" s="1336"/>
      <c r="I49" s="1336"/>
      <c r="J49" s="13">
        <f>J48^4/(K47)</f>
        <v>50</v>
      </c>
      <c r="K49" s="13"/>
    </row>
    <row r="50" spans="1:11" ht="21.75" customHeight="1" x14ac:dyDescent="0.3">
      <c r="A50" s="1335" t="s">
        <v>213</v>
      </c>
      <c r="B50" s="1335"/>
      <c r="C50" s="1335"/>
      <c r="D50" s="1335"/>
      <c r="E50" s="1335"/>
      <c r="F50" s="1335"/>
      <c r="G50" s="1337" t="s">
        <v>214</v>
      </c>
      <c r="H50" s="1337"/>
      <c r="I50" s="1337"/>
      <c r="J50" s="13">
        <f>1.95996+(2.37356/J49)+(2.818745/J49^2)+(2.546662/J49^3)+(1.761829/J49^4)+(0.245458/J49^5)+(1.000764/J49^6)</f>
        <v>2.008579354038154</v>
      </c>
      <c r="K50" s="13"/>
    </row>
    <row r="51" spans="1:11" ht="21.75" customHeight="1" x14ac:dyDescent="0.3">
      <c r="A51" s="1335" t="s">
        <v>215</v>
      </c>
      <c r="B51" s="1335"/>
      <c r="C51" s="1335"/>
      <c r="D51" s="1335"/>
      <c r="E51" s="1335"/>
      <c r="F51" s="1335"/>
      <c r="G51" s="1337" t="s">
        <v>216</v>
      </c>
      <c r="H51" s="1337"/>
      <c r="I51" s="1337"/>
      <c r="J51" s="13">
        <f>J50*J48</f>
        <v>0.57982691537132647</v>
      </c>
      <c r="K51" s="14" t="s">
        <v>224</v>
      </c>
    </row>
    <row r="52" spans="1:11" ht="14" x14ac:dyDescent="0.3">
      <c r="A52" s="630"/>
      <c r="B52" s="630"/>
      <c r="C52" s="630"/>
      <c r="D52" s="630"/>
      <c r="E52" s="630"/>
      <c r="F52" s="630"/>
      <c r="G52" s="631"/>
      <c r="H52" s="631"/>
      <c r="I52" s="631"/>
      <c r="J52" s="627"/>
      <c r="K52" s="632"/>
    </row>
    <row r="53" spans="1:11" ht="13" x14ac:dyDescent="0.3">
      <c r="A53" s="625" t="s">
        <v>229</v>
      </c>
      <c r="B53" s="627"/>
      <c r="C53" s="627"/>
      <c r="D53" s="627"/>
      <c r="E53" s="627"/>
      <c r="F53" s="627"/>
      <c r="G53" s="627"/>
      <c r="H53" s="627"/>
      <c r="I53" s="627"/>
      <c r="J53" s="627"/>
      <c r="K53" s="627"/>
    </row>
    <row r="54" spans="1:11" ht="18.75" customHeight="1" x14ac:dyDescent="0.3">
      <c r="A54" s="628" t="s">
        <v>193</v>
      </c>
      <c r="B54" s="628" t="s">
        <v>194</v>
      </c>
      <c r="C54" s="628" t="s">
        <v>195</v>
      </c>
      <c r="D54" s="628" t="s">
        <v>196</v>
      </c>
      <c r="E54" s="628" t="s">
        <v>197</v>
      </c>
      <c r="F54" s="628" t="s">
        <v>198</v>
      </c>
      <c r="G54" s="628" t="s">
        <v>199</v>
      </c>
      <c r="H54" s="628" t="s">
        <v>200</v>
      </c>
      <c r="I54" s="628" t="s">
        <v>201</v>
      </c>
      <c r="J54" s="628" t="s">
        <v>202</v>
      </c>
      <c r="K54" s="628" t="s">
        <v>203</v>
      </c>
    </row>
    <row r="55" spans="1:11" ht="18.75" customHeight="1" x14ac:dyDescent="0.25">
      <c r="A55" s="5" t="s">
        <v>204</v>
      </c>
      <c r="B55" s="6">
        <f>ID!N94</f>
        <v>0</v>
      </c>
      <c r="C55" s="629" t="s">
        <v>224</v>
      </c>
      <c r="D55" s="5" t="s">
        <v>206</v>
      </c>
      <c r="E55" s="13">
        <f>SQRT(6)</f>
        <v>2.4494897427831779</v>
      </c>
      <c r="F55" s="13">
        <f>B55/E55</f>
        <v>0</v>
      </c>
      <c r="G55" s="13">
        <f>6-1</f>
        <v>5</v>
      </c>
      <c r="H55" s="13">
        <v>1</v>
      </c>
      <c r="I55" s="13">
        <f>F55*H55</f>
        <v>0</v>
      </c>
      <c r="J55" s="13">
        <f>I55^2</f>
        <v>0</v>
      </c>
      <c r="K55" s="13">
        <f>(J55^2)/G55</f>
        <v>0</v>
      </c>
    </row>
    <row r="56" spans="1:11" ht="18.75" customHeight="1" x14ac:dyDescent="0.25">
      <c r="A56" s="5" t="s">
        <v>6</v>
      </c>
      <c r="B56" s="6">
        <f>1*0.5</f>
        <v>0.5</v>
      </c>
      <c r="C56" s="629" t="s">
        <v>224</v>
      </c>
      <c r="D56" s="5" t="s">
        <v>207</v>
      </c>
      <c r="E56" s="13">
        <f>SQRT(3)</f>
        <v>1.7320508075688772</v>
      </c>
      <c r="F56" s="13">
        <f>B56/E56</f>
        <v>0.28867513459481292</v>
      </c>
      <c r="G56" s="13">
        <v>50</v>
      </c>
      <c r="H56" s="13">
        <v>1</v>
      </c>
      <c r="I56" s="13">
        <f>F56*H56</f>
        <v>0.28867513459481292</v>
      </c>
      <c r="J56" s="13">
        <f>I56^2</f>
        <v>8.3333333333333356E-2</v>
      </c>
      <c r="K56" s="13">
        <f>(J56^2)/G56</f>
        <v>1.3888888888888897E-4</v>
      </c>
    </row>
    <row r="57" spans="1:11" ht="18.75" customHeight="1" x14ac:dyDescent="0.3">
      <c r="A57" s="1335" t="s">
        <v>208</v>
      </c>
      <c r="B57" s="1335"/>
      <c r="C57" s="1335"/>
      <c r="D57" s="1335"/>
      <c r="E57" s="1335"/>
      <c r="F57" s="1335"/>
      <c r="G57" s="1335"/>
      <c r="H57" s="1335"/>
      <c r="I57" s="1335"/>
      <c r="J57" s="13">
        <f>SUM(J55:J56)</f>
        <v>8.3333333333333356E-2</v>
      </c>
      <c r="K57" s="13">
        <f>SUM(K55:K56)</f>
        <v>1.3888888888888897E-4</v>
      </c>
    </row>
    <row r="58" spans="1:11" ht="18.75" customHeight="1" x14ac:dyDescent="0.45">
      <c r="A58" s="1335" t="s">
        <v>209</v>
      </c>
      <c r="B58" s="1335"/>
      <c r="C58" s="1335"/>
      <c r="D58" s="1335"/>
      <c r="E58" s="1335"/>
      <c r="F58" s="1335"/>
      <c r="G58" s="1338" t="s">
        <v>210</v>
      </c>
      <c r="H58" s="1338"/>
      <c r="I58" s="1338"/>
      <c r="J58" s="13">
        <f>SQRT(J57)</f>
        <v>0.28867513459481292</v>
      </c>
      <c r="K58" s="13"/>
    </row>
    <row r="59" spans="1:11" ht="18.75" customHeight="1" x14ac:dyDescent="0.45">
      <c r="A59" s="1335" t="s">
        <v>211</v>
      </c>
      <c r="B59" s="1335"/>
      <c r="C59" s="1335"/>
      <c r="D59" s="1335"/>
      <c r="E59" s="1335"/>
      <c r="F59" s="1335"/>
      <c r="G59" s="1336" t="s">
        <v>212</v>
      </c>
      <c r="H59" s="1336"/>
      <c r="I59" s="1336"/>
      <c r="J59" s="13">
        <f>J58^4/(K57)</f>
        <v>50</v>
      </c>
      <c r="K59" s="13"/>
    </row>
    <row r="60" spans="1:11" ht="18.75" customHeight="1" x14ac:dyDescent="0.3">
      <c r="A60" s="1335" t="s">
        <v>213</v>
      </c>
      <c r="B60" s="1335"/>
      <c r="C60" s="1335"/>
      <c r="D60" s="1335"/>
      <c r="E60" s="1335"/>
      <c r="F60" s="1335"/>
      <c r="G60" s="1337" t="s">
        <v>214</v>
      </c>
      <c r="H60" s="1337"/>
      <c r="I60" s="1337"/>
      <c r="J60" s="13">
        <f>1.95996+(2.37356/J59)+(2.818745/J59^2)+(2.546662/J59^3)+(1.761829/J59^4)+(0.245458/J59^5)+(1.000764/J59^6)</f>
        <v>2.008579354038154</v>
      </c>
      <c r="K60" s="13"/>
    </row>
    <row r="61" spans="1:11" ht="18.75" customHeight="1" x14ac:dyDescent="0.3">
      <c r="A61" s="1335" t="s">
        <v>215</v>
      </c>
      <c r="B61" s="1335"/>
      <c r="C61" s="1335"/>
      <c r="D61" s="1335"/>
      <c r="E61" s="1335"/>
      <c r="F61" s="1335"/>
      <c r="G61" s="1337" t="s">
        <v>216</v>
      </c>
      <c r="H61" s="1337"/>
      <c r="I61" s="1337"/>
      <c r="J61" s="13">
        <f>J60*J58</f>
        <v>0.57982691537132647</v>
      </c>
      <c r="K61" s="14" t="s">
        <v>224</v>
      </c>
    </row>
    <row r="62" spans="1:11" ht="18.75" customHeight="1" x14ac:dyDescent="0.3">
      <c r="A62" s="630"/>
      <c r="B62" s="630"/>
      <c r="C62" s="630"/>
      <c r="D62" s="630"/>
      <c r="E62" s="630"/>
      <c r="F62" s="630"/>
      <c r="G62" s="631"/>
      <c r="H62" s="631"/>
      <c r="I62" s="631"/>
      <c r="J62" s="16"/>
      <c r="K62" s="17"/>
    </row>
    <row r="63" spans="1:11" ht="18.75" customHeight="1" x14ac:dyDescent="0.3">
      <c r="A63" s="625" t="s">
        <v>230</v>
      </c>
      <c r="B63" s="627"/>
      <c r="C63" s="627"/>
      <c r="D63" s="627"/>
      <c r="E63" s="627"/>
      <c r="F63" s="627"/>
      <c r="G63" s="627"/>
      <c r="H63" s="627"/>
      <c r="I63" s="627"/>
      <c r="J63" s="627"/>
      <c r="K63" s="627"/>
    </row>
    <row r="64" spans="1:11" ht="18.75" customHeight="1" x14ac:dyDescent="0.3">
      <c r="A64" s="628" t="s">
        <v>193</v>
      </c>
      <c r="B64" s="628" t="s">
        <v>194</v>
      </c>
      <c r="C64" s="628" t="s">
        <v>195</v>
      </c>
      <c r="D64" s="628" t="s">
        <v>196</v>
      </c>
      <c r="E64" s="628" t="s">
        <v>197</v>
      </c>
      <c r="F64" s="628" t="s">
        <v>198</v>
      </c>
      <c r="G64" s="628" t="s">
        <v>199</v>
      </c>
      <c r="H64" s="628" t="s">
        <v>200</v>
      </c>
      <c r="I64" s="628" t="s">
        <v>201</v>
      </c>
      <c r="J64" s="628" t="s">
        <v>202</v>
      </c>
      <c r="K64" s="628" t="s">
        <v>203</v>
      </c>
    </row>
    <row r="65" spans="1:12" ht="18.75" customHeight="1" x14ac:dyDescent="0.25">
      <c r="A65" s="5" t="s">
        <v>204</v>
      </c>
      <c r="B65" s="6">
        <f>ID!N95</f>
        <v>0</v>
      </c>
      <c r="C65" s="629" t="s">
        <v>224</v>
      </c>
      <c r="D65" s="5" t="s">
        <v>206</v>
      </c>
      <c r="E65" s="13">
        <f>SQRT(6)</f>
        <v>2.4494897427831779</v>
      </c>
      <c r="F65" s="13">
        <f>B65/E65</f>
        <v>0</v>
      </c>
      <c r="G65" s="13">
        <f>6-1</f>
        <v>5</v>
      </c>
      <c r="H65" s="13">
        <v>1</v>
      </c>
      <c r="I65" s="13">
        <f>F65*H65</f>
        <v>0</v>
      </c>
      <c r="J65" s="13">
        <f>I65^2</f>
        <v>0</v>
      </c>
      <c r="K65" s="13">
        <f>(J65^2)/G65</f>
        <v>0</v>
      </c>
    </row>
    <row r="66" spans="1:12" ht="18.75" customHeight="1" x14ac:dyDescent="0.25">
      <c r="A66" s="5" t="s">
        <v>6</v>
      </c>
      <c r="B66" s="6">
        <f>1*0.5</f>
        <v>0.5</v>
      </c>
      <c r="C66" s="629" t="s">
        <v>224</v>
      </c>
      <c r="D66" s="5" t="s">
        <v>207</v>
      </c>
      <c r="E66" s="13">
        <f>SQRT(3)</f>
        <v>1.7320508075688772</v>
      </c>
      <c r="F66" s="13">
        <f>B66/E66</f>
        <v>0.28867513459481292</v>
      </c>
      <c r="G66" s="13">
        <v>50</v>
      </c>
      <c r="H66" s="13">
        <v>1</v>
      </c>
      <c r="I66" s="13">
        <f>F66*H66</f>
        <v>0.28867513459481292</v>
      </c>
      <c r="J66" s="13">
        <f>I66^2</f>
        <v>8.3333333333333356E-2</v>
      </c>
      <c r="K66" s="13">
        <f>(J66^2)/G66</f>
        <v>1.3888888888888897E-4</v>
      </c>
    </row>
    <row r="67" spans="1:12" ht="18.75" customHeight="1" x14ac:dyDescent="0.3">
      <c r="A67" s="1335" t="s">
        <v>208</v>
      </c>
      <c r="B67" s="1335"/>
      <c r="C67" s="1335"/>
      <c r="D67" s="1335"/>
      <c r="E67" s="1335"/>
      <c r="F67" s="1335"/>
      <c r="G67" s="1335"/>
      <c r="H67" s="1335"/>
      <c r="I67" s="1335"/>
      <c r="J67" s="13">
        <f>SUM(J65:J66)</f>
        <v>8.3333333333333356E-2</v>
      </c>
      <c r="K67" s="13">
        <f>SUM(K65:K66)</f>
        <v>1.3888888888888897E-4</v>
      </c>
    </row>
    <row r="68" spans="1:12" ht="18.75" customHeight="1" x14ac:dyDescent="0.45">
      <c r="A68" s="1335" t="s">
        <v>209</v>
      </c>
      <c r="B68" s="1335"/>
      <c r="C68" s="1335"/>
      <c r="D68" s="1335"/>
      <c r="E68" s="1335"/>
      <c r="F68" s="1335"/>
      <c r="G68" s="1338" t="s">
        <v>210</v>
      </c>
      <c r="H68" s="1338"/>
      <c r="I68" s="1338"/>
      <c r="J68" s="13">
        <f>SQRT(J67)</f>
        <v>0.28867513459481292</v>
      </c>
      <c r="K68" s="13"/>
    </row>
    <row r="69" spans="1:12" ht="18.75" customHeight="1" x14ac:dyDescent="0.45">
      <c r="A69" s="1335" t="s">
        <v>211</v>
      </c>
      <c r="B69" s="1335"/>
      <c r="C69" s="1335"/>
      <c r="D69" s="1335"/>
      <c r="E69" s="1335"/>
      <c r="F69" s="1335"/>
      <c r="G69" s="1336" t="s">
        <v>212</v>
      </c>
      <c r="H69" s="1336"/>
      <c r="I69" s="1336"/>
      <c r="J69" s="13">
        <f>J68^4/(K67)</f>
        <v>50</v>
      </c>
      <c r="K69" s="13"/>
    </row>
    <row r="70" spans="1:12" ht="18.75" customHeight="1" x14ac:dyDescent="0.3">
      <c r="A70" s="1335" t="s">
        <v>213</v>
      </c>
      <c r="B70" s="1335"/>
      <c r="C70" s="1335"/>
      <c r="D70" s="1335"/>
      <c r="E70" s="1335"/>
      <c r="F70" s="1335"/>
      <c r="G70" s="1337" t="s">
        <v>214</v>
      </c>
      <c r="H70" s="1337"/>
      <c r="I70" s="1337"/>
      <c r="J70" s="13">
        <f>1.95996+(2.37356/J69)+(2.818745/J69^2)+(2.546662/J69^3)+(1.761829/J69^4)+(0.245458/J69^5)+(1.000764/J69^6)</f>
        <v>2.008579354038154</v>
      </c>
      <c r="K70" s="13"/>
    </row>
    <row r="71" spans="1:12" ht="18.75" customHeight="1" x14ac:dyDescent="0.3">
      <c r="A71" s="1335" t="s">
        <v>215</v>
      </c>
      <c r="B71" s="1335"/>
      <c r="C71" s="1335"/>
      <c r="D71" s="1335"/>
      <c r="E71" s="1335"/>
      <c r="F71" s="1335"/>
      <c r="G71" s="1337" t="s">
        <v>216</v>
      </c>
      <c r="H71" s="1337"/>
      <c r="I71" s="1337"/>
      <c r="J71" s="13">
        <f>J70*J68</f>
        <v>0.57982691537132647</v>
      </c>
      <c r="K71" s="14" t="s">
        <v>224</v>
      </c>
    </row>
    <row r="72" spans="1:12" ht="18.75" customHeight="1" x14ac:dyDescent="0.3">
      <c r="A72" s="630"/>
      <c r="B72" s="630"/>
      <c r="C72" s="630"/>
      <c r="D72" s="630"/>
      <c r="E72" s="630"/>
      <c r="F72" s="630"/>
      <c r="G72" s="631"/>
      <c r="H72" s="631"/>
      <c r="I72" s="631"/>
      <c r="J72" s="16"/>
      <c r="K72" s="17"/>
    </row>
    <row r="73" spans="1:12" x14ac:dyDescent="0.25">
      <c r="A73" s="627"/>
      <c r="B73" s="627"/>
      <c r="C73" s="627"/>
      <c r="D73" s="627"/>
      <c r="E73" s="627"/>
      <c r="F73" s="627"/>
      <c r="G73" s="627"/>
      <c r="H73" s="627"/>
      <c r="I73" s="627"/>
      <c r="J73" s="627"/>
      <c r="K73" s="627"/>
    </row>
    <row r="74" spans="1:12" ht="37.5" customHeight="1" x14ac:dyDescent="0.25">
      <c r="A74" s="633"/>
      <c r="B74" s="1324"/>
      <c r="C74" s="1325"/>
      <c r="D74" s="1325"/>
      <c r="E74" s="1326"/>
      <c r="F74" s="627"/>
      <c r="G74" s="627"/>
      <c r="H74" s="627"/>
      <c r="I74" s="627"/>
      <c r="J74" s="627"/>
      <c r="K74" s="627"/>
    </row>
    <row r="75" spans="1:12" ht="13" x14ac:dyDescent="0.3">
      <c r="A75" s="634"/>
      <c r="B75" s="634"/>
      <c r="C75" s="6"/>
      <c r="D75" s="5"/>
      <c r="E75" s="6"/>
      <c r="F75" s="627"/>
      <c r="G75" s="627"/>
      <c r="H75" s="627"/>
      <c r="I75" s="627"/>
      <c r="J75" s="627"/>
      <c r="K75" s="627"/>
    </row>
    <row r="76" spans="1:12" ht="13" x14ac:dyDescent="0.3">
      <c r="A76" s="635"/>
      <c r="B76" s="635"/>
      <c r="C76" s="6"/>
      <c r="D76" s="5"/>
      <c r="E76" s="5"/>
      <c r="F76" s="627"/>
      <c r="G76" s="1321"/>
      <c r="H76" s="1322"/>
      <c r="I76" s="1322"/>
      <c r="J76" s="1323"/>
      <c r="K76" s="5"/>
      <c r="L76" s="627"/>
    </row>
    <row r="77" spans="1:12" x14ac:dyDescent="0.25">
      <c r="A77" s="636"/>
      <c r="B77" s="636"/>
      <c r="C77" s="636"/>
      <c r="D77" s="636"/>
      <c r="E77" s="636"/>
      <c r="F77" s="627"/>
      <c r="G77" s="3"/>
      <c r="H77" s="3"/>
      <c r="I77" s="3"/>
      <c r="J77" s="3"/>
      <c r="K77" s="5"/>
      <c r="L77" s="6"/>
    </row>
    <row r="78" spans="1:12" x14ac:dyDescent="0.25">
      <c r="A78" s="637"/>
      <c r="B78" s="637"/>
      <c r="C78" s="637"/>
      <c r="D78" s="637"/>
      <c r="E78" s="637"/>
      <c r="F78" s="627"/>
      <c r="G78" s="3"/>
      <c r="H78" s="3"/>
      <c r="I78" s="3"/>
      <c r="J78" s="3"/>
      <c r="K78" s="5"/>
      <c r="L78" s="6"/>
    </row>
    <row r="79" spans="1:12" x14ac:dyDescent="0.25">
      <c r="A79" s="5"/>
      <c r="B79" s="5"/>
      <c r="C79" s="5"/>
      <c r="D79" s="5"/>
      <c r="E79" s="5"/>
      <c r="F79" s="627"/>
      <c r="G79" s="3"/>
      <c r="H79" s="3"/>
      <c r="I79" s="3"/>
      <c r="J79" s="3"/>
      <c r="K79" s="627"/>
    </row>
    <row r="80" spans="1:12" x14ac:dyDescent="0.25">
      <c r="A80" s="5"/>
      <c r="B80" s="5"/>
      <c r="C80" s="5"/>
      <c r="D80" s="5"/>
      <c r="E80" s="5"/>
      <c r="F80" s="627"/>
      <c r="G80" s="1327"/>
      <c r="H80" s="1328"/>
      <c r="I80" s="1328"/>
      <c r="J80" s="1329"/>
      <c r="K80" s="627"/>
    </row>
    <row r="81" spans="1:15" x14ac:dyDescent="0.25">
      <c r="A81" s="5"/>
      <c r="B81" s="5"/>
      <c r="C81" s="5"/>
      <c r="D81" s="5"/>
      <c r="E81" s="5"/>
      <c r="F81" s="627"/>
      <c r="G81" s="3"/>
      <c r="H81" s="3"/>
      <c r="I81" s="3"/>
      <c r="J81" s="3"/>
      <c r="K81" s="627"/>
    </row>
    <row r="82" spans="1:15" x14ac:dyDescent="0.25">
      <c r="A82" s="5"/>
      <c r="B82" s="5"/>
      <c r="C82" s="5"/>
      <c r="D82" s="5"/>
      <c r="E82" s="5"/>
      <c r="F82" s="627"/>
      <c r="G82" s="3"/>
      <c r="H82" s="3"/>
      <c r="I82" s="3"/>
      <c r="J82" s="3"/>
      <c r="K82" s="627"/>
    </row>
    <row r="83" spans="1:15" x14ac:dyDescent="0.25">
      <c r="A83" s="5"/>
      <c r="B83" s="5"/>
      <c r="C83" s="6"/>
      <c r="D83" s="5"/>
      <c r="E83" s="5"/>
      <c r="F83" s="627"/>
      <c r="G83" s="3"/>
      <c r="H83" s="3"/>
      <c r="I83" s="3"/>
      <c r="J83" s="3"/>
      <c r="K83" s="627"/>
    </row>
    <row r="84" spans="1:15" x14ac:dyDescent="0.25">
      <c r="A84" s="638"/>
      <c r="B84" s="638"/>
      <c r="C84" s="627"/>
      <c r="D84" s="638"/>
      <c r="E84" s="638"/>
      <c r="F84" s="627"/>
      <c r="G84" s="4"/>
      <c r="H84" s="4"/>
      <c r="I84" s="4"/>
      <c r="J84" s="4"/>
      <c r="K84" s="627"/>
    </row>
    <row r="85" spans="1:15" ht="48" customHeight="1" x14ac:dyDescent="0.25">
      <c r="A85" s="1330"/>
      <c r="B85" s="1330"/>
      <c r="C85" s="1330"/>
      <c r="D85" s="1330"/>
      <c r="E85" s="1330"/>
      <c r="F85" s="1330"/>
      <c r="G85" s="1330"/>
      <c r="H85" s="1330"/>
      <c r="I85" s="1330"/>
      <c r="J85" s="1330"/>
      <c r="K85" s="1330"/>
      <c r="L85" s="1330"/>
      <c r="M85" s="1330"/>
      <c r="N85" s="1330"/>
      <c r="O85" s="1330"/>
    </row>
    <row r="86" spans="1:15" ht="18.75" customHeight="1" x14ac:dyDescent="0.25">
      <c r="A86" s="639"/>
      <c r="B86" s="639"/>
      <c r="C86" s="639"/>
      <c r="D86" s="639"/>
      <c r="E86" s="639"/>
      <c r="F86" s="640"/>
      <c r="G86" s="641"/>
      <c r="H86" s="641"/>
      <c r="I86" s="639"/>
      <c r="J86" s="639"/>
      <c r="K86" s="639"/>
      <c r="L86" s="639"/>
      <c r="M86" s="639"/>
      <c r="N86" s="639"/>
      <c r="O86" s="639"/>
    </row>
    <row r="87" spans="1:15" x14ac:dyDescent="0.25">
      <c r="A87" s="1317"/>
      <c r="B87" s="1331"/>
      <c r="C87" s="1332"/>
      <c r="D87" s="1333"/>
      <c r="F87" s="641"/>
      <c r="G87" s="1334"/>
      <c r="H87" s="1334"/>
      <c r="I87" s="642"/>
      <c r="J87" s="643"/>
      <c r="K87" s="644"/>
    </row>
    <row r="88" spans="1:15" x14ac:dyDescent="0.25">
      <c r="A88" s="1318"/>
      <c r="B88" s="13"/>
      <c r="C88" s="13"/>
      <c r="D88" s="629"/>
      <c r="F88" s="641"/>
      <c r="G88" s="645"/>
      <c r="H88" s="645"/>
    </row>
    <row r="89" spans="1:15" x14ac:dyDescent="0.25">
      <c r="A89" s="646"/>
      <c r="B89" s="647"/>
      <c r="C89" s="13"/>
      <c r="D89" s="648"/>
      <c r="F89" s="641"/>
      <c r="G89" s="645"/>
      <c r="H89" s="645"/>
    </row>
    <row r="90" spans="1:15" x14ac:dyDescent="0.25">
      <c r="A90" s="646"/>
      <c r="B90" s="647"/>
      <c r="C90" s="13"/>
      <c r="D90" s="648"/>
      <c r="F90" s="641"/>
      <c r="G90" s="646"/>
      <c r="H90" s="645"/>
    </row>
    <row r="91" spans="1:15" x14ac:dyDescent="0.25">
      <c r="A91" s="648"/>
      <c r="B91" s="18"/>
      <c r="C91" s="18"/>
      <c r="D91" s="648"/>
      <c r="F91" s="641"/>
      <c r="G91" s="648"/>
      <c r="H91" s="645"/>
    </row>
    <row r="92" spans="1:15" x14ac:dyDescent="0.25">
      <c r="A92" s="648"/>
      <c r="B92" s="18"/>
      <c r="C92" s="18"/>
      <c r="D92" s="648"/>
      <c r="F92" s="641"/>
      <c r="G92" s="648"/>
      <c r="H92" s="645"/>
    </row>
    <row r="93" spans="1:15" x14ac:dyDescent="0.25">
      <c r="A93" s="648"/>
      <c r="B93" s="18"/>
      <c r="C93" s="18"/>
      <c r="D93" s="648"/>
      <c r="F93" s="641"/>
      <c r="G93" s="648"/>
      <c r="H93" s="645"/>
    </row>
    <row r="94" spans="1:15" x14ac:dyDescent="0.25">
      <c r="A94" s="648"/>
      <c r="B94" s="18"/>
      <c r="C94" s="18"/>
      <c r="D94" s="648"/>
      <c r="F94" s="641"/>
      <c r="G94" s="648"/>
      <c r="H94" s="645"/>
    </row>
    <row r="95" spans="1:15" x14ac:dyDescent="0.25">
      <c r="A95" s="648"/>
      <c r="B95" s="18"/>
      <c r="C95" s="18"/>
      <c r="D95" s="648"/>
      <c r="F95" s="641"/>
      <c r="G95" s="648"/>
      <c r="H95" s="645"/>
    </row>
    <row r="96" spans="1:15" x14ac:dyDescent="0.25">
      <c r="A96" s="648"/>
      <c r="B96" s="18"/>
      <c r="C96" s="18"/>
      <c r="D96" s="648"/>
      <c r="F96" s="641"/>
      <c r="G96" s="648"/>
      <c r="H96" s="645"/>
    </row>
    <row r="97" spans="1:34" x14ac:dyDescent="0.25">
      <c r="H97" s="642"/>
    </row>
    <row r="98" spans="1:34" ht="15.5" x14ac:dyDescent="0.35">
      <c r="A98" s="649"/>
      <c r="G98" s="650"/>
      <c r="H98" s="651"/>
      <c r="I98" s="651"/>
    </row>
    <row r="99" spans="1:34" ht="15" x14ac:dyDescent="0.3">
      <c r="A99" s="1317"/>
      <c r="B99" s="1319"/>
      <c r="F99" s="651"/>
      <c r="G99" s="652"/>
      <c r="H99" s="1321"/>
      <c r="I99" s="1322"/>
      <c r="J99" s="1322"/>
      <c r="K99" s="1322"/>
      <c r="L99" s="1323"/>
      <c r="M99" s="1319"/>
    </row>
    <row r="100" spans="1:34" x14ac:dyDescent="0.25">
      <c r="A100" s="1318"/>
      <c r="B100" s="1320"/>
      <c r="F100" s="20"/>
      <c r="G100" s="653"/>
      <c r="H100" s="645"/>
      <c r="I100" s="3"/>
      <c r="J100" s="645"/>
      <c r="K100" s="629"/>
      <c r="L100" s="645"/>
      <c r="M100" s="1319"/>
    </row>
    <row r="101" spans="1:34" ht="13" x14ac:dyDescent="0.3">
      <c r="A101" s="646"/>
      <c r="B101" s="19"/>
      <c r="F101" s="20"/>
      <c r="G101" s="646"/>
      <c r="H101" s="654"/>
      <c r="I101" s="655"/>
      <c r="J101" s="656"/>
      <c r="K101" s="657"/>
      <c r="L101" s="656"/>
      <c r="M101" s="658"/>
    </row>
    <row r="102" spans="1:34" ht="13" x14ac:dyDescent="0.3">
      <c r="A102" s="648"/>
      <c r="B102" s="19"/>
      <c r="F102" s="20"/>
      <c r="G102" s="648"/>
      <c r="H102" s="659"/>
      <c r="I102" s="660"/>
      <c r="J102" s="656"/>
      <c r="K102" s="657"/>
      <c r="L102" s="656"/>
      <c r="M102" s="654"/>
      <c r="N102" s="661"/>
    </row>
    <row r="103" spans="1:34" ht="13" x14ac:dyDescent="0.3">
      <c r="A103" s="648"/>
      <c r="B103" s="19"/>
      <c r="F103" s="20"/>
      <c r="G103" s="648"/>
      <c r="H103" s="659"/>
      <c r="I103" s="660"/>
      <c r="J103" s="656"/>
      <c r="K103" s="657"/>
      <c r="L103" s="656"/>
      <c r="M103" s="654"/>
      <c r="N103" s="661"/>
    </row>
    <row r="104" spans="1:34" ht="15" x14ac:dyDescent="0.3">
      <c r="A104" s="648"/>
      <c r="B104" s="19"/>
      <c r="F104" s="651"/>
      <c r="G104" s="648"/>
      <c r="H104" s="635"/>
      <c r="I104" s="660"/>
      <c r="J104" s="656"/>
      <c r="K104" s="657"/>
      <c r="L104" s="656"/>
      <c r="M104" s="654"/>
      <c r="N104" s="661"/>
    </row>
    <row r="105" spans="1:34" ht="15" x14ac:dyDescent="0.3">
      <c r="A105" s="648"/>
      <c r="B105" s="19"/>
      <c r="F105" s="651"/>
      <c r="G105" s="648"/>
      <c r="H105" s="635"/>
      <c r="I105" s="660"/>
      <c r="J105" s="656"/>
      <c r="K105" s="657"/>
      <c r="L105" s="656"/>
      <c r="M105" s="654"/>
      <c r="N105" s="661"/>
    </row>
    <row r="106" spans="1:34" ht="13" x14ac:dyDescent="0.3">
      <c r="A106" s="648"/>
      <c r="B106" s="19"/>
      <c r="F106" s="20"/>
      <c r="G106" s="648"/>
      <c r="H106" s="659"/>
      <c r="I106" s="656"/>
      <c r="J106" s="656"/>
      <c r="K106" s="657"/>
      <c r="L106" s="656"/>
      <c r="M106" s="654"/>
      <c r="N106" s="661"/>
    </row>
    <row r="107" spans="1:34" ht="13" x14ac:dyDescent="0.3">
      <c r="A107" s="648"/>
      <c r="B107" s="19"/>
      <c r="F107" s="20"/>
      <c r="G107" s="648"/>
      <c r="H107" s="659"/>
      <c r="I107" s="656"/>
      <c r="J107" s="656"/>
      <c r="K107" s="657"/>
      <c r="L107" s="656"/>
      <c r="M107" s="654"/>
      <c r="N107" s="661"/>
    </row>
    <row r="108" spans="1:34" x14ac:dyDescent="0.25">
      <c r="D108" s="627"/>
      <c r="E108" s="627"/>
      <c r="F108" s="627"/>
    </row>
    <row r="109" spans="1:34" ht="41.25" customHeight="1" x14ac:dyDescent="0.25">
      <c r="A109" s="1313"/>
      <c r="B109" s="1313"/>
      <c r="C109" s="1313"/>
      <c r="D109" s="1313"/>
      <c r="E109" s="1313"/>
      <c r="F109" s="1313"/>
      <c r="G109" s="1313"/>
      <c r="H109" s="1313"/>
      <c r="I109" s="1313"/>
      <c r="J109" s="1313"/>
      <c r="K109" s="1313"/>
      <c r="L109" s="1313"/>
      <c r="M109" s="1313"/>
      <c r="N109" s="1313"/>
      <c r="O109" s="1313"/>
      <c r="P109" s="1313"/>
      <c r="Q109" s="1313"/>
      <c r="R109" s="1313"/>
      <c r="S109" s="1313"/>
      <c r="T109" s="1313"/>
      <c r="U109" s="1313"/>
      <c r="V109" s="1313"/>
      <c r="W109" s="1313"/>
      <c r="X109" s="1313"/>
      <c r="Y109" s="1313"/>
      <c r="Z109" s="1313"/>
      <c r="AA109" s="1313"/>
      <c r="AB109" s="1313"/>
      <c r="AC109" s="1313"/>
      <c r="AD109" s="662"/>
      <c r="AE109" s="662"/>
      <c r="AF109" s="662"/>
      <c r="AG109" s="662"/>
      <c r="AH109" s="662"/>
    </row>
    <row r="110" spans="1:34" ht="21" customHeight="1" thickBot="1" x14ac:dyDescent="0.3">
      <c r="A110" s="1309"/>
      <c r="B110" s="1309"/>
      <c r="C110" s="1309"/>
      <c r="D110" s="1309"/>
      <c r="E110" s="663"/>
      <c r="F110" s="1309"/>
      <c r="G110" s="1309"/>
      <c r="H110" s="1309"/>
      <c r="I110" s="1309"/>
      <c r="J110" s="663"/>
      <c r="K110" s="1309"/>
      <c r="L110" s="1309"/>
      <c r="M110" s="1309"/>
      <c r="N110" s="1309"/>
      <c r="O110" s="662"/>
      <c r="P110" s="1309"/>
      <c r="Q110" s="1309"/>
      <c r="R110" s="1309"/>
      <c r="S110" s="1309"/>
      <c r="T110" s="662"/>
      <c r="U110" s="1309"/>
      <c r="V110" s="1309"/>
      <c r="W110" s="1309"/>
      <c r="X110" s="1309"/>
      <c r="Y110" s="662"/>
      <c r="Z110" s="1309"/>
      <c r="AA110" s="1309"/>
      <c r="AB110" s="1309"/>
      <c r="AC110" s="1309"/>
      <c r="AD110" s="662"/>
      <c r="AE110" s="1309"/>
      <c r="AF110" s="1309"/>
      <c r="AG110" s="1309"/>
      <c r="AH110" s="1309"/>
    </row>
    <row r="111" spans="1:34" ht="15" x14ac:dyDescent="0.3">
      <c r="A111" s="1310"/>
      <c r="B111" s="1311"/>
      <c r="C111" s="1311"/>
      <c r="D111" s="1312"/>
      <c r="F111" s="1310"/>
      <c r="G111" s="1311"/>
      <c r="H111" s="1311"/>
      <c r="I111" s="1312"/>
      <c r="J111" s="664"/>
      <c r="K111" s="1310"/>
      <c r="L111" s="1311"/>
      <c r="M111" s="1311"/>
      <c r="N111" s="1312"/>
      <c r="P111" s="1310"/>
      <c r="Q111" s="1311"/>
      <c r="R111" s="1311"/>
      <c r="S111" s="1312"/>
      <c r="U111" s="1310"/>
      <c r="V111" s="1311"/>
      <c r="W111" s="1311"/>
      <c r="X111" s="1312"/>
      <c r="Z111" s="1310"/>
      <c r="AA111" s="1311"/>
      <c r="AB111" s="1311"/>
      <c r="AC111" s="1312"/>
      <c r="AE111" s="1310"/>
      <c r="AF111" s="1311"/>
      <c r="AG111" s="1311"/>
      <c r="AH111" s="1312"/>
    </row>
    <row r="112" spans="1:34" x14ac:dyDescent="0.25">
      <c r="A112" s="9"/>
      <c r="B112" s="665"/>
      <c r="C112" s="665"/>
      <c r="D112" s="8"/>
      <c r="F112" s="9"/>
      <c r="G112" s="665"/>
      <c r="H112" s="665"/>
      <c r="I112" s="8"/>
      <c r="J112" s="4"/>
      <c r="K112" s="9"/>
      <c r="L112" s="665"/>
      <c r="M112" s="665"/>
      <c r="N112" s="8"/>
      <c r="P112" s="9"/>
      <c r="Q112" s="665"/>
      <c r="R112" s="665"/>
      <c r="S112" s="8"/>
      <c r="U112" s="9"/>
      <c r="V112" s="665"/>
      <c r="W112" s="665"/>
      <c r="X112" s="8"/>
      <c r="Z112" s="9"/>
      <c r="AA112" s="665"/>
      <c r="AB112" s="665"/>
      <c r="AC112" s="8"/>
      <c r="AE112" s="9"/>
      <c r="AF112" s="665"/>
      <c r="AG112" s="665"/>
      <c r="AH112" s="8"/>
    </row>
    <row r="113" spans="1:34" x14ac:dyDescent="0.25">
      <c r="A113" s="9"/>
      <c r="B113" s="665"/>
      <c r="C113" s="665"/>
      <c r="D113" s="8"/>
      <c r="F113" s="9"/>
      <c r="G113" s="665"/>
      <c r="H113" s="665"/>
      <c r="I113" s="8"/>
      <c r="J113" s="4"/>
      <c r="K113" s="9"/>
      <c r="L113" s="665"/>
      <c r="M113" s="665"/>
      <c r="N113" s="8"/>
      <c r="P113" s="9"/>
      <c r="Q113" s="665"/>
      <c r="R113" s="665"/>
      <c r="S113" s="8"/>
      <c r="U113" s="9"/>
      <c r="V113" s="665"/>
      <c r="W113" s="665"/>
      <c r="X113" s="8"/>
      <c r="Z113" s="9"/>
      <c r="AA113" s="665"/>
      <c r="AB113" s="665"/>
      <c r="AC113" s="8"/>
      <c r="AE113" s="9"/>
      <c r="AF113" s="665"/>
      <c r="AG113" s="665"/>
      <c r="AH113" s="8"/>
    </row>
    <row r="114" spans="1:34" ht="13" thickBot="1" x14ac:dyDescent="0.3">
      <c r="A114" s="11"/>
      <c r="B114" s="666"/>
      <c r="C114" s="666"/>
      <c r="D114" s="12"/>
      <c r="F114" s="11"/>
      <c r="G114" s="666"/>
      <c r="H114" s="666"/>
      <c r="I114" s="12"/>
      <c r="J114" s="4"/>
      <c r="K114" s="11"/>
      <c r="L114" s="666"/>
      <c r="M114" s="666"/>
      <c r="N114" s="12"/>
      <c r="P114" s="11"/>
      <c r="Q114" s="666"/>
      <c r="R114" s="666"/>
      <c r="S114" s="12"/>
      <c r="U114" s="11"/>
      <c r="V114" s="666"/>
      <c r="W114" s="666"/>
      <c r="X114" s="12"/>
      <c r="Z114" s="11"/>
      <c r="AA114" s="666"/>
      <c r="AB114" s="666"/>
      <c r="AC114" s="12"/>
      <c r="AE114" s="11"/>
      <c r="AF114" s="666"/>
      <c r="AG114" s="666"/>
      <c r="AH114" s="12"/>
    </row>
    <row r="115" spans="1:34" ht="15.5" thickBot="1" x14ac:dyDescent="0.35">
      <c r="A115" s="4"/>
      <c r="B115" s="10"/>
      <c r="C115" s="10"/>
      <c r="D115" s="10"/>
      <c r="F115" s="4"/>
      <c r="G115" s="10"/>
      <c r="H115" s="10"/>
      <c r="I115" s="10"/>
      <c r="J115" s="664"/>
      <c r="K115" s="4"/>
      <c r="L115" s="10"/>
      <c r="M115" s="10"/>
      <c r="N115" s="10"/>
      <c r="P115" s="4"/>
      <c r="Q115" s="10"/>
      <c r="R115" s="10"/>
      <c r="S115" s="10"/>
      <c r="U115" s="4"/>
      <c r="V115" s="10"/>
      <c r="W115" s="10"/>
      <c r="X115" s="10"/>
      <c r="Z115" s="4"/>
      <c r="AA115" s="10"/>
      <c r="AB115" s="10"/>
      <c r="AC115" s="10"/>
      <c r="AE115" s="4"/>
      <c r="AF115" s="10"/>
      <c r="AG115" s="10"/>
      <c r="AH115" s="10"/>
    </row>
    <row r="116" spans="1:34" ht="15" x14ac:dyDescent="0.3">
      <c r="A116" s="1314"/>
      <c r="B116" s="1315"/>
      <c r="C116" s="1315"/>
      <c r="D116" s="1316"/>
      <c r="E116" s="667"/>
      <c r="F116" s="1314"/>
      <c r="G116" s="1315"/>
      <c r="H116" s="1315"/>
      <c r="I116" s="1316"/>
      <c r="J116" s="36"/>
      <c r="K116" s="1314"/>
      <c r="L116" s="1315"/>
      <c r="M116" s="1315"/>
      <c r="N116" s="1316"/>
      <c r="O116" s="667"/>
      <c r="P116" s="1314"/>
      <c r="Q116" s="1315"/>
      <c r="R116" s="1315"/>
      <c r="S116" s="1316"/>
      <c r="T116" s="667"/>
      <c r="U116" s="1314"/>
      <c r="V116" s="1315"/>
      <c r="W116" s="1315"/>
      <c r="X116" s="1316"/>
      <c r="Y116" s="667"/>
      <c r="Z116" s="1314"/>
      <c r="AA116" s="1315"/>
      <c r="AB116" s="1315"/>
      <c r="AC116" s="1316"/>
      <c r="AD116" s="667"/>
      <c r="AE116" s="1314"/>
      <c r="AF116" s="1315"/>
      <c r="AG116" s="1315"/>
      <c r="AH116" s="1316"/>
    </row>
    <row r="117" spans="1:34" x14ac:dyDescent="0.25">
      <c r="A117" s="33"/>
      <c r="B117" s="668"/>
      <c r="C117" s="668"/>
      <c r="D117" s="32"/>
      <c r="E117" s="36"/>
      <c r="F117" s="33"/>
      <c r="G117" s="668"/>
      <c r="H117" s="668"/>
      <c r="I117" s="32"/>
      <c r="J117" s="36"/>
      <c r="K117" s="33"/>
      <c r="L117" s="668"/>
      <c r="M117" s="668"/>
      <c r="N117" s="32"/>
      <c r="O117" s="667"/>
      <c r="P117" s="33"/>
      <c r="Q117" s="668"/>
      <c r="R117" s="668"/>
      <c r="S117" s="32"/>
      <c r="T117" s="667"/>
      <c r="U117" s="33"/>
      <c r="V117" s="668"/>
      <c r="W117" s="668"/>
      <c r="X117" s="32"/>
      <c r="Y117" s="667"/>
      <c r="Z117" s="33"/>
      <c r="AA117" s="668"/>
      <c r="AB117" s="668"/>
      <c r="AC117" s="32"/>
      <c r="AD117" s="667"/>
      <c r="AE117" s="33"/>
      <c r="AF117" s="668"/>
      <c r="AG117" s="668"/>
      <c r="AH117" s="32"/>
    </row>
    <row r="118" spans="1:34" x14ac:dyDescent="0.25">
      <c r="A118" s="33"/>
      <c r="B118" s="668"/>
      <c r="C118" s="668"/>
      <c r="D118" s="32"/>
      <c r="E118" s="36"/>
      <c r="F118" s="33"/>
      <c r="G118" s="668"/>
      <c r="H118" s="668"/>
      <c r="I118" s="32"/>
      <c r="J118" s="36"/>
      <c r="K118" s="33"/>
      <c r="L118" s="668"/>
      <c r="M118" s="668"/>
      <c r="N118" s="32"/>
      <c r="O118" s="667"/>
      <c r="P118" s="33"/>
      <c r="Q118" s="668"/>
      <c r="R118" s="668"/>
      <c r="S118" s="32"/>
      <c r="T118" s="667"/>
      <c r="U118" s="33"/>
      <c r="V118" s="668"/>
      <c r="W118" s="668"/>
      <c r="X118" s="32"/>
      <c r="Y118" s="667"/>
      <c r="Z118" s="33"/>
      <c r="AA118" s="668"/>
      <c r="AB118" s="668"/>
      <c r="AC118" s="32"/>
      <c r="AD118" s="667"/>
      <c r="AE118" s="33"/>
      <c r="AF118" s="668"/>
      <c r="AG118" s="668"/>
      <c r="AH118" s="32"/>
    </row>
    <row r="119" spans="1:34" ht="13" thickBot="1" x14ac:dyDescent="0.3">
      <c r="A119" s="34"/>
      <c r="B119" s="669"/>
      <c r="C119" s="669"/>
      <c r="D119" s="35"/>
      <c r="E119" s="670"/>
      <c r="F119" s="34"/>
      <c r="G119" s="669"/>
      <c r="H119" s="669"/>
      <c r="I119" s="35"/>
      <c r="J119" s="670"/>
      <c r="K119" s="34"/>
      <c r="L119" s="669"/>
      <c r="M119" s="669"/>
      <c r="N119" s="35"/>
      <c r="O119" s="667"/>
      <c r="P119" s="34"/>
      <c r="Q119" s="669"/>
      <c r="R119" s="669"/>
      <c r="S119" s="35"/>
      <c r="T119" s="667"/>
      <c r="U119" s="34"/>
      <c r="V119" s="669"/>
      <c r="W119" s="669"/>
      <c r="X119" s="35"/>
      <c r="Y119" s="667"/>
      <c r="Z119" s="34"/>
      <c r="AA119" s="669"/>
      <c r="AB119" s="669"/>
      <c r="AC119" s="35"/>
      <c r="AD119" s="667"/>
      <c r="AE119" s="34"/>
      <c r="AF119" s="669"/>
      <c r="AG119" s="669"/>
      <c r="AH119" s="35"/>
    </row>
    <row r="120" spans="1:34" ht="13" thickBot="1" x14ac:dyDescent="0.3">
      <c r="A120" s="36"/>
      <c r="B120" s="36"/>
      <c r="C120" s="36"/>
      <c r="D120" s="36"/>
      <c r="E120" s="670"/>
      <c r="F120" s="36"/>
      <c r="G120" s="36"/>
      <c r="H120" s="36"/>
      <c r="I120" s="36"/>
      <c r="J120" s="670"/>
      <c r="K120" s="36"/>
      <c r="L120" s="36"/>
      <c r="M120" s="36"/>
      <c r="N120" s="36"/>
      <c r="O120" s="667"/>
      <c r="P120" s="36"/>
      <c r="Q120" s="36"/>
      <c r="R120" s="36"/>
      <c r="S120" s="36"/>
      <c r="T120" s="667"/>
      <c r="U120" s="36"/>
      <c r="V120" s="36"/>
      <c r="W120" s="36"/>
      <c r="X120" s="36"/>
      <c r="Y120" s="667"/>
      <c r="Z120" s="36"/>
      <c r="AA120" s="36"/>
      <c r="AB120" s="36"/>
      <c r="AC120" s="36"/>
      <c r="AD120" s="667"/>
      <c r="AE120" s="36"/>
      <c r="AF120" s="36"/>
      <c r="AG120" s="36"/>
      <c r="AH120" s="36"/>
    </row>
    <row r="121" spans="1:34" ht="15" x14ac:dyDescent="0.3">
      <c r="A121" s="1314"/>
      <c r="B121" s="1315"/>
      <c r="C121" s="1315"/>
      <c r="D121" s="1316"/>
      <c r="E121" s="670"/>
      <c r="F121" s="1314"/>
      <c r="G121" s="1315"/>
      <c r="H121" s="1315"/>
      <c r="I121" s="1316"/>
      <c r="J121" s="670"/>
      <c r="K121" s="1314"/>
      <c r="L121" s="1315"/>
      <c r="M121" s="1315"/>
      <c r="N121" s="1316"/>
      <c r="O121" s="667"/>
      <c r="P121" s="1314"/>
      <c r="Q121" s="1315"/>
      <c r="R121" s="1315"/>
      <c r="S121" s="1316"/>
      <c r="T121" s="667"/>
      <c r="U121" s="1314"/>
      <c r="V121" s="1315"/>
      <c r="W121" s="1315"/>
      <c r="X121" s="1316"/>
      <c r="Y121" s="667"/>
      <c r="Z121" s="1314"/>
      <c r="AA121" s="1315"/>
      <c r="AB121" s="1315"/>
      <c r="AC121" s="1316"/>
      <c r="AD121" s="667"/>
      <c r="AE121" s="1314"/>
      <c r="AF121" s="1315"/>
      <c r="AG121" s="1315"/>
      <c r="AH121" s="1316"/>
    </row>
    <row r="122" spans="1:34" x14ac:dyDescent="0.25">
      <c r="A122" s="33"/>
      <c r="B122" s="668"/>
      <c r="C122" s="668"/>
      <c r="D122" s="32"/>
      <c r="E122" s="670"/>
      <c r="F122" s="33"/>
      <c r="G122" s="668"/>
      <c r="H122" s="668"/>
      <c r="I122" s="32"/>
      <c r="J122" s="670"/>
      <c r="K122" s="33"/>
      <c r="L122" s="668"/>
      <c r="M122" s="668"/>
      <c r="N122" s="32"/>
      <c r="O122" s="667"/>
      <c r="P122" s="33"/>
      <c r="Q122" s="668"/>
      <c r="R122" s="668"/>
      <c r="S122" s="32"/>
      <c r="T122" s="667"/>
      <c r="U122" s="33"/>
      <c r="V122" s="668"/>
      <c r="W122" s="668"/>
      <c r="X122" s="32"/>
      <c r="Y122" s="667"/>
      <c r="Z122" s="33"/>
      <c r="AA122" s="668"/>
      <c r="AB122" s="668"/>
      <c r="AC122" s="32"/>
      <c r="AD122" s="667"/>
      <c r="AE122" s="33"/>
      <c r="AF122" s="668"/>
      <c r="AG122" s="668"/>
      <c r="AH122" s="32"/>
    </row>
    <row r="123" spans="1:34" x14ac:dyDescent="0.25">
      <c r="A123" s="33"/>
      <c r="B123" s="668"/>
      <c r="C123" s="668"/>
      <c r="D123" s="32"/>
      <c r="E123" s="667"/>
      <c r="F123" s="33"/>
      <c r="G123" s="668"/>
      <c r="H123" s="668"/>
      <c r="I123" s="32"/>
      <c r="J123" s="667"/>
      <c r="K123" s="33"/>
      <c r="L123" s="668"/>
      <c r="M123" s="668"/>
      <c r="N123" s="32"/>
      <c r="O123" s="667"/>
      <c r="P123" s="33"/>
      <c r="Q123" s="668"/>
      <c r="R123" s="668"/>
      <c r="S123" s="32"/>
      <c r="T123" s="667"/>
      <c r="U123" s="33"/>
      <c r="V123" s="668"/>
      <c r="W123" s="668"/>
      <c r="X123" s="32"/>
      <c r="Y123" s="667"/>
      <c r="Z123" s="33"/>
      <c r="AA123" s="668"/>
      <c r="AB123" s="668"/>
      <c r="AC123" s="32"/>
      <c r="AD123" s="667"/>
      <c r="AE123" s="33"/>
      <c r="AF123" s="668"/>
      <c r="AG123" s="668"/>
      <c r="AH123" s="32"/>
    </row>
    <row r="124" spans="1:34" ht="13" thickBot="1" x14ac:dyDescent="0.3">
      <c r="A124" s="34"/>
      <c r="B124" s="669"/>
      <c r="C124" s="669"/>
      <c r="D124" s="35"/>
      <c r="E124" s="667"/>
      <c r="F124" s="34"/>
      <c r="G124" s="669"/>
      <c r="H124" s="669"/>
      <c r="I124" s="35"/>
      <c r="J124" s="667"/>
      <c r="K124" s="34"/>
      <c r="L124" s="669"/>
      <c r="M124" s="669"/>
      <c r="N124" s="35"/>
      <c r="O124" s="667"/>
      <c r="P124" s="34"/>
      <c r="Q124" s="669"/>
      <c r="R124" s="669"/>
      <c r="S124" s="35"/>
      <c r="T124" s="667"/>
      <c r="U124" s="34"/>
      <c r="V124" s="669"/>
      <c r="W124" s="669"/>
      <c r="X124" s="35"/>
      <c r="Y124" s="667"/>
      <c r="Z124" s="34"/>
      <c r="AA124" s="669"/>
      <c r="AB124" s="669"/>
      <c r="AC124" s="35"/>
      <c r="AD124" s="667"/>
      <c r="AE124" s="34"/>
      <c r="AF124" s="669"/>
      <c r="AG124" s="669"/>
      <c r="AH124" s="35"/>
    </row>
    <row r="125" spans="1:34" ht="13" thickBot="1" x14ac:dyDescent="0.3">
      <c r="A125" s="667"/>
      <c r="B125" s="667"/>
      <c r="C125" s="667"/>
      <c r="D125" s="667"/>
      <c r="E125" s="667"/>
      <c r="F125" s="667"/>
      <c r="G125" s="667"/>
      <c r="H125" s="667"/>
      <c r="I125" s="667"/>
      <c r="J125" s="667"/>
      <c r="K125" s="667"/>
      <c r="L125" s="667"/>
      <c r="M125" s="667"/>
      <c r="N125" s="667"/>
      <c r="O125" s="667"/>
      <c r="P125" s="667"/>
      <c r="Q125" s="667"/>
      <c r="R125" s="667"/>
      <c r="S125" s="667"/>
      <c r="T125" s="667"/>
      <c r="U125" s="667"/>
      <c r="V125" s="667"/>
      <c r="W125" s="667"/>
      <c r="X125" s="667"/>
      <c r="Y125" s="667"/>
      <c r="Z125" s="667"/>
      <c r="AA125" s="667"/>
      <c r="AB125" s="667"/>
      <c r="AC125" s="667"/>
      <c r="AD125" s="667"/>
      <c r="AE125" s="667"/>
      <c r="AF125" s="667"/>
      <c r="AG125" s="667"/>
      <c r="AH125" s="667"/>
    </row>
    <row r="126" spans="1:34" ht="15" x14ac:dyDescent="0.3">
      <c r="A126" s="1314"/>
      <c r="B126" s="1315"/>
      <c r="C126" s="1315"/>
      <c r="D126" s="1316"/>
      <c r="E126" s="667"/>
      <c r="F126" s="1314"/>
      <c r="G126" s="1315"/>
      <c r="H126" s="1315"/>
      <c r="I126" s="1316"/>
      <c r="J126" s="667"/>
      <c r="K126" s="1314"/>
      <c r="L126" s="1315"/>
      <c r="M126" s="1315"/>
      <c r="N126" s="1316"/>
      <c r="O126" s="667"/>
      <c r="P126" s="1314"/>
      <c r="Q126" s="1315"/>
      <c r="R126" s="1315"/>
      <c r="S126" s="1316"/>
      <c r="T126" s="667"/>
      <c r="U126" s="1314"/>
      <c r="V126" s="1315"/>
      <c r="W126" s="1315"/>
      <c r="X126" s="1316"/>
      <c r="Y126" s="667"/>
      <c r="Z126" s="1314"/>
      <c r="AA126" s="1315"/>
      <c r="AB126" s="1315"/>
      <c r="AC126" s="1316"/>
      <c r="AD126" s="667"/>
      <c r="AE126" s="1314"/>
      <c r="AF126" s="1315"/>
      <c r="AG126" s="1315"/>
      <c r="AH126" s="1316"/>
    </row>
    <row r="127" spans="1:34" x14ac:dyDescent="0.25">
      <c r="A127" s="33"/>
      <c r="B127" s="668"/>
      <c r="C127" s="668"/>
      <c r="D127" s="32"/>
      <c r="E127" s="667"/>
      <c r="F127" s="33"/>
      <c r="G127" s="668"/>
      <c r="H127" s="668"/>
      <c r="I127" s="32"/>
      <c r="J127" s="667"/>
      <c r="K127" s="33"/>
      <c r="L127" s="668"/>
      <c r="M127" s="668"/>
      <c r="N127" s="32"/>
      <c r="O127" s="667"/>
      <c r="P127" s="33"/>
      <c r="Q127" s="668"/>
      <c r="R127" s="668"/>
      <c r="S127" s="32"/>
      <c r="T127" s="667"/>
      <c r="U127" s="33"/>
      <c r="V127" s="668"/>
      <c r="W127" s="668"/>
      <c r="X127" s="32"/>
      <c r="Y127" s="667"/>
      <c r="Z127" s="33"/>
      <c r="AA127" s="668"/>
      <c r="AB127" s="668"/>
      <c r="AC127" s="32"/>
      <c r="AD127" s="667"/>
      <c r="AE127" s="33"/>
      <c r="AF127" s="668"/>
      <c r="AG127" s="668"/>
      <c r="AH127" s="32"/>
    </row>
    <row r="128" spans="1:34" x14ac:dyDescent="0.25">
      <c r="A128" s="33"/>
      <c r="B128" s="668"/>
      <c r="C128" s="668"/>
      <c r="D128" s="32"/>
      <c r="E128" s="667"/>
      <c r="F128" s="33"/>
      <c r="G128" s="668"/>
      <c r="H128" s="668"/>
      <c r="I128" s="32"/>
      <c r="J128" s="667"/>
      <c r="K128" s="33"/>
      <c r="L128" s="668"/>
      <c r="M128" s="668"/>
      <c r="N128" s="32"/>
      <c r="O128" s="667"/>
      <c r="P128" s="33"/>
      <c r="Q128" s="668"/>
      <c r="R128" s="668"/>
      <c r="S128" s="32"/>
      <c r="T128" s="667"/>
      <c r="U128" s="33"/>
      <c r="V128" s="668"/>
      <c r="W128" s="668"/>
      <c r="X128" s="32"/>
      <c r="Y128" s="667"/>
      <c r="Z128" s="33"/>
      <c r="AA128" s="668"/>
      <c r="AB128" s="668"/>
      <c r="AC128" s="32"/>
      <c r="AD128" s="667"/>
      <c r="AE128" s="33"/>
      <c r="AF128" s="668"/>
      <c r="AG128" s="668"/>
      <c r="AH128" s="32"/>
    </row>
    <row r="129" spans="1:34" ht="13" thickBot="1" x14ac:dyDescent="0.3">
      <c r="A129" s="34"/>
      <c r="B129" s="669"/>
      <c r="C129" s="669"/>
      <c r="D129" s="35"/>
      <c r="E129" s="667"/>
      <c r="F129" s="34"/>
      <c r="G129" s="669"/>
      <c r="H129" s="669"/>
      <c r="I129" s="35"/>
      <c r="J129" s="667"/>
      <c r="K129" s="34"/>
      <c r="L129" s="669"/>
      <c r="M129" s="669"/>
      <c r="N129" s="35"/>
      <c r="O129" s="667"/>
      <c r="P129" s="34"/>
      <c r="Q129" s="669"/>
      <c r="R129" s="669"/>
      <c r="S129" s="35"/>
      <c r="T129" s="667"/>
      <c r="U129" s="34"/>
      <c r="V129" s="669"/>
      <c r="W129" s="669"/>
      <c r="X129" s="35"/>
      <c r="Y129" s="667"/>
      <c r="Z129" s="34"/>
      <c r="AA129" s="669"/>
      <c r="AB129" s="669"/>
      <c r="AC129" s="35"/>
      <c r="AD129" s="667"/>
      <c r="AE129" s="34"/>
      <c r="AF129" s="669"/>
      <c r="AG129" s="669"/>
      <c r="AH129" s="35"/>
    </row>
    <row r="130" spans="1:34" ht="13" thickBot="1" x14ac:dyDescent="0.3">
      <c r="A130" s="667"/>
      <c r="B130" s="667"/>
      <c r="C130" s="667"/>
      <c r="D130" s="667"/>
      <c r="E130" s="667"/>
      <c r="F130" s="667"/>
      <c r="G130" s="667"/>
      <c r="H130" s="667"/>
      <c r="I130" s="667"/>
      <c r="J130" s="667"/>
      <c r="K130" s="667"/>
      <c r="L130" s="667"/>
      <c r="M130" s="667"/>
      <c r="N130" s="667"/>
      <c r="O130" s="667"/>
      <c r="P130" s="667"/>
      <c r="Q130" s="667"/>
      <c r="R130" s="667"/>
      <c r="S130" s="667"/>
      <c r="T130" s="667"/>
      <c r="U130" s="667"/>
      <c r="V130" s="667"/>
      <c r="W130" s="667"/>
      <c r="X130" s="667"/>
      <c r="Y130" s="667"/>
      <c r="Z130" s="667"/>
      <c r="AA130" s="667"/>
      <c r="AB130" s="667"/>
      <c r="AC130" s="667"/>
      <c r="AD130" s="667"/>
      <c r="AE130" s="667"/>
      <c r="AF130" s="667"/>
      <c r="AG130" s="667"/>
      <c r="AH130" s="667"/>
    </row>
    <row r="131" spans="1:34" ht="15" x14ac:dyDescent="0.3">
      <c r="A131" s="1314"/>
      <c r="B131" s="1315"/>
      <c r="C131" s="1315"/>
      <c r="D131" s="1316"/>
      <c r="E131" s="667"/>
      <c r="F131" s="1314"/>
      <c r="G131" s="1315"/>
      <c r="H131" s="1315"/>
      <c r="I131" s="1316"/>
      <c r="J131" s="667"/>
      <c r="K131" s="1314"/>
      <c r="L131" s="1315"/>
      <c r="M131" s="1315"/>
      <c r="N131" s="1316"/>
      <c r="O131" s="667"/>
      <c r="P131" s="1314"/>
      <c r="Q131" s="1315"/>
      <c r="R131" s="1315"/>
      <c r="S131" s="1316"/>
      <c r="T131" s="667"/>
      <c r="U131" s="1314"/>
      <c r="V131" s="1315"/>
      <c r="W131" s="1315"/>
      <c r="X131" s="1316"/>
      <c r="Y131" s="667"/>
      <c r="Z131" s="1314"/>
      <c r="AA131" s="1315"/>
      <c r="AB131" s="1315"/>
      <c r="AC131" s="1316"/>
      <c r="AD131" s="667"/>
      <c r="AE131" s="1314"/>
      <c r="AF131" s="1315"/>
      <c r="AG131" s="1315"/>
      <c r="AH131" s="1316"/>
    </row>
    <row r="132" spans="1:34" x14ac:dyDescent="0.25">
      <c r="A132" s="33"/>
      <c r="B132" s="668"/>
      <c r="C132" s="668"/>
      <c r="D132" s="32"/>
      <c r="E132" s="667"/>
      <c r="F132" s="33"/>
      <c r="G132" s="668"/>
      <c r="H132" s="668"/>
      <c r="I132" s="32"/>
      <c r="J132" s="667"/>
      <c r="K132" s="33"/>
      <c r="L132" s="668"/>
      <c r="M132" s="668"/>
      <c r="N132" s="32"/>
      <c r="O132" s="667"/>
      <c r="P132" s="33"/>
      <c r="Q132" s="668"/>
      <c r="R132" s="668"/>
      <c r="S132" s="32"/>
      <c r="T132" s="667"/>
      <c r="U132" s="33"/>
      <c r="V132" s="668"/>
      <c r="W132" s="668"/>
      <c r="X132" s="32"/>
      <c r="Y132" s="667"/>
      <c r="Z132" s="33"/>
      <c r="AA132" s="668"/>
      <c r="AB132" s="668"/>
      <c r="AC132" s="32"/>
      <c r="AD132" s="667"/>
      <c r="AE132" s="33"/>
      <c r="AF132" s="668"/>
      <c r="AG132" s="668"/>
      <c r="AH132" s="32"/>
    </row>
    <row r="133" spans="1:34" x14ac:dyDescent="0.25">
      <c r="A133" s="33"/>
      <c r="B133" s="668"/>
      <c r="C133" s="668"/>
      <c r="D133" s="32"/>
      <c r="E133" s="667"/>
      <c r="F133" s="33"/>
      <c r="G133" s="668"/>
      <c r="H133" s="668"/>
      <c r="I133" s="32"/>
      <c r="J133" s="667"/>
      <c r="K133" s="33"/>
      <c r="L133" s="668"/>
      <c r="M133" s="668"/>
      <c r="N133" s="32"/>
      <c r="O133" s="667"/>
      <c r="P133" s="33"/>
      <c r="Q133" s="668"/>
      <c r="R133" s="668"/>
      <c r="S133" s="32"/>
      <c r="T133" s="667"/>
      <c r="U133" s="33"/>
      <c r="V133" s="668"/>
      <c r="W133" s="668"/>
      <c r="X133" s="32"/>
      <c r="Y133" s="667"/>
      <c r="Z133" s="33"/>
      <c r="AA133" s="668"/>
      <c r="AB133" s="668"/>
      <c r="AC133" s="32"/>
      <c r="AD133" s="667"/>
      <c r="AE133" s="33"/>
      <c r="AF133" s="668"/>
      <c r="AG133" s="668"/>
      <c r="AH133" s="32"/>
    </row>
    <row r="134" spans="1:34" ht="13" thickBot="1" x14ac:dyDescent="0.3">
      <c r="A134" s="34"/>
      <c r="B134" s="669"/>
      <c r="C134" s="669"/>
      <c r="D134" s="35"/>
      <c r="E134" s="667"/>
      <c r="F134" s="34"/>
      <c r="G134" s="669"/>
      <c r="H134" s="669"/>
      <c r="I134" s="35"/>
      <c r="J134" s="667"/>
      <c r="K134" s="34"/>
      <c r="L134" s="669"/>
      <c r="M134" s="669"/>
      <c r="N134" s="35"/>
      <c r="O134" s="667"/>
      <c r="P134" s="34"/>
      <c r="Q134" s="669"/>
      <c r="R134" s="669"/>
      <c r="S134" s="35"/>
      <c r="T134" s="667"/>
      <c r="U134" s="34"/>
      <c r="V134" s="669"/>
      <c r="W134" s="669"/>
      <c r="X134" s="35"/>
      <c r="Y134" s="667"/>
      <c r="Z134" s="34"/>
      <c r="AA134" s="669"/>
      <c r="AB134" s="669"/>
      <c r="AC134" s="35"/>
      <c r="AD134" s="667"/>
      <c r="AE134" s="34"/>
      <c r="AF134" s="669"/>
      <c r="AG134" s="669"/>
      <c r="AH134" s="35"/>
    </row>
    <row r="137" spans="1:34" ht="35" x14ac:dyDescent="0.25">
      <c r="A137" s="1313"/>
      <c r="B137" s="1313"/>
      <c r="C137" s="1313"/>
      <c r="D137" s="1313"/>
      <c r="E137" s="1313"/>
      <c r="F137" s="1313"/>
      <c r="G137" s="1313"/>
      <c r="H137" s="1313"/>
      <c r="I137" s="1313"/>
      <c r="J137" s="1313"/>
      <c r="K137" s="1313"/>
      <c r="L137" s="1313"/>
      <c r="M137" s="1313"/>
      <c r="N137" s="1313"/>
      <c r="O137" s="1313"/>
      <c r="P137" s="1313"/>
      <c r="Q137" s="1313"/>
      <c r="R137" s="1313"/>
      <c r="S137" s="1313"/>
      <c r="T137" s="1313"/>
      <c r="U137" s="1313"/>
      <c r="V137" s="1313"/>
      <c r="W137" s="1313"/>
      <c r="X137" s="1313"/>
      <c r="Y137" s="1313"/>
      <c r="Z137" s="1313"/>
      <c r="AA137" s="1313"/>
      <c r="AB137" s="1313"/>
      <c r="AC137" s="1313"/>
      <c r="AD137" s="662"/>
      <c r="AE137" s="662"/>
      <c r="AF137" s="662"/>
      <c r="AG137" s="662"/>
      <c r="AH137" s="662"/>
    </row>
    <row r="138" spans="1:34" ht="21" customHeight="1" thickBot="1" x14ac:dyDescent="0.3">
      <c r="A138" s="1309"/>
      <c r="B138" s="1309"/>
      <c r="C138" s="1309"/>
      <c r="D138" s="1309"/>
      <c r="E138" s="663"/>
      <c r="F138" s="1309"/>
      <c r="G138" s="1309"/>
      <c r="H138" s="1309"/>
      <c r="I138" s="1309"/>
      <c r="J138" s="663"/>
      <c r="K138" s="1309"/>
      <c r="L138" s="1309"/>
      <c r="M138" s="1309"/>
      <c r="N138" s="1309"/>
      <c r="O138" s="662"/>
      <c r="P138" s="1309"/>
      <c r="Q138" s="1309"/>
      <c r="R138" s="1309"/>
      <c r="S138" s="1309"/>
      <c r="T138" s="662"/>
      <c r="U138" s="1309"/>
      <c r="V138" s="1309"/>
      <c r="W138" s="1309"/>
      <c r="X138" s="1309"/>
      <c r="Y138" s="662"/>
      <c r="Z138" s="1309"/>
      <c r="AA138" s="1309"/>
      <c r="AB138" s="1309"/>
      <c r="AC138" s="1309"/>
      <c r="AD138" s="662"/>
      <c r="AE138" s="1309"/>
      <c r="AF138" s="1309"/>
      <c r="AG138" s="1309"/>
      <c r="AH138" s="1309"/>
    </row>
    <row r="139" spans="1:34" ht="15" x14ac:dyDescent="0.3">
      <c r="A139" s="1310"/>
      <c r="B139" s="1311"/>
      <c r="C139" s="1311"/>
      <c r="D139" s="1312"/>
      <c r="F139" s="1310"/>
      <c r="G139" s="1311"/>
      <c r="H139" s="1311"/>
      <c r="I139" s="1312"/>
      <c r="J139" s="664"/>
      <c r="K139" s="1310"/>
      <c r="L139" s="1311"/>
      <c r="M139" s="1311"/>
      <c r="N139" s="1312"/>
      <c r="P139" s="1310"/>
      <c r="Q139" s="1311"/>
      <c r="R139" s="1311"/>
      <c r="S139" s="1312"/>
      <c r="U139" s="1310"/>
      <c r="V139" s="1311"/>
      <c r="W139" s="1311"/>
      <c r="X139" s="1312"/>
      <c r="Z139" s="1310"/>
      <c r="AA139" s="1311"/>
      <c r="AB139" s="1311"/>
      <c r="AC139" s="1312"/>
      <c r="AE139" s="1310"/>
      <c r="AF139" s="1311"/>
      <c r="AG139" s="1311"/>
      <c r="AH139" s="1312"/>
    </row>
    <row r="140" spans="1:34" x14ac:dyDescent="0.25">
      <c r="A140" s="9"/>
      <c r="B140" s="665"/>
      <c r="C140" s="665"/>
      <c r="D140" s="8"/>
      <c r="F140" s="9"/>
      <c r="G140" s="665"/>
      <c r="H140" s="665"/>
      <c r="I140" s="8"/>
      <c r="J140" s="4"/>
      <c r="K140" s="9"/>
      <c r="L140" s="665"/>
      <c r="M140" s="665"/>
      <c r="N140" s="8"/>
      <c r="P140" s="9"/>
      <c r="Q140" s="665"/>
      <c r="R140" s="665"/>
      <c r="S140" s="8"/>
      <c r="U140" s="9"/>
      <c r="V140" s="665"/>
      <c r="W140" s="665"/>
      <c r="X140" s="8"/>
      <c r="Z140" s="9"/>
      <c r="AA140" s="665"/>
      <c r="AB140" s="665"/>
      <c r="AC140" s="8"/>
      <c r="AE140" s="9"/>
      <c r="AF140" s="665"/>
      <c r="AG140" s="665"/>
      <c r="AH140" s="8"/>
    </row>
    <row r="141" spans="1:34" x14ac:dyDescent="0.25">
      <c r="A141" s="9"/>
      <c r="B141" s="665"/>
      <c r="C141" s="665"/>
      <c r="D141" s="8"/>
      <c r="F141" s="9"/>
      <c r="G141" s="665"/>
      <c r="H141" s="665"/>
      <c r="I141" s="8"/>
      <c r="J141" s="4"/>
      <c r="K141" s="9"/>
      <c r="L141" s="665"/>
      <c r="M141" s="665"/>
      <c r="N141" s="8"/>
      <c r="P141" s="9"/>
      <c r="Q141" s="665"/>
      <c r="R141" s="665"/>
      <c r="S141" s="8"/>
      <c r="U141" s="9"/>
      <c r="V141" s="665"/>
      <c r="W141" s="665"/>
      <c r="X141" s="8"/>
      <c r="Z141" s="9"/>
      <c r="AA141" s="665"/>
      <c r="AB141" s="665"/>
      <c r="AC141" s="8"/>
      <c r="AE141" s="9"/>
      <c r="AF141" s="665"/>
      <c r="AG141" s="665"/>
      <c r="AH141" s="8"/>
    </row>
    <row r="142" spans="1:34" ht="13" thickBot="1" x14ac:dyDescent="0.3">
      <c r="A142" s="11"/>
      <c r="B142" s="666"/>
      <c r="C142" s="666"/>
      <c r="D142" s="12"/>
      <c r="F142" s="11"/>
      <c r="G142" s="666"/>
      <c r="H142" s="666"/>
      <c r="I142" s="12"/>
      <c r="J142" s="4"/>
      <c r="K142" s="11"/>
      <c r="L142" s="666"/>
      <c r="M142" s="666"/>
      <c r="N142" s="12"/>
      <c r="P142" s="11"/>
      <c r="Q142" s="666"/>
      <c r="R142" s="666"/>
      <c r="S142" s="12"/>
      <c r="U142" s="11"/>
      <c r="V142" s="666"/>
      <c r="W142" s="666"/>
      <c r="X142" s="12"/>
      <c r="Z142" s="11"/>
      <c r="AA142" s="666"/>
      <c r="AB142" s="666"/>
      <c r="AC142" s="12"/>
      <c r="AE142" s="11"/>
      <c r="AF142" s="666"/>
      <c r="AG142" s="666"/>
      <c r="AH142" s="12"/>
    </row>
  </sheetData>
  <mergeCells count="134">
    <mergeCell ref="A1:L1"/>
    <mergeCell ref="A7:I7"/>
    <mergeCell ref="A8:F8"/>
    <mergeCell ref="G8:I8"/>
    <mergeCell ref="A9:F9"/>
    <mergeCell ref="G9:I9"/>
    <mergeCell ref="A19:F19"/>
    <mergeCell ref="G19:I19"/>
    <mergeCell ref="A20:F20"/>
    <mergeCell ref="G20:I20"/>
    <mergeCell ref="A21:F21"/>
    <mergeCell ref="G21:I21"/>
    <mergeCell ref="A10:F10"/>
    <mergeCell ref="G10:I10"/>
    <mergeCell ref="A11:F11"/>
    <mergeCell ref="G11:I11"/>
    <mergeCell ref="A17:I17"/>
    <mergeCell ref="A18:F18"/>
    <mergeCell ref="G18:I18"/>
    <mergeCell ref="A30:F30"/>
    <mergeCell ref="G30:I30"/>
    <mergeCell ref="A31:F31"/>
    <mergeCell ref="G31:I31"/>
    <mergeCell ref="A37:I37"/>
    <mergeCell ref="A38:F38"/>
    <mergeCell ref="G38:I38"/>
    <mergeCell ref="T25:W25"/>
    <mergeCell ref="A27:I27"/>
    <mergeCell ref="A28:F28"/>
    <mergeCell ref="G28:I28"/>
    <mergeCell ref="A29:F29"/>
    <mergeCell ref="G29:I29"/>
    <mergeCell ref="A47:I47"/>
    <mergeCell ref="A48:F48"/>
    <mergeCell ref="G48:I48"/>
    <mergeCell ref="A49:F49"/>
    <mergeCell ref="G49:I49"/>
    <mergeCell ref="A50:F50"/>
    <mergeCell ref="G50:I50"/>
    <mergeCell ref="A39:F39"/>
    <mergeCell ref="G39:I39"/>
    <mergeCell ref="A40:F40"/>
    <mergeCell ref="G40:I40"/>
    <mergeCell ref="A41:F41"/>
    <mergeCell ref="G41:I41"/>
    <mergeCell ref="A60:F60"/>
    <mergeCell ref="G60:I60"/>
    <mergeCell ref="A61:F61"/>
    <mergeCell ref="G61:I61"/>
    <mergeCell ref="A67:I67"/>
    <mergeCell ref="A68:F68"/>
    <mergeCell ref="G68:I68"/>
    <mergeCell ref="A51:F51"/>
    <mergeCell ref="G51:I51"/>
    <mergeCell ref="A57:I57"/>
    <mergeCell ref="A58:F58"/>
    <mergeCell ref="G58:I58"/>
    <mergeCell ref="A59:F59"/>
    <mergeCell ref="G59:I59"/>
    <mergeCell ref="B74:E74"/>
    <mergeCell ref="G76:J76"/>
    <mergeCell ref="G80:J80"/>
    <mergeCell ref="A85:O85"/>
    <mergeCell ref="A87:A88"/>
    <mergeCell ref="B87:D87"/>
    <mergeCell ref="G87:H87"/>
    <mergeCell ref="A69:F69"/>
    <mergeCell ref="G69:I69"/>
    <mergeCell ref="A70:F70"/>
    <mergeCell ref="G70:I70"/>
    <mergeCell ref="A71:F71"/>
    <mergeCell ref="G71:I71"/>
    <mergeCell ref="A99:A100"/>
    <mergeCell ref="B99:B100"/>
    <mergeCell ref="H99:L99"/>
    <mergeCell ref="M99:M100"/>
    <mergeCell ref="A109:AC109"/>
    <mergeCell ref="A110:D110"/>
    <mergeCell ref="F110:I110"/>
    <mergeCell ref="K110:N110"/>
    <mergeCell ref="P110:S110"/>
    <mergeCell ref="U110:X110"/>
    <mergeCell ref="Z110:AC110"/>
    <mergeCell ref="AE110:AH110"/>
    <mergeCell ref="A111:D111"/>
    <mergeCell ref="F111:I111"/>
    <mergeCell ref="K111:N111"/>
    <mergeCell ref="P111:S111"/>
    <mergeCell ref="U111:X111"/>
    <mergeCell ref="Z111:AC111"/>
    <mergeCell ref="AE111:AH111"/>
    <mergeCell ref="AE116:AH116"/>
    <mergeCell ref="A121:D121"/>
    <mergeCell ref="F121:I121"/>
    <mergeCell ref="K121:N121"/>
    <mergeCell ref="P121:S121"/>
    <mergeCell ref="U121:X121"/>
    <mergeCell ref="Z121:AC121"/>
    <mergeCell ref="AE121:AH121"/>
    <mergeCell ref="A116:D116"/>
    <mergeCell ref="F116:I116"/>
    <mergeCell ref="K116:N116"/>
    <mergeCell ref="P116:S116"/>
    <mergeCell ref="U116:X116"/>
    <mergeCell ref="Z116:AC116"/>
    <mergeCell ref="AE126:AH126"/>
    <mergeCell ref="A131:D131"/>
    <mergeCell ref="F131:I131"/>
    <mergeCell ref="K131:N131"/>
    <mergeCell ref="P131:S131"/>
    <mergeCell ref="U131:X131"/>
    <mergeCell ref="Z131:AC131"/>
    <mergeCell ref="AE131:AH131"/>
    <mergeCell ref="A126:D126"/>
    <mergeCell ref="F126:I126"/>
    <mergeCell ref="K126:N126"/>
    <mergeCell ref="P126:S126"/>
    <mergeCell ref="U126:X126"/>
    <mergeCell ref="Z126:AC126"/>
    <mergeCell ref="AE138:AH138"/>
    <mergeCell ref="A139:D139"/>
    <mergeCell ref="F139:I139"/>
    <mergeCell ref="K139:N139"/>
    <mergeCell ref="P139:S139"/>
    <mergeCell ref="U139:X139"/>
    <mergeCell ref="Z139:AC139"/>
    <mergeCell ref="AE139:AH139"/>
    <mergeCell ref="A137:AC137"/>
    <mergeCell ref="A138:D138"/>
    <mergeCell ref="F138:I138"/>
    <mergeCell ref="K138:N138"/>
    <mergeCell ref="P138:S138"/>
    <mergeCell ref="U138:X138"/>
    <mergeCell ref="Z138:AC138"/>
  </mergeCells>
  <pageMargins left="0.7" right="0.7" top="0.75" bottom="0.75" header="0.3" footer="0.3"/>
  <pageSetup paperSize="9" scale="79" orientation="portrait" horizontalDpi="4294967293" verticalDpi="200" r:id="rId1"/>
  <headerFooter>
    <oddHeader>&amp;R&amp;"Times New Roman,Regular"&amp;9OA.UB - 041-18 / REV : 0</oddHeader>
  </headerFooter>
  <rowBreaks count="3" manualBreakCount="3">
    <brk id="32" max="11" man="1"/>
    <brk id="72" max="33" man="1"/>
    <brk id="136" max="33" man="1"/>
  </row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O22"/>
  <sheetViews>
    <sheetView topLeftCell="I1" workbookViewId="0">
      <selection activeCell="K14" sqref="K14"/>
    </sheetView>
  </sheetViews>
  <sheetFormatPr defaultColWidth="9.08984375" defaultRowHeight="14" x14ac:dyDescent="0.3"/>
  <cols>
    <col min="1" max="1" width="102" style="48" customWidth="1"/>
    <col min="2" max="2" width="96" style="48" customWidth="1"/>
    <col min="3" max="3" width="6.6328125" style="48" customWidth="1"/>
    <col min="4" max="4" width="74.08984375" style="48" customWidth="1"/>
    <col min="5" max="5" width="12" style="48" customWidth="1"/>
    <col min="6" max="6" width="100.90625" style="48" customWidth="1"/>
    <col min="7" max="7" width="64.36328125" style="48" customWidth="1"/>
    <col min="8" max="8" width="35.90625" style="48" customWidth="1"/>
    <col min="9" max="9" width="49.08984375" style="48" customWidth="1"/>
    <col min="10" max="11" width="9.08984375" style="48"/>
    <col min="12" max="12" width="55" style="48" customWidth="1"/>
    <col min="13" max="13" width="80.90625" style="48" customWidth="1"/>
    <col min="14" max="14" width="70.90625" style="48" customWidth="1"/>
    <col min="15" max="15" width="69.6328125" style="48" customWidth="1"/>
    <col min="16" max="16384" width="9.08984375" style="48"/>
  </cols>
  <sheetData>
    <row r="1" spans="1:15" ht="14.5" x14ac:dyDescent="0.35">
      <c r="A1" s="48" t="s">
        <v>325</v>
      </c>
      <c r="B1" s="325" t="str">
        <f>ID!B58</f>
        <v>SPO₂ Simulator, Merek : Fluke, Model : SPOT LIGHT, SN : 4404040</v>
      </c>
      <c r="C1" s="326">
        <f>VLOOKUP(B1,B2:C11,2,FALSE)</f>
        <v>5</v>
      </c>
      <c r="D1" s="327" t="str">
        <f>ID!B59</f>
        <v>Electrical Safety Analyzer, Merek : Fluke, Model : ESA 615, SN : 2853078</v>
      </c>
      <c r="E1" s="328" t="e">
        <f>VLOOKUP(D1,D2:E10,2,FALSE)</f>
        <v>#N/A</v>
      </c>
      <c r="G1" s="23" t="s">
        <v>326</v>
      </c>
      <c r="H1" s="329" t="s">
        <v>182</v>
      </c>
      <c r="I1" s="48" t="s">
        <v>468</v>
      </c>
      <c r="J1" s="48" t="s">
        <v>327</v>
      </c>
      <c r="L1" s="47" t="s">
        <v>328</v>
      </c>
      <c r="M1" s="325" t="s">
        <v>329</v>
      </c>
      <c r="N1" s="325" t="s">
        <v>330</v>
      </c>
      <c r="O1" s="48" t="str">
        <f>ID!B58</f>
        <v>SPO₂ Simulator, Merek : Fluke, Model : SPOT LIGHT, SN : 4404040</v>
      </c>
    </row>
    <row r="2" spans="1:15" ht="14.5" x14ac:dyDescent="0.35">
      <c r="A2" s="48" t="s">
        <v>331</v>
      </c>
      <c r="B2" s="330" t="s">
        <v>328</v>
      </c>
      <c r="C2" s="30">
        <v>1</v>
      </c>
      <c r="D2" s="331" t="s">
        <v>332</v>
      </c>
      <c r="E2" s="332">
        <v>1</v>
      </c>
      <c r="F2" s="151" t="s">
        <v>333</v>
      </c>
      <c r="G2" s="23" t="s">
        <v>334</v>
      </c>
      <c r="H2" s="329" t="s">
        <v>180</v>
      </c>
      <c r="I2" s="48" t="s">
        <v>144</v>
      </c>
      <c r="J2" s="48" t="s">
        <v>335</v>
      </c>
      <c r="L2" s="47" t="s">
        <v>336</v>
      </c>
      <c r="M2" s="325" t="s">
        <v>329</v>
      </c>
      <c r="N2" s="325" t="s">
        <v>330</v>
      </c>
      <c r="O2" s="48" t="str">
        <f>VLOOKUP(O1,L1:N10,2,TRUE)</f>
        <v>Hasil Kalibrasi Saturasi Oksigen tertelusur ke Satuan Internasional ( SI ) melalui CALTEK PTE LTD</v>
      </c>
    </row>
    <row r="3" spans="1:15" ht="14.5" x14ac:dyDescent="0.35">
      <c r="B3" s="330" t="s">
        <v>336</v>
      </c>
      <c r="C3" s="30">
        <v>2</v>
      </c>
      <c r="D3" s="331" t="s">
        <v>337</v>
      </c>
      <c r="E3" s="332">
        <v>2</v>
      </c>
      <c r="F3" s="151" t="s">
        <v>333</v>
      </c>
      <c r="G3" s="23" t="s">
        <v>421</v>
      </c>
      <c r="H3" s="329" t="s">
        <v>181</v>
      </c>
      <c r="L3" s="47" t="s">
        <v>338</v>
      </c>
      <c r="M3" s="325" t="s">
        <v>329</v>
      </c>
      <c r="N3" s="325" t="s">
        <v>330</v>
      </c>
      <c r="O3" s="48" t="str">
        <f>VLOOKUP(O1,L1:N10,3,TRUE)</f>
        <v>Hasil Kalibrasi Frekuensi Heart Rate (BPM) tertelusur ke Satuan Internasional ( SI ) melalui CALTEK PTE LTD</v>
      </c>
    </row>
    <row r="4" spans="1:15" ht="14.5" x14ac:dyDescent="0.35">
      <c r="B4" s="330" t="s">
        <v>338</v>
      </c>
      <c r="C4" s="30">
        <v>3</v>
      </c>
      <c r="D4" s="331" t="s">
        <v>339</v>
      </c>
      <c r="E4" s="332">
        <v>3</v>
      </c>
      <c r="F4" s="151" t="s">
        <v>340</v>
      </c>
      <c r="G4" s="23" t="s">
        <v>341</v>
      </c>
      <c r="H4" s="329" t="s">
        <v>342</v>
      </c>
      <c r="L4" s="47" t="s">
        <v>343</v>
      </c>
      <c r="M4" s="325" t="s">
        <v>329</v>
      </c>
      <c r="N4" s="325" t="s">
        <v>330</v>
      </c>
    </row>
    <row r="5" spans="1:15" ht="14.5" x14ac:dyDescent="0.35">
      <c r="B5" s="330" t="s">
        <v>343</v>
      </c>
      <c r="C5" s="30">
        <v>4</v>
      </c>
      <c r="D5" s="331" t="s">
        <v>344</v>
      </c>
      <c r="E5" s="332">
        <v>4</v>
      </c>
      <c r="F5" s="151" t="s">
        <v>340</v>
      </c>
      <c r="G5" s="23" t="s">
        <v>345</v>
      </c>
      <c r="H5" s="329" t="s">
        <v>346</v>
      </c>
      <c r="L5" s="47" t="s">
        <v>431</v>
      </c>
      <c r="M5" s="325" t="s">
        <v>329</v>
      </c>
      <c r="N5" s="325" t="s">
        <v>330</v>
      </c>
    </row>
    <row r="6" spans="1:15" ht="14.5" x14ac:dyDescent="0.35">
      <c r="B6" s="330" t="s">
        <v>431</v>
      </c>
      <c r="C6" s="30">
        <v>5</v>
      </c>
      <c r="D6" s="331" t="s">
        <v>347</v>
      </c>
      <c r="E6" s="332">
        <v>5</v>
      </c>
      <c r="F6" s="151" t="s">
        <v>340</v>
      </c>
      <c r="G6" s="23" t="s">
        <v>348</v>
      </c>
      <c r="H6" s="329" t="s">
        <v>187</v>
      </c>
      <c r="L6" s="688" t="s">
        <v>349</v>
      </c>
      <c r="M6" s="325" t="s">
        <v>329</v>
      </c>
      <c r="N6" s="325" t="s">
        <v>330</v>
      </c>
    </row>
    <row r="7" spans="1:15" ht="14.5" x14ac:dyDescent="0.35">
      <c r="B7" s="333" t="s">
        <v>349</v>
      </c>
      <c r="C7" s="30">
        <v>6</v>
      </c>
      <c r="D7" s="331" t="s">
        <v>350</v>
      </c>
      <c r="E7" s="332">
        <v>6</v>
      </c>
      <c r="F7" s="151" t="s">
        <v>340</v>
      </c>
      <c r="G7" s="48" t="s">
        <v>351</v>
      </c>
      <c r="H7" s="329" t="s">
        <v>184</v>
      </c>
      <c r="L7" s="688" t="s">
        <v>432</v>
      </c>
      <c r="M7" s="325" t="s">
        <v>329</v>
      </c>
      <c r="N7" s="325" t="s">
        <v>330</v>
      </c>
    </row>
    <row r="8" spans="1:15" ht="14.5" x14ac:dyDescent="0.35">
      <c r="B8" s="333" t="s">
        <v>432</v>
      </c>
      <c r="C8" s="30">
        <v>7</v>
      </c>
      <c r="D8" s="331" t="s">
        <v>352</v>
      </c>
      <c r="E8" s="332">
        <v>7</v>
      </c>
      <c r="F8" s="151" t="s">
        <v>340</v>
      </c>
      <c r="G8" s="48" t="s">
        <v>353</v>
      </c>
      <c r="H8" s="329" t="s">
        <v>185</v>
      </c>
      <c r="L8" s="47" t="s">
        <v>153</v>
      </c>
      <c r="M8" s="325" t="s">
        <v>329</v>
      </c>
      <c r="N8" s="325" t="s">
        <v>330</v>
      </c>
    </row>
    <row r="9" spans="1:15" ht="14.5" x14ac:dyDescent="0.35">
      <c r="B9" s="330" t="s">
        <v>153</v>
      </c>
      <c r="C9" s="30">
        <v>8</v>
      </c>
      <c r="D9" s="331" t="s">
        <v>354</v>
      </c>
      <c r="E9" s="332">
        <v>8</v>
      </c>
      <c r="F9" s="151" t="s">
        <v>340</v>
      </c>
      <c r="G9" s="48" t="s">
        <v>355</v>
      </c>
      <c r="H9" s="329" t="s">
        <v>356</v>
      </c>
      <c r="L9" s="688" t="s">
        <v>357</v>
      </c>
      <c r="M9" s="325" t="s">
        <v>358</v>
      </c>
      <c r="N9" s="325" t="s">
        <v>359</v>
      </c>
    </row>
    <row r="10" spans="1:15" ht="14.5" x14ac:dyDescent="0.35">
      <c r="B10" s="333" t="s">
        <v>357</v>
      </c>
      <c r="C10" s="30">
        <v>9</v>
      </c>
      <c r="D10" s="331" t="s">
        <v>360</v>
      </c>
      <c r="E10" s="332">
        <v>9</v>
      </c>
      <c r="F10" s="151" t="s">
        <v>340</v>
      </c>
      <c r="G10" s="48" t="s">
        <v>361</v>
      </c>
      <c r="H10" s="329" t="s">
        <v>362</v>
      </c>
      <c r="L10" s="688" t="s">
        <v>433</v>
      </c>
      <c r="M10" s="325" t="s">
        <v>358</v>
      </c>
      <c r="N10" s="325" t="s">
        <v>359</v>
      </c>
    </row>
    <row r="11" spans="1:15" ht="14.5" x14ac:dyDescent="0.35">
      <c r="B11" s="333" t="s">
        <v>433</v>
      </c>
      <c r="C11" s="30">
        <v>10</v>
      </c>
      <c r="H11" s="329" t="s">
        <v>363</v>
      </c>
      <c r="N11" s="325"/>
    </row>
    <row r="12" spans="1:15" x14ac:dyDescent="0.3">
      <c r="H12" s="329" t="s">
        <v>364</v>
      </c>
    </row>
    <row r="13" spans="1:15" x14ac:dyDescent="0.3">
      <c r="H13" s="329" t="s">
        <v>365</v>
      </c>
    </row>
    <row r="14" spans="1:15" x14ac:dyDescent="0.3">
      <c r="H14" s="329" t="s">
        <v>156</v>
      </c>
    </row>
    <row r="15" spans="1:15" x14ac:dyDescent="0.3">
      <c r="H15" s="329" t="s">
        <v>366</v>
      </c>
    </row>
    <row r="16" spans="1:15" x14ac:dyDescent="0.3">
      <c r="H16" s="329" t="s">
        <v>367</v>
      </c>
    </row>
    <row r="17" spans="8:8" x14ac:dyDescent="0.3">
      <c r="H17" s="329" t="s">
        <v>368</v>
      </c>
    </row>
    <row r="18" spans="8:8" x14ac:dyDescent="0.3">
      <c r="H18" s="329" t="s">
        <v>369</v>
      </c>
    </row>
    <row r="19" spans="8:8" x14ac:dyDescent="0.3">
      <c r="H19" s="329" t="s">
        <v>435</v>
      </c>
    </row>
    <row r="20" spans="8:8" x14ac:dyDescent="0.3">
      <c r="H20" s="48" t="s">
        <v>434</v>
      </c>
    </row>
    <row r="21" spans="8:8" x14ac:dyDescent="0.3">
      <c r="H21" s="329" t="s">
        <v>370</v>
      </c>
    </row>
    <row r="22" spans="8:8" x14ac:dyDescent="0.3">
      <c r="H22" s="329" t="s">
        <v>371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D11:E13"/>
  <sheetViews>
    <sheetView topLeftCell="B1" workbookViewId="0">
      <selection activeCell="C18" sqref="C18"/>
    </sheetView>
  </sheetViews>
  <sheetFormatPr defaultRowHeight="12.5" x14ac:dyDescent="0.25"/>
  <cols>
    <col min="4" max="4" width="78.90625" customWidth="1"/>
    <col min="5" max="5" width="77.08984375" customWidth="1"/>
  </cols>
  <sheetData>
    <row r="11" spans="4:5" ht="13" x14ac:dyDescent="0.3">
      <c r="D11" s="25" t="s">
        <v>372</v>
      </c>
      <c r="E11" s="25" t="s">
        <v>373</v>
      </c>
    </row>
    <row r="12" spans="4:5" ht="54.75" customHeight="1" x14ac:dyDescent="0.25">
      <c r="D12" s="26" t="s">
        <v>374</v>
      </c>
      <c r="E12" s="27" t="s">
        <v>375</v>
      </c>
    </row>
    <row r="13" spans="4:5" ht="55.5" customHeight="1" x14ac:dyDescent="0.25">
      <c r="D13" s="28" t="s">
        <v>376</v>
      </c>
      <c r="E13" s="27" t="s">
        <v>377</v>
      </c>
    </row>
  </sheetData>
  <sheetProtection algorithmName="SHA-512" hashValue="Tn3JAdT48dpwJFapx+VS0j3Nc/TIpIol3R1sI2uuGiaEbWJgVUjOmmiy2IZ1IH65IuqEYUjnZ/3A7lGx9wuguQ==" saltValue="E3K6bWMQdi2bdc8Epbr0UA==" spinCount="100000" sheet="1" objects="1" scenario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R100"/>
  <sheetViews>
    <sheetView topLeftCell="A87" workbookViewId="0">
      <selection activeCell="E96" sqref="E96"/>
    </sheetView>
  </sheetViews>
  <sheetFormatPr defaultColWidth="9.08984375" defaultRowHeight="14" x14ac:dyDescent="0.3"/>
  <cols>
    <col min="1" max="1" width="19.08984375" style="363" bestFit="1" customWidth="1"/>
    <col min="2" max="5" width="11.90625" style="363" bestFit="1" customWidth="1"/>
    <col min="6" max="6" width="12.26953125" style="363" bestFit="1" customWidth="1"/>
    <col min="7" max="7" width="10.08984375" style="363" bestFit="1" customWidth="1"/>
    <col min="8" max="8" width="10.90625" style="363" bestFit="1" customWidth="1"/>
    <col min="9" max="10" width="11.90625" style="363" bestFit="1" customWidth="1"/>
    <col min="11" max="12" width="10.08984375" style="363" bestFit="1" customWidth="1"/>
    <col min="13" max="13" width="9.08984375" style="363"/>
    <col min="14" max="14" width="10.90625" style="363" bestFit="1" customWidth="1"/>
    <col min="15" max="16" width="11.90625" style="363" bestFit="1" customWidth="1"/>
    <col min="17" max="18" width="10.08984375" style="363" bestFit="1" customWidth="1"/>
    <col min="19" max="16384" width="9.08984375" style="363"/>
  </cols>
  <sheetData>
    <row r="1" spans="1:18" x14ac:dyDescent="0.3">
      <c r="A1" s="362"/>
      <c r="B1" s="362"/>
      <c r="C1" s="362"/>
      <c r="D1" s="362"/>
      <c r="E1" s="362"/>
      <c r="F1" s="362"/>
      <c r="G1" s="362"/>
      <c r="H1" s="362"/>
      <c r="I1" s="362"/>
      <c r="J1" s="362"/>
      <c r="K1" s="362"/>
      <c r="L1" s="362"/>
      <c r="M1" s="362"/>
      <c r="N1" s="362"/>
      <c r="O1" s="362"/>
      <c r="P1" s="362"/>
      <c r="Q1" s="362"/>
      <c r="R1" s="362"/>
    </row>
    <row r="2" spans="1:18" x14ac:dyDescent="0.3">
      <c r="A2" s="362"/>
      <c r="B2" s="362"/>
      <c r="C2" s="362"/>
      <c r="D2" s="362"/>
      <c r="E2" s="362"/>
      <c r="F2" s="362"/>
      <c r="G2" s="362"/>
      <c r="H2" s="362"/>
      <c r="I2" s="362"/>
      <c r="J2" s="362"/>
      <c r="K2" s="362"/>
      <c r="L2" s="362"/>
      <c r="M2" s="362"/>
      <c r="N2" s="362"/>
      <c r="O2" s="362"/>
      <c r="P2" s="362"/>
      <c r="Q2" s="362"/>
      <c r="R2" s="362"/>
    </row>
    <row r="3" spans="1:18" x14ac:dyDescent="0.3">
      <c r="A3" s="362"/>
      <c r="B3" s="362"/>
      <c r="C3" s="362"/>
      <c r="D3" s="362"/>
      <c r="E3" s="362"/>
      <c r="F3" s="362"/>
      <c r="G3" s="362"/>
      <c r="H3" s="362"/>
      <c r="I3" s="362"/>
      <c r="J3" s="362"/>
      <c r="K3" s="362"/>
      <c r="L3" s="362"/>
      <c r="M3" s="362"/>
      <c r="N3" s="362"/>
      <c r="O3" s="362"/>
      <c r="P3" s="362"/>
      <c r="Q3" s="362"/>
      <c r="R3" s="362"/>
    </row>
    <row r="4" spans="1:18" ht="16.5" customHeight="1" x14ac:dyDescent="0.3">
      <c r="A4" s="362"/>
      <c r="B4" s="1350" t="s">
        <v>378</v>
      </c>
      <c r="C4" s="1351"/>
      <c r="D4" s="1351"/>
      <c r="E4" s="1351"/>
      <c r="F4" s="1352"/>
      <c r="G4" s="362"/>
      <c r="H4" s="1350" t="s">
        <v>379</v>
      </c>
      <c r="I4" s="1351"/>
      <c r="J4" s="1351"/>
      <c r="K4" s="1351"/>
      <c r="L4" s="1352"/>
      <c r="M4" s="362"/>
      <c r="N4" s="1350" t="s">
        <v>380</v>
      </c>
      <c r="O4" s="1351"/>
      <c r="P4" s="1351"/>
      <c r="Q4" s="1351"/>
      <c r="R4" s="1352"/>
    </row>
    <row r="5" spans="1:18" x14ac:dyDescent="0.3">
      <c r="A5" s="362"/>
      <c r="B5" s="1341" t="s">
        <v>381</v>
      </c>
      <c r="C5" s="1341"/>
      <c r="D5" s="1341"/>
      <c r="E5" s="1341"/>
      <c r="F5" s="1341"/>
      <c r="G5" s="362"/>
      <c r="H5" s="1341" t="s">
        <v>381</v>
      </c>
      <c r="I5" s="1341"/>
      <c r="J5" s="1341"/>
      <c r="K5" s="1341"/>
      <c r="L5" s="1341"/>
      <c r="M5" s="362"/>
      <c r="N5" s="1341" t="s">
        <v>381</v>
      </c>
      <c r="O5" s="1341"/>
      <c r="P5" s="1341"/>
      <c r="Q5" s="1341"/>
      <c r="R5" s="1341"/>
    </row>
    <row r="6" spans="1:18" x14ac:dyDescent="0.3">
      <c r="A6" s="362"/>
      <c r="B6" s="1342" t="s">
        <v>382</v>
      </c>
      <c r="C6" s="1343"/>
      <c r="D6" s="1344"/>
      <c r="E6" s="1345" t="s">
        <v>274</v>
      </c>
      <c r="F6" s="1345" t="s">
        <v>167</v>
      </c>
      <c r="G6" s="362"/>
      <c r="H6" s="1342" t="s">
        <v>382</v>
      </c>
      <c r="I6" s="1343"/>
      <c r="J6" s="1344"/>
      <c r="K6" s="1345" t="s">
        <v>274</v>
      </c>
      <c r="L6" s="1345" t="s">
        <v>167</v>
      </c>
      <c r="M6" s="362"/>
      <c r="N6" s="1342" t="s">
        <v>382</v>
      </c>
      <c r="O6" s="1343"/>
      <c r="P6" s="1344"/>
      <c r="Q6" s="1345" t="s">
        <v>274</v>
      </c>
      <c r="R6" s="1345" t="s">
        <v>167</v>
      </c>
    </row>
    <row r="7" spans="1:18" x14ac:dyDescent="0.3">
      <c r="A7" s="362"/>
      <c r="B7" s="354" t="s">
        <v>9</v>
      </c>
      <c r="C7" s="354">
        <v>2017</v>
      </c>
      <c r="D7" s="354">
        <v>2019</v>
      </c>
      <c r="E7" s="1346"/>
      <c r="F7" s="1346"/>
      <c r="G7" s="362"/>
      <c r="H7" s="354" t="s">
        <v>9</v>
      </c>
      <c r="I7" s="354">
        <v>2018</v>
      </c>
      <c r="J7" s="354">
        <v>2019</v>
      </c>
      <c r="K7" s="1346"/>
      <c r="L7" s="1346"/>
      <c r="M7" s="362"/>
      <c r="N7" s="354" t="s">
        <v>9</v>
      </c>
      <c r="O7" s="354">
        <v>2018</v>
      </c>
      <c r="P7" s="354">
        <v>2019</v>
      </c>
      <c r="Q7" s="1346"/>
      <c r="R7" s="1346"/>
    </row>
    <row r="8" spans="1:18" x14ac:dyDescent="0.3">
      <c r="A8" s="362"/>
      <c r="B8" s="354">
        <v>0</v>
      </c>
      <c r="C8" s="364">
        <v>1.0000000000000001E-5</v>
      </c>
      <c r="D8" s="364">
        <v>1.0000000000000001E-5</v>
      </c>
      <c r="E8" s="354">
        <f>0.5*(MAX(C8:D8)-MIN(C8:D8))</f>
        <v>0</v>
      </c>
      <c r="F8" s="364">
        <v>1E-3</v>
      </c>
      <c r="G8" s="362"/>
      <c r="H8" s="354">
        <v>0</v>
      </c>
      <c r="I8" s="364">
        <v>1.0000000000000001E-5</v>
      </c>
      <c r="J8" s="364">
        <v>1.0000000000000001E-5</v>
      </c>
      <c r="K8" s="354">
        <f>0.5*(MAX(I8:J8)-MIN(I8:J8))</f>
        <v>0</v>
      </c>
      <c r="L8" s="364">
        <v>1E-3</v>
      </c>
      <c r="M8" s="362"/>
      <c r="N8" s="354">
        <v>0</v>
      </c>
      <c r="O8" s="364">
        <v>1.0000000000000001E-5</v>
      </c>
      <c r="P8" s="364">
        <v>1.0000000000000001E-5</v>
      </c>
      <c r="Q8" s="354">
        <f>0.5*(MAX(O8:P8)-MIN(O8:P8))</f>
        <v>0</v>
      </c>
      <c r="R8" s="364">
        <v>1E-3</v>
      </c>
    </row>
    <row r="9" spans="1:18" x14ac:dyDescent="0.3">
      <c r="A9" s="362"/>
      <c r="B9" s="354">
        <v>30</v>
      </c>
      <c r="C9" s="364">
        <v>1.0000000000000001E-5</v>
      </c>
      <c r="D9" s="364">
        <v>1.0000000000000001E-5</v>
      </c>
      <c r="E9" s="354">
        <f t="shared" ref="E9:E12" si="0">0.5*(MAX(C9:D9)-MIN(C9:D9))</f>
        <v>0</v>
      </c>
      <c r="F9" s="364">
        <v>1E-3</v>
      </c>
      <c r="G9" s="362"/>
      <c r="H9" s="354">
        <v>30</v>
      </c>
      <c r="I9" s="364">
        <v>1.0000000000000001E-5</v>
      </c>
      <c r="J9" s="364">
        <v>1.0000000000000001E-5</v>
      </c>
      <c r="K9" s="354">
        <f t="shared" ref="K9:K12" si="1">0.5*(MAX(I9:J9)-MIN(I9:J9))</f>
        <v>0</v>
      </c>
      <c r="L9" s="364">
        <v>1E-3</v>
      </c>
      <c r="M9" s="362"/>
      <c r="N9" s="354">
        <v>30</v>
      </c>
      <c r="O9" s="364">
        <v>1.0000000000000001E-5</v>
      </c>
      <c r="P9" s="364">
        <v>1.0000000000000001E-5</v>
      </c>
      <c r="Q9" s="354">
        <f t="shared" ref="Q9:Q12" si="2">0.5*(MAX(O9:P9)-MIN(O9:P9))</f>
        <v>0</v>
      </c>
      <c r="R9" s="364">
        <v>1E-3</v>
      </c>
    </row>
    <row r="10" spans="1:18" x14ac:dyDescent="0.3">
      <c r="A10" s="362"/>
      <c r="B10" s="354">
        <v>60</v>
      </c>
      <c r="C10" s="364">
        <v>1.0000000000000001E-5</v>
      </c>
      <c r="D10" s="364">
        <v>1.0000000000000001E-5</v>
      </c>
      <c r="E10" s="354">
        <f t="shared" si="0"/>
        <v>0</v>
      </c>
      <c r="F10" s="364">
        <v>1E-3</v>
      </c>
      <c r="G10" s="362"/>
      <c r="H10" s="354">
        <v>60</v>
      </c>
      <c r="I10" s="364">
        <v>1.0000000000000001E-5</v>
      </c>
      <c r="J10" s="364">
        <v>1.0000000000000001E-5</v>
      </c>
      <c r="K10" s="354">
        <f t="shared" si="1"/>
        <v>0</v>
      </c>
      <c r="L10" s="364">
        <v>1E-3</v>
      </c>
      <c r="M10" s="362"/>
      <c r="N10" s="354">
        <v>60</v>
      </c>
      <c r="O10" s="364">
        <v>1.0000000000000001E-5</v>
      </c>
      <c r="P10" s="364">
        <v>1.0000000000000001E-5</v>
      </c>
      <c r="Q10" s="354">
        <f t="shared" si="2"/>
        <v>0</v>
      </c>
      <c r="R10" s="364">
        <v>1E-3</v>
      </c>
    </row>
    <row r="11" spans="1:18" x14ac:dyDescent="0.3">
      <c r="A11" s="362"/>
      <c r="B11" s="354">
        <v>120</v>
      </c>
      <c r="C11" s="364">
        <v>1.0000000000000001E-5</v>
      </c>
      <c r="D11" s="364">
        <v>1.0000000000000001E-5</v>
      </c>
      <c r="E11" s="354">
        <f t="shared" si="0"/>
        <v>0</v>
      </c>
      <c r="F11" s="364">
        <v>1E-3</v>
      </c>
      <c r="G11" s="362"/>
      <c r="H11" s="354">
        <v>120</v>
      </c>
      <c r="I11" s="364">
        <v>1.0000000000000001E-5</v>
      </c>
      <c r="J11" s="364">
        <v>1.0000000000000001E-5</v>
      </c>
      <c r="K11" s="354">
        <f t="shared" si="1"/>
        <v>0</v>
      </c>
      <c r="L11" s="364">
        <v>1E-3</v>
      </c>
      <c r="M11" s="362"/>
      <c r="N11" s="354">
        <v>120</v>
      </c>
      <c r="O11" s="364">
        <v>1.0000000000000001E-5</v>
      </c>
      <c r="P11" s="364">
        <v>1.0000000000000001E-5</v>
      </c>
      <c r="Q11" s="354">
        <f t="shared" si="2"/>
        <v>0</v>
      </c>
      <c r="R11" s="364">
        <v>1E-3</v>
      </c>
    </row>
    <row r="12" spans="1:18" x14ac:dyDescent="0.3">
      <c r="A12" s="362"/>
      <c r="B12" s="354">
        <v>240</v>
      </c>
      <c r="C12" s="364">
        <v>1.0000000000000001E-5</v>
      </c>
      <c r="D12" s="364">
        <v>1.0000000000000001E-5</v>
      </c>
      <c r="E12" s="354">
        <f t="shared" si="0"/>
        <v>0</v>
      </c>
      <c r="F12" s="364">
        <v>1E-3</v>
      </c>
      <c r="G12" s="362"/>
      <c r="H12" s="354">
        <v>240</v>
      </c>
      <c r="I12" s="364">
        <v>1.0000000000000001E-5</v>
      </c>
      <c r="J12" s="364">
        <v>1.0000000000000001E-5</v>
      </c>
      <c r="K12" s="354">
        <f t="shared" si="1"/>
        <v>0</v>
      </c>
      <c r="L12" s="364">
        <v>1E-3</v>
      </c>
      <c r="M12" s="362"/>
      <c r="N12" s="354">
        <v>240</v>
      </c>
      <c r="O12" s="364">
        <v>1.0000000000000001E-5</v>
      </c>
      <c r="P12" s="364">
        <v>1.0000000000000001E-5</v>
      </c>
      <c r="Q12" s="354">
        <f t="shared" si="2"/>
        <v>0</v>
      </c>
      <c r="R12" s="364">
        <v>1E-3</v>
      </c>
    </row>
    <row r="13" spans="1:18" x14ac:dyDescent="0.3">
      <c r="A13" s="362"/>
      <c r="B13" s="362"/>
      <c r="C13" s="362"/>
      <c r="D13" s="362"/>
      <c r="E13" s="362"/>
      <c r="F13" s="362"/>
      <c r="G13" s="362"/>
      <c r="H13" s="362"/>
      <c r="I13" s="362"/>
      <c r="J13" s="362"/>
      <c r="K13" s="362"/>
      <c r="L13" s="362"/>
      <c r="M13" s="362"/>
      <c r="N13" s="362"/>
      <c r="O13" s="362"/>
      <c r="P13" s="362"/>
      <c r="Q13" s="362"/>
      <c r="R13" s="362"/>
    </row>
    <row r="14" spans="1:18" x14ac:dyDescent="0.3">
      <c r="A14" s="362"/>
      <c r="B14" s="1350" t="s">
        <v>383</v>
      </c>
      <c r="C14" s="1351"/>
      <c r="D14" s="1351"/>
      <c r="E14" s="1351"/>
      <c r="F14" s="1352"/>
      <c r="G14" s="362"/>
      <c r="H14" s="1350" t="s">
        <v>384</v>
      </c>
      <c r="I14" s="1351"/>
      <c r="J14" s="1351"/>
      <c r="K14" s="1351"/>
      <c r="L14" s="1352"/>
      <c r="M14" s="362"/>
      <c r="N14" s="1350" t="s">
        <v>385</v>
      </c>
      <c r="O14" s="1351"/>
      <c r="P14" s="1351"/>
      <c r="Q14" s="1351"/>
      <c r="R14" s="1352"/>
    </row>
    <row r="15" spans="1:18" x14ac:dyDescent="0.3">
      <c r="A15" s="362"/>
      <c r="B15" s="1341" t="s">
        <v>164</v>
      </c>
      <c r="C15" s="1341"/>
      <c r="D15" s="1341"/>
      <c r="E15" s="1341"/>
      <c r="F15" s="1341"/>
      <c r="G15" s="362"/>
      <c r="H15" s="1341" t="s">
        <v>164</v>
      </c>
      <c r="I15" s="1341"/>
      <c r="J15" s="1341"/>
      <c r="K15" s="1341"/>
      <c r="L15" s="1341"/>
      <c r="M15" s="362"/>
      <c r="N15" s="1341" t="s">
        <v>381</v>
      </c>
      <c r="O15" s="1341"/>
      <c r="P15" s="1341"/>
      <c r="Q15" s="1341"/>
      <c r="R15" s="1341"/>
    </row>
    <row r="16" spans="1:18" x14ac:dyDescent="0.3">
      <c r="A16" s="362"/>
      <c r="B16" s="1342" t="s">
        <v>382</v>
      </c>
      <c r="C16" s="1343"/>
      <c r="D16" s="1344"/>
      <c r="E16" s="1345" t="s">
        <v>274</v>
      </c>
      <c r="F16" s="1345" t="s">
        <v>167</v>
      </c>
      <c r="G16" s="362"/>
      <c r="H16" s="1342" t="s">
        <v>382</v>
      </c>
      <c r="I16" s="1343"/>
      <c r="J16" s="1344"/>
      <c r="K16" s="1345" t="s">
        <v>274</v>
      </c>
      <c r="L16" s="1345" t="s">
        <v>167</v>
      </c>
      <c r="M16" s="362"/>
      <c r="N16" s="1342" t="s">
        <v>382</v>
      </c>
      <c r="O16" s="1343"/>
      <c r="P16" s="1344"/>
      <c r="Q16" s="1345" t="s">
        <v>274</v>
      </c>
      <c r="R16" s="1345" t="s">
        <v>167</v>
      </c>
    </row>
    <row r="17" spans="1:18" x14ac:dyDescent="0.3">
      <c r="A17" s="362"/>
      <c r="B17" s="354" t="s">
        <v>9</v>
      </c>
      <c r="C17" s="354">
        <v>2018</v>
      </c>
      <c r="D17" s="354">
        <v>2019</v>
      </c>
      <c r="E17" s="1346"/>
      <c r="F17" s="1346"/>
      <c r="G17" s="362"/>
      <c r="H17" s="354" t="s">
        <v>9</v>
      </c>
      <c r="I17" s="354">
        <v>2018</v>
      </c>
      <c r="J17" s="354">
        <v>2019</v>
      </c>
      <c r="K17" s="1346"/>
      <c r="L17" s="1346"/>
      <c r="M17" s="362"/>
      <c r="N17" s="354" t="s">
        <v>9</v>
      </c>
      <c r="O17" s="354">
        <v>2017</v>
      </c>
      <c r="P17" s="354">
        <v>2018</v>
      </c>
      <c r="Q17" s="1346"/>
      <c r="R17" s="1346"/>
    </row>
    <row r="18" spans="1:18" x14ac:dyDescent="0.3">
      <c r="A18" s="362"/>
      <c r="B18" s="354">
        <v>0</v>
      </c>
      <c r="C18" s="364">
        <v>1.0000000000000001E-5</v>
      </c>
      <c r="D18" s="364">
        <v>1.0000000000000001E-5</v>
      </c>
      <c r="E18" s="354">
        <f>0.5*(MAX(C18:D18)-MIN(C18:D18))</f>
        <v>0</v>
      </c>
      <c r="F18" s="364">
        <v>1E-3</v>
      </c>
      <c r="G18" s="362"/>
      <c r="H18" s="354">
        <v>0</v>
      </c>
      <c r="I18" s="364">
        <v>1.0000000000000001E-5</v>
      </c>
      <c r="J18" s="364">
        <v>1.0000000000000001E-5</v>
      </c>
      <c r="K18" s="354">
        <f>0.5*(MAX(I18:J18)-MIN(I18:J18))</f>
        <v>0</v>
      </c>
      <c r="L18" s="364">
        <v>1E-3</v>
      </c>
      <c r="M18" s="362"/>
      <c r="N18" s="354">
        <v>0</v>
      </c>
      <c r="O18" s="364">
        <v>1.0000000000000001E-5</v>
      </c>
      <c r="P18" s="364">
        <v>1.0000000000000001E-5</v>
      </c>
      <c r="Q18" s="354">
        <f>0.5*(MAX(O18:P18)-MIN(O18:P18))</f>
        <v>0</v>
      </c>
      <c r="R18" s="364">
        <v>1E-3</v>
      </c>
    </row>
    <row r="19" spans="1:18" x14ac:dyDescent="0.3">
      <c r="A19" s="362"/>
      <c r="B19" s="354">
        <v>30</v>
      </c>
      <c r="C19" s="364">
        <v>1.0000000000000001E-5</v>
      </c>
      <c r="D19" s="364">
        <v>1.0000000000000001E-5</v>
      </c>
      <c r="E19" s="354">
        <f t="shared" ref="E19:E22" si="3">0.5*(MAX(C19:D19)-MIN(C19:D19))</f>
        <v>0</v>
      </c>
      <c r="F19" s="364">
        <v>1E-3</v>
      </c>
      <c r="G19" s="362"/>
      <c r="H19" s="354">
        <v>30</v>
      </c>
      <c r="I19" s="364">
        <v>1.0000000000000001E-5</v>
      </c>
      <c r="J19" s="364">
        <v>1.0000000000000001E-5</v>
      </c>
      <c r="K19" s="354">
        <f t="shared" ref="K19:K22" si="4">0.5*(MAX(I19:J19)-MIN(I19:J19))</f>
        <v>0</v>
      </c>
      <c r="L19" s="364">
        <v>1E-3</v>
      </c>
      <c r="M19" s="362"/>
      <c r="N19" s="354">
        <v>30</v>
      </c>
      <c r="O19" s="364">
        <v>1.0000000000000001E-5</v>
      </c>
      <c r="P19" s="364">
        <v>1.0000000000000001E-5</v>
      </c>
      <c r="Q19" s="354">
        <f t="shared" ref="Q19:Q22" si="5">0.5*(MAX(O19:P19)-MIN(O19:P19))</f>
        <v>0</v>
      </c>
      <c r="R19" s="364">
        <v>1E-3</v>
      </c>
    </row>
    <row r="20" spans="1:18" x14ac:dyDescent="0.3">
      <c r="A20" s="362"/>
      <c r="B20" s="354">
        <v>60</v>
      </c>
      <c r="C20" s="364">
        <v>1.0000000000000001E-5</v>
      </c>
      <c r="D20" s="364">
        <v>1.0000000000000001E-5</v>
      </c>
      <c r="E20" s="354">
        <f t="shared" si="3"/>
        <v>0</v>
      </c>
      <c r="F20" s="364">
        <v>1E-3</v>
      </c>
      <c r="G20" s="362"/>
      <c r="H20" s="354">
        <v>60</v>
      </c>
      <c r="I20" s="364">
        <v>1.0000000000000001E-5</v>
      </c>
      <c r="J20" s="364">
        <v>1.0000000000000001E-5</v>
      </c>
      <c r="K20" s="354">
        <f t="shared" si="4"/>
        <v>0</v>
      </c>
      <c r="L20" s="364">
        <v>1E-3</v>
      </c>
      <c r="M20" s="362"/>
      <c r="N20" s="354">
        <v>60</v>
      </c>
      <c r="O20" s="364">
        <v>1.0000000000000001E-5</v>
      </c>
      <c r="P20" s="364">
        <v>1.0000000000000001E-5</v>
      </c>
      <c r="Q20" s="354">
        <f t="shared" si="5"/>
        <v>0</v>
      </c>
      <c r="R20" s="364">
        <v>1E-3</v>
      </c>
    </row>
    <row r="21" spans="1:18" x14ac:dyDescent="0.3">
      <c r="A21" s="362"/>
      <c r="B21" s="354">
        <v>120</v>
      </c>
      <c r="C21" s="364">
        <v>1.0000000000000001E-5</v>
      </c>
      <c r="D21" s="364">
        <v>1.0000000000000001E-5</v>
      </c>
      <c r="E21" s="354">
        <f t="shared" si="3"/>
        <v>0</v>
      </c>
      <c r="F21" s="364">
        <v>1E-3</v>
      </c>
      <c r="G21" s="362"/>
      <c r="H21" s="354">
        <v>120</v>
      </c>
      <c r="I21" s="364">
        <v>1.0000000000000001E-5</v>
      </c>
      <c r="J21" s="364">
        <v>1.0000000000000001E-5</v>
      </c>
      <c r="K21" s="354">
        <f t="shared" si="4"/>
        <v>0</v>
      </c>
      <c r="L21" s="364">
        <v>1E-3</v>
      </c>
      <c r="M21" s="362"/>
      <c r="N21" s="354">
        <v>120</v>
      </c>
      <c r="O21" s="364">
        <v>1.0000000000000001E-5</v>
      </c>
      <c r="P21" s="364">
        <v>1.0000000000000001E-5</v>
      </c>
      <c r="Q21" s="354">
        <f t="shared" si="5"/>
        <v>0</v>
      </c>
      <c r="R21" s="364">
        <v>1E-3</v>
      </c>
    </row>
    <row r="22" spans="1:18" x14ac:dyDescent="0.3">
      <c r="A22" s="362"/>
      <c r="B22" s="354">
        <v>240</v>
      </c>
      <c r="C22" s="364">
        <v>1.0000000000000001E-5</v>
      </c>
      <c r="D22" s="364">
        <v>1.0000000000000001E-5</v>
      </c>
      <c r="E22" s="354">
        <f t="shared" si="3"/>
        <v>0</v>
      </c>
      <c r="F22" s="364">
        <v>1E-3</v>
      </c>
      <c r="G22" s="362"/>
      <c r="H22" s="354">
        <v>240</v>
      </c>
      <c r="I22" s="364">
        <v>1.0000000000000001E-5</v>
      </c>
      <c r="J22" s="364">
        <v>1.0000000000000001E-5</v>
      </c>
      <c r="K22" s="354">
        <f t="shared" si="4"/>
        <v>0</v>
      </c>
      <c r="L22" s="364">
        <v>1E-3</v>
      </c>
      <c r="M22" s="362"/>
      <c r="N22" s="354">
        <v>240</v>
      </c>
      <c r="O22" s="364">
        <v>1.0000000000000001E-5</v>
      </c>
      <c r="P22" s="364">
        <v>1.0000000000000001E-5</v>
      </c>
      <c r="Q22" s="354">
        <f t="shared" si="5"/>
        <v>0</v>
      </c>
      <c r="R22" s="364">
        <v>1E-3</v>
      </c>
    </row>
    <row r="23" spans="1:18" x14ac:dyDescent="0.3">
      <c r="A23" s="362"/>
      <c r="B23" s="362"/>
      <c r="C23" s="362"/>
      <c r="D23" s="362"/>
      <c r="E23" s="362"/>
      <c r="F23" s="362"/>
      <c r="G23" s="362"/>
      <c r="H23" s="362"/>
      <c r="I23" s="362"/>
      <c r="J23" s="362"/>
      <c r="K23" s="362"/>
      <c r="L23" s="362"/>
      <c r="M23" s="362"/>
      <c r="N23" s="362"/>
      <c r="O23" s="362"/>
      <c r="P23" s="362"/>
      <c r="Q23" s="362"/>
      <c r="R23" s="362"/>
    </row>
    <row r="24" spans="1:18" x14ac:dyDescent="0.3">
      <c r="A24" s="362"/>
      <c r="B24" s="1350" t="s">
        <v>386</v>
      </c>
      <c r="C24" s="1351"/>
      <c r="D24" s="1351"/>
      <c r="E24" s="1351"/>
      <c r="F24" s="1352"/>
      <c r="G24" s="362"/>
      <c r="H24" s="1350" t="s">
        <v>387</v>
      </c>
      <c r="I24" s="1351"/>
      <c r="J24" s="1351"/>
      <c r="K24" s="1351"/>
      <c r="L24" s="1352"/>
      <c r="M24" s="362"/>
      <c r="N24" s="1350" t="s">
        <v>388</v>
      </c>
      <c r="O24" s="1351"/>
      <c r="P24" s="1351"/>
      <c r="Q24" s="1351"/>
      <c r="R24" s="1352"/>
    </row>
    <row r="25" spans="1:18" x14ac:dyDescent="0.3">
      <c r="A25" s="362"/>
      <c r="B25" s="1341" t="s">
        <v>381</v>
      </c>
      <c r="C25" s="1341"/>
      <c r="D25" s="1341"/>
      <c r="E25" s="1341"/>
      <c r="F25" s="1341"/>
      <c r="G25" s="362"/>
      <c r="H25" s="1341" t="s">
        <v>381</v>
      </c>
      <c r="I25" s="1341"/>
      <c r="J25" s="1341"/>
      <c r="K25" s="1341"/>
      <c r="L25" s="1341"/>
      <c r="M25" s="362"/>
      <c r="N25" s="1341" t="s">
        <v>381</v>
      </c>
      <c r="O25" s="1341"/>
      <c r="P25" s="1341"/>
      <c r="Q25" s="1341"/>
      <c r="R25" s="1341"/>
    </row>
    <row r="26" spans="1:18" x14ac:dyDescent="0.3">
      <c r="A26" s="362"/>
      <c r="B26" s="1342" t="s">
        <v>382</v>
      </c>
      <c r="C26" s="1343"/>
      <c r="D26" s="1344"/>
      <c r="E26" s="1345" t="s">
        <v>274</v>
      </c>
      <c r="F26" s="1345" t="s">
        <v>167</v>
      </c>
      <c r="G26" s="362"/>
      <c r="H26" s="1342" t="s">
        <v>382</v>
      </c>
      <c r="I26" s="1343"/>
      <c r="J26" s="1344"/>
      <c r="K26" s="1345" t="s">
        <v>274</v>
      </c>
      <c r="L26" s="1345" t="s">
        <v>167</v>
      </c>
      <c r="M26" s="362"/>
      <c r="N26" s="1342" t="s">
        <v>382</v>
      </c>
      <c r="O26" s="1343"/>
      <c r="P26" s="1344"/>
      <c r="Q26" s="1345" t="s">
        <v>274</v>
      </c>
      <c r="R26" s="1345" t="s">
        <v>167</v>
      </c>
    </row>
    <row r="27" spans="1:18" x14ac:dyDescent="0.3">
      <c r="A27" s="362"/>
      <c r="B27" s="354" t="s">
        <v>9</v>
      </c>
      <c r="C27" s="354">
        <v>2017</v>
      </c>
      <c r="D27" s="354">
        <v>2018</v>
      </c>
      <c r="E27" s="1346"/>
      <c r="F27" s="1346"/>
      <c r="G27" s="362"/>
      <c r="H27" s="354" t="s">
        <v>9</v>
      </c>
      <c r="I27" s="354">
        <v>2017</v>
      </c>
      <c r="J27" s="354">
        <v>2018</v>
      </c>
      <c r="K27" s="1346"/>
      <c r="L27" s="1346"/>
      <c r="M27" s="362"/>
      <c r="N27" s="354" t="s">
        <v>9</v>
      </c>
      <c r="O27" s="354">
        <v>2017</v>
      </c>
      <c r="P27" s="354">
        <v>2018</v>
      </c>
      <c r="Q27" s="1346"/>
      <c r="R27" s="1346"/>
    </row>
    <row r="28" spans="1:18" x14ac:dyDescent="0.3">
      <c r="A28" s="362"/>
      <c r="B28" s="354">
        <v>0</v>
      </c>
      <c r="C28" s="364">
        <v>1.0000000000000001E-5</v>
      </c>
      <c r="D28" s="364">
        <v>1.0000000000000001E-5</v>
      </c>
      <c r="E28" s="354">
        <f>0.5*(MAX(C28:D28)-MIN(C28:D28))</f>
        <v>0</v>
      </c>
      <c r="F28" s="364">
        <v>1E-3</v>
      </c>
      <c r="G28" s="362"/>
      <c r="H28" s="354">
        <v>0</v>
      </c>
      <c r="I28" s="364">
        <v>1.0000000000000001E-5</v>
      </c>
      <c r="J28" s="364">
        <v>1.0000000000000001E-5</v>
      </c>
      <c r="K28" s="354">
        <f>0.5*(MAX(I28:J28)-MIN(I28:J28))</f>
        <v>0</v>
      </c>
      <c r="L28" s="364">
        <v>1E-3</v>
      </c>
      <c r="M28" s="362"/>
      <c r="N28" s="354">
        <v>0</v>
      </c>
      <c r="O28" s="364">
        <v>1.0000000000000001E-5</v>
      </c>
      <c r="P28" s="364">
        <v>1.0000000000000001E-5</v>
      </c>
      <c r="Q28" s="354">
        <f>0.5*(MAX(O28:P28)-MIN(O28:P28))</f>
        <v>0</v>
      </c>
      <c r="R28" s="364">
        <v>1E-3</v>
      </c>
    </row>
    <row r="29" spans="1:18" x14ac:dyDescent="0.3">
      <c r="A29" s="362"/>
      <c r="B29" s="354">
        <v>30</v>
      </c>
      <c r="C29" s="364">
        <v>1.0000000000000001E-5</v>
      </c>
      <c r="D29" s="364">
        <v>1.0000000000000001E-5</v>
      </c>
      <c r="E29" s="354">
        <f t="shared" ref="E29:E32" si="6">0.5*(MAX(C29:D29)-MIN(C29:D29))</f>
        <v>0</v>
      </c>
      <c r="F29" s="364">
        <v>1E-3</v>
      </c>
      <c r="G29" s="362"/>
      <c r="H29" s="354">
        <v>30</v>
      </c>
      <c r="I29" s="364">
        <v>1.0000000000000001E-5</v>
      </c>
      <c r="J29" s="364">
        <v>1.0000000000000001E-5</v>
      </c>
      <c r="K29" s="354">
        <f t="shared" ref="K29:K32" si="7">0.5*(MAX(I29:J29)-MIN(I29:J29))</f>
        <v>0</v>
      </c>
      <c r="L29" s="364">
        <v>1E-3</v>
      </c>
      <c r="M29" s="362"/>
      <c r="N29" s="354">
        <v>30</v>
      </c>
      <c r="O29" s="364">
        <v>1.0000000000000001E-5</v>
      </c>
      <c r="P29" s="364">
        <v>1.0000000000000001E-5</v>
      </c>
      <c r="Q29" s="354">
        <f t="shared" ref="Q29:Q32" si="8">0.5*(MAX(O29:P29)-MIN(O29:P29))</f>
        <v>0</v>
      </c>
      <c r="R29" s="364">
        <v>1E-3</v>
      </c>
    </row>
    <row r="30" spans="1:18" x14ac:dyDescent="0.3">
      <c r="A30" s="362"/>
      <c r="B30" s="354">
        <v>60</v>
      </c>
      <c r="C30" s="364">
        <v>1.0000000000000001E-5</v>
      </c>
      <c r="D30" s="364">
        <v>1.0000000000000001E-5</v>
      </c>
      <c r="E30" s="354">
        <f t="shared" si="6"/>
        <v>0</v>
      </c>
      <c r="F30" s="364">
        <v>1E-3</v>
      </c>
      <c r="G30" s="362"/>
      <c r="H30" s="354">
        <v>60</v>
      </c>
      <c r="I30" s="364">
        <v>1.0000000000000001E-5</v>
      </c>
      <c r="J30" s="364">
        <v>1.0000000000000001E-5</v>
      </c>
      <c r="K30" s="354">
        <f t="shared" si="7"/>
        <v>0</v>
      </c>
      <c r="L30" s="364">
        <v>1E-3</v>
      </c>
      <c r="M30" s="362"/>
      <c r="N30" s="354">
        <v>60</v>
      </c>
      <c r="O30" s="364">
        <v>1.0000000000000001E-5</v>
      </c>
      <c r="P30" s="364">
        <v>1.0000000000000001E-5</v>
      </c>
      <c r="Q30" s="354">
        <f t="shared" si="8"/>
        <v>0</v>
      </c>
      <c r="R30" s="364">
        <v>1E-3</v>
      </c>
    </row>
    <row r="31" spans="1:18" x14ac:dyDescent="0.3">
      <c r="A31" s="362"/>
      <c r="B31" s="354">
        <v>120</v>
      </c>
      <c r="C31" s="364">
        <v>1.0000000000000001E-5</v>
      </c>
      <c r="D31" s="364">
        <v>1.0000000000000001E-5</v>
      </c>
      <c r="E31" s="354">
        <f t="shared" si="6"/>
        <v>0</v>
      </c>
      <c r="F31" s="364">
        <v>1E-3</v>
      </c>
      <c r="G31" s="362"/>
      <c r="H31" s="354">
        <v>120</v>
      </c>
      <c r="I31" s="364">
        <v>1.0000000000000001E-5</v>
      </c>
      <c r="J31" s="364">
        <v>1.0000000000000001E-5</v>
      </c>
      <c r="K31" s="354">
        <f t="shared" si="7"/>
        <v>0</v>
      </c>
      <c r="L31" s="364">
        <v>1E-3</v>
      </c>
      <c r="M31" s="362"/>
      <c r="N31" s="354">
        <v>120</v>
      </c>
      <c r="O31" s="364">
        <v>1.0000000000000001E-5</v>
      </c>
      <c r="P31" s="364">
        <v>1.0000000000000001E-5</v>
      </c>
      <c r="Q31" s="354">
        <f t="shared" si="8"/>
        <v>0</v>
      </c>
      <c r="R31" s="364">
        <v>1E-3</v>
      </c>
    </row>
    <row r="32" spans="1:18" x14ac:dyDescent="0.3">
      <c r="A32" s="362"/>
      <c r="B32" s="354">
        <v>240</v>
      </c>
      <c r="C32" s="364">
        <v>1.0000000000000001E-5</v>
      </c>
      <c r="D32" s="364">
        <v>1.0000000000000001E-5</v>
      </c>
      <c r="E32" s="354">
        <f t="shared" si="6"/>
        <v>0</v>
      </c>
      <c r="F32" s="364">
        <v>1E-3</v>
      </c>
      <c r="G32" s="362"/>
      <c r="H32" s="354">
        <v>240</v>
      </c>
      <c r="I32" s="364">
        <v>1.0000000000000001E-5</v>
      </c>
      <c r="J32" s="364">
        <v>1.0000000000000001E-5</v>
      </c>
      <c r="K32" s="354">
        <f t="shared" si="7"/>
        <v>0</v>
      </c>
      <c r="L32" s="364">
        <v>1E-3</v>
      </c>
      <c r="M32" s="362"/>
      <c r="N32" s="354">
        <v>240</v>
      </c>
      <c r="O32" s="364">
        <v>1.0000000000000001E-5</v>
      </c>
      <c r="P32" s="364">
        <v>1.0000000000000001E-5</v>
      </c>
      <c r="Q32" s="354">
        <f t="shared" si="8"/>
        <v>0</v>
      </c>
      <c r="R32" s="364">
        <v>1E-3</v>
      </c>
    </row>
    <row r="33" spans="1:18" x14ac:dyDescent="0.3">
      <c r="A33" s="362"/>
      <c r="B33" s="362"/>
      <c r="C33" s="362"/>
      <c r="D33" s="362"/>
      <c r="E33" s="362"/>
      <c r="F33" s="362"/>
      <c r="G33" s="362"/>
      <c r="H33" s="362"/>
      <c r="I33" s="362"/>
      <c r="J33" s="362"/>
      <c r="K33" s="362"/>
      <c r="L33" s="362"/>
      <c r="M33" s="362"/>
      <c r="N33" s="362"/>
      <c r="O33" s="362"/>
      <c r="P33" s="362"/>
      <c r="Q33" s="362"/>
      <c r="R33" s="362"/>
    </row>
    <row r="34" spans="1:18" x14ac:dyDescent="0.3">
      <c r="A34" s="362"/>
      <c r="B34" s="1350" t="s">
        <v>389</v>
      </c>
      <c r="C34" s="1351"/>
      <c r="D34" s="1351"/>
      <c r="E34" s="1351"/>
      <c r="F34" s="1352"/>
      <c r="G34" s="362"/>
      <c r="H34" s="362"/>
      <c r="I34" s="362"/>
      <c r="J34" s="362"/>
      <c r="K34" s="362"/>
      <c r="L34" s="362"/>
      <c r="M34" s="362"/>
      <c r="N34" s="362"/>
      <c r="O34" s="362"/>
      <c r="P34" s="362"/>
      <c r="Q34" s="362"/>
      <c r="R34" s="362"/>
    </row>
    <row r="35" spans="1:18" x14ac:dyDescent="0.3">
      <c r="A35" s="362"/>
      <c r="B35" s="1341" t="s">
        <v>381</v>
      </c>
      <c r="C35" s="1341"/>
      <c r="D35" s="1341"/>
      <c r="E35" s="1341"/>
      <c r="F35" s="1341"/>
      <c r="G35" s="362"/>
      <c r="H35" s="362"/>
      <c r="I35" s="362"/>
      <c r="J35" s="362"/>
      <c r="K35" s="362"/>
      <c r="L35" s="362"/>
      <c r="M35" s="362"/>
      <c r="N35" s="362"/>
      <c r="O35" s="362"/>
      <c r="P35" s="362"/>
      <c r="Q35" s="362"/>
      <c r="R35" s="362"/>
    </row>
    <row r="36" spans="1:18" x14ac:dyDescent="0.3">
      <c r="A36" s="362"/>
      <c r="B36" s="1342" t="s">
        <v>382</v>
      </c>
      <c r="C36" s="1343"/>
      <c r="D36" s="1344"/>
      <c r="E36" s="1345" t="s">
        <v>274</v>
      </c>
      <c r="F36" s="1345" t="s">
        <v>167</v>
      </c>
      <c r="G36" s="362"/>
      <c r="H36" s="362"/>
      <c r="I36" s="362"/>
      <c r="J36" s="362"/>
      <c r="K36" s="362"/>
      <c r="L36" s="362"/>
      <c r="M36" s="362"/>
      <c r="N36" s="362"/>
      <c r="O36" s="362"/>
      <c r="P36" s="362"/>
      <c r="Q36" s="362"/>
      <c r="R36" s="362"/>
    </row>
    <row r="37" spans="1:18" x14ac:dyDescent="0.3">
      <c r="A37" s="362"/>
      <c r="B37" s="354" t="s">
        <v>9</v>
      </c>
      <c r="C37" s="354">
        <v>2017</v>
      </c>
      <c r="D37" s="354">
        <v>2018</v>
      </c>
      <c r="E37" s="1346"/>
      <c r="F37" s="1346"/>
      <c r="G37" s="362"/>
      <c r="H37" s="362"/>
      <c r="I37" s="362"/>
      <c r="J37" s="362"/>
      <c r="K37" s="362"/>
      <c r="L37" s="362"/>
      <c r="M37" s="362"/>
      <c r="N37" s="362"/>
      <c r="O37" s="362"/>
      <c r="P37" s="362"/>
      <c r="Q37" s="362"/>
      <c r="R37" s="362"/>
    </row>
    <row r="38" spans="1:18" x14ac:dyDescent="0.3">
      <c r="A38" s="362"/>
      <c r="B38" s="354">
        <v>0</v>
      </c>
      <c r="C38" s="364">
        <v>1.0000000000000001E-5</v>
      </c>
      <c r="D38" s="364">
        <v>1.0000000000000001E-5</v>
      </c>
      <c r="E38" s="354">
        <f>0.5*(MAX(C38:D38)-MIN(C38:D38))</f>
        <v>0</v>
      </c>
      <c r="F38" s="364">
        <v>1E-3</v>
      </c>
      <c r="G38" s="362"/>
      <c r="H38" s="362"/>
      <c r="I38" s="362"/>
      <c r="J38" s="362"/>
      <c r="K38" s="362"/>
      <c r="L38" s="362"/>
      <c r="M38" s="362"/>
      <c r="N38" s="362"/>
      <c r="O38" s="362"/>
      <c r="P38" s="362"/>
      <c r="Q38" s="362"/>
      <c r="R38" s="362"/>
    </row>
    <row r="39" spans="1:18" x14ac:dyDescent="0.3">
      <c r="A39" s="362"/>
      <c r="B39" s="354">
        <v>30</v>
      </c>
      <c r="C39" s="364">
        <v>1.0000000000000001E-5</v>
      </c>
      <c r="D39" s="364">
        <v>1.0000000000000001E-5</v>
      </c>
      <c r="E39" s="354">
        <f t="shared" ref="E39:E42" si="9">0.5*(MAX(C39:D39)-MIN(C39:D39))</f>
        <v>0</v>
      </c>
      <c r="F39" s="364">
        <v>1E-3</v>
      </c>
      <c r="G39" s="362"/>
      <c r="H39" s="362"/>
      <c r="I39" s="362"/>
      <c r="J39" s="362"/>
      <c r="K39" s="362"/>
      <c r="L39" s="362"/>
      <c r="M39" s="362"/>
      <c r="N39" s="362"/>
      <c r="O39" s="362"/>
      <c r="P39" s="362"/>
      <c r="Q39" s="362"/>
      <c r="R39" s="362"/>
    </row>
    <row r="40" spans="1:18" x14ac:dyDescent="0.3">
      <c r="A40" s="362"/>
      <c r="B40" s="354">
        <v>60</v>
      </c>
      <c r="C40" s="364">
        <v>1.0000000000000001E-5</v>
      </c>
      <c r="D40" s="364">
        <v>1.0000000000000001E-5</v>
      </c>
      <c r="E40" s="354">
        <f t="shared" si="9"/>
        <v>0</v>
      </c>
      <c r="F40" s="364">
        <v>1E-3</v>
      </c>
      <c r="G40" s="362"/>
      <c r="H40" s="362"/>
      <c r="I40" s="362"/>
      <c r="J40" s="362"/>
      <c r="K40" s="362"/>
      <c r="L40" s="362"/>
      <c r="M40" s="362"/>
      <c r="N40" s="362"/>
      <c r="O40" s="362"/>
      <c r="P40" s="362"/>
      <c r="Q40" s="362"/>
      <c r="R40" s="362"/>
    </row>
    <row r="41" spans="1:18" x14ac:dyDescent="0.3">
      <c r="A41" s="362"/>
      <c r="B41" s="354">
        <v>120</v>
      </c>
      <c r="C41" s="364">
        <v>1.0000000000000001E-5</v>
      </c>
      <c r="D41" s="364">
        <v>1.0000000000000001E-5</v>
      </c>
      <c r="E41" s="354">
        <f t="shared" si="9"/>
        <v>0</v>
      </c>
      <c r="F41" s="364">
        <v>1E-3</v>
      </c>
      <c r="G41" s="362"/>
      <c r="H41" s="362"/>
      <c r="I41" s="362"/>
      <c r="J41" s="362"/>
      <c r="K41" s="362"/>
      <c r="L41" s="362"/>
      <c r="M41" s="362"/>
      <c r="N41" s="362"/>
      <c r="O41" s="362"/>
      <c r="P41" s="362"/>
      <c r="Q41" s="362"/>
      <c r="R41" s="362"/>
    </row>
    <row r="42" spans="1:18" x14ac:dyDescent="0.3">
      <c r="A42" s="362"/>
      <c r="B42" s="354">
        <v>240</v>
      </c>
      <c r="C42" s="364">
        <v>1.0000000000000001E-5</v>
      </c>
      <c r="D42" s="364">
        <v>1.0000000000000001E-5</v>
      </c>
      <c r="E42" s="354">
        <f t="shared" si="9"/>
        <v>0</v>
      </c>
      <c r="F42" s="364">
        <v>1E-3</v>
      </c>
      <c r="G42" s="362"/>
      <c r="H42" s="362"/>
      <c r="I42" s="362"/>
      <c r="J42" s="362"/>
      <c r="K42" s="362"/>
      <c r="L42" s="362"/>
      <c r="M42" s="362"/>
      <c r="N42" s="362"/>
      <c r="O42" s="362"/>
      <c r="P42" s="362"/>
      <c r="Q42" s="362"/>
      <c r="R42" s="362"/>
    </row>
    <row r="43" spans="1:18" x14ac:dyDescent="0.3">
      <c r="A43" s="362"/>
      <c r="B43" s="362"/>
      <c r="C43" s="362"/>
      <c r="D43" s="362"/>
      <c r="E43" s="362"/>
      <c r="F43" s="362"/>
      <c r="G43" s="362"/>
      <c r="H43" s="362"/>
      <c r="I43" s="362"/>
      <c r="J43" s="362"/>
      <c r="K43" s="362"/>
      <c r="L43" s="362"/>
      <c r="M43" s="362"/>
      <c r="N43" s="362"/>
      <c r="O43" s="362"/>
      <c r="P43" s="362"/>
      <c r="Q43" s="362"/>
      <c r="R43" s="362"/>
    </row>
    <row r="44" spans="1:18" x14ac:dyDescent="0.3">
      <c r="A44" s="362"/>
      <c r="B44" s="362"/>
      <c r="C44" s="362"/>
      <c r="D44" s="362"/>
      <c r="E44" s="362"/>
      <c r="F44" s="362"/>
      <c r="G44" s="362"/>
      <c r="H44" s="362"/>
      <c r="I44" s="362"/>
      <c r="J44" s="362"/>
      <c r="K44" s="362"/>
      <c r="L44" s="362"/>
      <c r="M44" s="362"/>
      <c r="N44" s="362"/>
      <c r="O44" s="362"/>
      <c r="P44" s="362"/>
      <c r="Q44" s="362"/>
      <c r="R44" s="362"/>
    </row>
    <row r="45" spans="1:18" ht="14.5" thickBot="1" x14ac:dyDescent="0.35">
      <c r="A45" s="362"/>
      <c r="B45" s="362"/>
      <c r="C45" s="362"/>
      <c r="D45" s="362"/>
      <c r="E45" s="362"/>
      <c r="F45" s="362"/>
      <c r="G45" s="362"/>
      <c r="H45" s="362"/>
      <c r="I45" s="362"/>
      <c r="J45" s="362"/>
      <c r="K45" s="362"/>
      <c r="L45" s="362"/>
      <c r="M45" s="362"/>
      <c r="N45" s="362"/>
      <c r="O45" s="362"/>
      <c r="P45" s="362"/>
      <c r="Q45" s="362"/>
      <c r="R45" s="362"/>
    </row>
    <row r="46" spans="1:18" x14ac:dyDescent="0.3">
      <c r="A46" s="1353">
        <v>30</v>
      </c>
      <c r="B46" s="1356" t="s">
        <v>33</v>
      </c>
      <c r="C46" s="1358" t="s">
        <v>390</v>
      </c>
      <c r="D46" s="1358"/>
      <c r="E46" s="1358"/>
      <c r="F46" s="1358"/>
      <c r="G46" s="1359"/>
      <c r="H46" s="362"/>
      <c r="I46" s="362"/>
      <c r="J46" s="362"/>
      <c r="K46" s="362"/>
      <c r="L46" s="362"/>
      <c r="M46" s="362"/>
      <c r="N46" s="362"/>
      <c r="O46" s="362"/>
      <c r="P46" s="362"/>
      <c r="Q46" s="362"/>
      <c r="R46" s="362"/>
    </row>
    <row r="47" spans="1:18" x14ac:dyDescent="0.3">
      <c r="A47" s="1354"/>
      <c r="B47" s="1357"/>
      <c r="C47" s="1360" t="str">
        <f>B6</f>
        <v>Setting BPM</v>
      </c>
      <c r="D47" s="1360"/>
      <c r="E47" s="1360"/>
      <c r="F47" s="1361" t="s">
        <v>274</v>
      </c>
      <c r="G47" s="1363" t="s">
        <v>167</v>
      </c>
      <c r="H47" s="362"/>
      <c r="I47" s="362"/>
      <c r="J47" s="362"/>
      <c r="K47" s="362"/>
      <c r="L47" s="362"/>
      <c r="M47" s="362"/>
      <c r="N47" s="362"/>
      <c r="O47" s="362"/>
      <c r="P47" s="362"/>
      <c r="Q47" s="362"/>
      <c r="R47" s="362"/>
    </row>
    <row r="48" spans="1:18" x14ac:dyDescent="0.3">
      <c r="A48" s="1354"/>
      <c r="B48" s="1357"/>
      <c r="C48" s="355" t="s">
        <v>9</v>
      </c>
      <c r="D48" s="355">
        <v>2017</v>
      </c>
      <c r="E48" s="355">
        <v>2018</v>
      </c>
      <c r="F48" s="1362"/>
      <c r="G48" s="1364"/>
      <c r="H48" s="362"/>
      <c r="I48" s="362"/>
      <c r="J48" s="362"/>
      <c r="K48" s="362"/>
      <c r="L48" s="362"/>
      <c r="M48" s="362"/>
      <c r="N48" s="362"/>
      <c r="O48" s="362"/>
      <c r="P48" s="362"/>
      <c r="Q48" s="362"/>
      <c r="R48" s="362"/>
    </row>
    <row r="49" spans="1:18" ht="15.75" customHeight="1" thickBot="1" x14ac:dyDescent="0.35">
      <c r="A49" s="1354"/>
      <c r="B49" s="355">
        <v>1</v>
      </c>
      <c r="C49" s="355">
        <v>30</v>
      </c>
      <c r="D49" s="356">
        <f>$C$9</f>
        <v>1.0000000000000001E-5</v>
      </c>
      <c r="E49" s="356">
        <f>$D$9</f>
        <v>1.0000000000000001E-5</v>
      </c>
      <c r="F49" s="355">
        <f>$E$9</f>
        <v>0</v>
      </c>
      <c r="G49" s="356">
        <f>$F$9</f>
        <v>1E-3</v>
      </c>
      <c r="H49" s="362"/>
      <c r="I49" s="362"/>
      <c r="J49" s="362"/>
      <c r="K49" s="362"/>
      <c r="L49" s="362"/>
      <c r="M49" s="362"/>
      <c r="N49" s="362"/>
      <c r="O49" s="362"/>
      <c r="P49" s="362"/>
      <c r="Q49" s="362"/>
      <c r="R49" s="362"/>
    </row>
    <row r="50" spans="1:18" ht="15.75" customHeight="1" thickBot="1" x14ac:dyDescent="0.35">
      <c r="A50" s="1354"/>
      <c r="B50" s="355">
        <v>2</v>
      </c>
      <c r="C50" s="355">
        <v>30</v>
      </c>
      <c r="D50" s="356">
        <f>$I$9</f>
        <v>1.0000000000000001E-5</v>
      </c>
      <c r="E50" s="356">
        <f>$J$9</f>
        <v>1.0000000000000001E-5</v>
      </c>
      <c r="F50" s="355">
        <f>$K$9</f>
        <v>0</v>
      </c>
      <c r="G50" s="356">
        <f>$L$9</f>
        <v>1E-3</v>
      </c>
      <c r="H50" s="362"/>
      <c r="I50" s="362"/>
      <c r="J50" s="362"/>
      <c r="K50" s="362"/>
      <c r="L50" s="362"/>
      <c r="M50" s="362"/>
      <c r="N50" s="362"/>
      <c r="O50" s="362"/>
      <c r="P50" s="362"/>
      <c r="Q50" s="362"/>
      <c r="R50" s="362"/>
    </row>
    <row r="51" spans="1:18" ht="15.75" customHeight="1" thickBot="1" x14ac:dyDescent="0.35">
      <c r="A51" s="1354"/>
      <c r="B51" s="355">
        <v>3</v>
      </c>
      <c r="C51" s="355">
        <v>30</v>
      </c>
      <c r="D51" s="356">
        <f>$O$9</f>
        <v>1.0000000000000001E-5</v>
      </c>
      <c r="E51" s="356">
        <f>$P$9</f>
        <v>1.0000000000000001E-5</v>
      </c>
      <c r="F51" s="355">
        <f>$Q$9</f>
        <v>0</v>
      </c>
      <c r="G51" s="356">
        <f>$R$9</f>
        <v>1E-3</v>
      </c>
      <c r="H51" s="362"/>
      <c r="I51" s="362"/>
      <c r="J51" s="362"/>
      <c r="K51" s="362"/>
      <c r="L51" s="362"/>
      <c r="M51" s="362"/>
      <c r="N51" s="362"/>
      <c r="O51" s="362"/>
      <c r="P51" s="362"/>
      <c r="Q51" s="362"/>
      <c r="R51" s="362"/>
    </row>
    <row r="52" spans="1:18" ht="15" customHeight="1" thickBot="1" x14ac:dyDescent="0.35">
      <c r="A52" s="1354"/>
      <c r="B52" s="355">
        <v>4</v>
      </c>
      <c r="C52" s="355">
        <v>30</v>
      </c>
      <c r="D52" s="356">
        <f>$C$19</f>
        <v>1.0000000000000001E-5</v>
      </c>
      <c r="E52" s="356">
        <f>$D$19</f>
        <v>1.0000000000000001E-5</v>
      </c>
      <c r="F52" s="355">
        <f>$E$19</f>
        <v>0</v>
      </c>
      <c r="G52" s="356">
        <f>$F$19</f>
        <v>1E-3</v>
      </c>
      <c r="H52" s="362"/>
      <c r="I52" s="362"/>
      <c r="J52" s="362"/>
      <c r="K52" s="362"/>
      <c r="L52" s="362"/>
      <c r="M52" s="362"/>
      <c r="N52" s="362"/>
      <c r="O52" s="362"/>
      <c r="P52" s="362"/>
      <c r="Q52" s="362"/>
      <c r="R52" s="362"/>
    </row>
    <row r="53" spans="1:18" ht="15" customHeight="1" thickBot="1" x14ac:dyDescent="0.35">
      <c r="A53" s="1354"/>
      <c r="B53" s="355">
        <v>5</v>
      </c>
      <c r="C53" s="355">
        <v>30</v>
      </c>
      <c r="D53" s="356">
        <f>$I$19</f>
        <v>1.0000000000000001E-5</v>
      </c>
      <c r="E53" s="356">
        <f>$J$19</f>
        <v>1.0000000000000001E-5</v>
      </c>
      <c r="F53" s="355">
        <f>$K$19</f>
        <v>0</v>
      </c>
      <c r="G53" s="356">
        <f>$L$19</f>
        <v>1E-3</v>
      </c>
      <c r="H53" s="362"/>
      <c r="I53" s="362"/>
      <c r="J53" s="362"/>
      <c r="K53" s="362"/>
      <c r="L53" s="362"/>
      <c r="M53" s="362"/>
      <c r="N53" s="362"/>
      <c r="O53" s="362"/>
      <c r="P53" s="362"/>
      <c r="Q53" s="362"/>
      <c r="R53" s="362"/>
    </row>
    <row r="54" spans="1:18" ht="14.5" thickBot="1" x14ac:dyDescent="0.35">
      <c r="A54" s="1354"/>
      <c r="B54" s="355">
        <v>6</v>
      </c>
      <c r="C54" s="355">
        <v>30</v>
      </c>
      <c r="D54" s="356">
        <f>$O$19</f>
        <v>1.0000000000000001E-5</v>
      </c>
      <c r="E54" s="356">
        <f>$D$9</f>
        <v>1.0000000000000001E-5</v>
      </c>
      <c r="F54" s="355">
        <f>$E$9</f>
        <v>0</v>
      </c>
      <c r="G54" s="356">
        <f>$F$9</f>
        <v>1E-3</v>
      </c>
      <c r="H54" s="362"/>
      <c r="I54" s="362"/>
      <c r="J54" s="362"/>
      <c r="K54" s="362"/>
      <c r="L54" s="362"/>
      <c r="M54" s="362"/>
      <c r="N54" s="362"/>
      <c r="O54" s="362"/>
      <c r="P54" s="362"/>
      <c r="Q54" s="362"/>
      <c r="R54" s="362"/>
    </row>
    <row r="55" spans="1:18" ht="14.5" thickBot="1" x14ac:dyDescent="0.35">
      <c r="A55" s="1354"/>
      <c r="B55" s="355">
        <v>7</v>
      </c>
      <c r="C55" s="355">
        <v>30</v>
      </c>
      <c r="D55" s="356">
        <f>$C$29</f>
        <v>1.0000000000000001E-5</v>
      </c>
      <c r="E55" s="356">
        <f>$J$9</f>
        <v>1.0000000000000001E-5</v>
      </c>
      <c r="F55" s="355">
        <f>$K$9</f>
        <v>0</v>
      </c>
      <c r="G55" s="356">
        <f>$L$9</f>
        <v>1E-3</v>
      </c>
      <c r="H55" s="362"/>
      <c r="I55" s="362"/>
      <c r="J55" s="362"/>
      <c r="K55" s="362"/>
      <c r="L55" s="362"/>
      <c r="M55" s="362"/>
      <c r="N55" s="362"/>
      <c r="O55" s="362"/>
      <c r="P55" s="362"/>
      <c r="Q55" s="362"/>
      <c r="R55" s="362"/>
    </row>
    <row r="56" spans="1:18" ht="14.5" thickBot="1" x14ac:dyDescent="0.35">
      <c r="A56" s="1354"/>
      <c r="B56" s="355">
        <v>8</v>
      </c>
      <c r="C56" s="355">
        <v>30</v>
      </c>
      <c r="D56" s="356">
        <f>$I$29</f>
        <v>1.0000000000000001E-5</v>
      </c>
      <c r="E56" s="356">
        <f>$P$9</f>
        <v>1.0000000000000001E-5</v>
      </c>
      <c r="F56" s="355">
        <f>$Q$9</f>
        <v>0</v>
      </c>
      <c r="G56" s="356">
        <f>$R$9</f>
        <v>1E-3</v>
      </c>
      <c r="H56" s="362"/>
      <c r="I56" s="362"/>
      <c r="J56" s="362"/>
      <c r="K56" s="362"/>
      <c r="L56" s="362"/>
      <c r="M56" s="362"/>
      <c r="N56" s="362"/>
      <c r="O56" s="362"/>
      <c r="P56" s="362"/>
      <c r="Q56" s="362"/>
      <c r="R56" s="362"/>
    </row>
    <row r="57" spans="1:18" ht="14.5" thickBot="1" x14ac:dyDescent="0.35">
      <c r="A57" s="1354"/>
      <c r="B57" s="355">
        <v>9</v>
      </c>
      <c r="C57" s="355">
        <v>30</v>
      </c>
      <c r="D57" s="356">
        <f>$O$29</f>
        <v>1.0000000000000001E-5</v>
      </c>
      <c r="E57" s="356">
        <f>$D$19</f>
        <v>1.0000000000000001E-5</v>
      </c>
      <c r="F57" s="355">
        <f>$E$19</f>
        <v>0</v>
      </c>
      <c r="G57" s="356">
        <f>$F$19</f>
        <v>1E-3</v>
      </c>
      <c r="H57" s="362"/>
      <c r="I57" s="362"/>
      <c r="J57" s="362"/>
      <c r="K57" s="362"/>
      <c r="L57" s="362"/>
      <c r="M57" s="362"/>
      <c r="N57" s="362"/>
      <c r="O57" s="362"/>
      <c r="P57" s="362"/>
      <c r="Q57" s="362"/>
      <c r="R57" s="362"/>
    </row>
    <row r="58" spans="1:18" ht="17.25" customHeight="1" thickBot="1" x14ac:dyDescent="0.35">
      <c r="A58" s="1355"/>
      <c r="B58" s="356">
        <v>10</v>
      </c>
      <c r="C58" s="356">
        <v>30</v>
      </c>
      <c r="D58" s="356">
        <f>$C$39</f>
        <v>1.0000000000000001E-5</v>
      </c>
      <c r="E58" s="356">
        <f>$J$19</f>
        <v>1.0000000000000001E-5</v>
      </c>
      <c r="F58" s="356">
        <f>$K$19</f>
        <v>0</v>
      </c>
      <c r="G58" s="356">
        <f>$L$19</f>
        <v>1E-3</v>
      </c>
      <c r="H58" s="362"/>
      <c r="I58" s="362"/>
      <c r="J58" s="362"/>
      <c r="K58" s="362"/>
      <c r="L58" s="362"/>
      <c r="M58" s="362"/>
      <c r="N58" s="362"/>
      <c r="O58" s="362"/>
      <c r="P58" s="362"/>
      <c r="Q58" s="362"/>
      <c r="R58" s="362"/>
    </row>
    <row r="59" spans="1:18" ht="17.25" customHeight="1" thickBot="1" x14ac:dyDescent="0.35">
      <c r="A59" s="1353">
        <v>60</v>
      </c>
      <c r="B59" s="357">
        <v>1</v>
      </c>
      <c r="C59" s="365">
        <v>60</v>
      </c>
      <c r="D59" s="356">
        <f>$C$10</f>
        <v>1.0000000000000001E-5</v>
      </c>
      <c r="E59" s="356">
        <f>$D$10</f>
        <v>1.0000000000000001E-5</v>
      </c>
      <c r="F59" s="356">
        <f>$E$10</f>
        <v>0</v>
      </c>
      <c r="G59" s="356">
        <f>$F$10</f>
        <v>1E-3</v>
      </c>
      <c r="H59" s="362"/>
      <c r="I59" s="362"/>
      <c r="J59" s="362"/>
      <c r="K59" s="362"/>
      <c r="L59" s="362"/>
      <c r="M59" s="362"/>
      <c r="N59" s="362"/>
      <c r="O59" s="362"/>
      <c r="P59" s="362"/>
      <c r="Q59" s="362"/>
      <c r="R59" s="362"/>
    </row>
    <row r="60" spans="1:18" ht="15" customHeight="1" thickBot="1" x14ac:dyDescent="0.35">
      <c r="A60" s="1354"/>
      <c r="B60" s="355">
        <v>2</v>
      </c>
      <c r="C60" s="366">
        <v>60</v>
      </c>
      <c r="D60" s="356">
        <f>$I$10</f>
        <v>1.0000000000000001E-5</v>
      </c>
      <c r="E60" s="356">
        <f>$J$10</f>
        <v>1.0000000000000001E-5</v>
      </c>
      <c r="F60" s="356">
        <f>$K$10</f>
        <v>0</v>
      </c>
      <c r="G60" s="356">
        <f>$L$10</f>
        <v>1E-3</v>
      </c>
      <c r="H60" s="362"/>
      <c r="I60" s="362"/>
      <c r="J60" s="362"/>
      <c r="K60" s="362"/>
      <c r="L60" s="362"/>
      <c r="M60" s="362"/>
      <c r="N60" s="362"/>
      <c r="O60" s="362"/>
      <c r="P60" s="362"/>
      <c r="Q60" s="362"/>
      <c r="R60" s="362"/>
    </row>
    <row r="61" spans="1:18" ht="14.25" customHeight="1" thickBot="1" x14ac:dyDescent="0.35">
      <c r="A61" s="1354"/>
      <c r="B61" s="355">
        <v>3</v>
      </c>
      <c r="C61" s="366">
        <v>60</v>
      </c>
      <c r="D61" s="356">
        <f>$O$10</f>
        <v>1.0000000000000001E-5</v>
      </c>
      <c r="E61" s="356">
        <f>$P$10</f>
        <v>1.0000000000000001E-5</v>
      </c>
      <c r="F61" s="356">
        <f>$Q$10</f>
        <v>0</v>
      </c>
      <c r="G61" s="356">
        <f>$R$10</f>
        <v>1E-3</v>
      </c>
      <c r="H61" s="362"/>
      <c r="I61" s="362"/>
      <c r="J61" s="362"/>
      <c r="K61" s="362"/>
      <c r="L61" s="362"/>
      <c r="M61" s="362"/>
      <c r="N61" s="362"/>
      <c r="O61" s="362"/>
      <c r="P61" s="362"/>
      <c r="Q61" s="362"/>
      <c r="R61" s="362"/>
    </row>
    <row r="62" spans="1:18" ht="15" customHeight="1" thickBot="1" x14ac:dyDescent="0.35">
      <c r="A62" s="1354"/>
      <c r="B62" s="355">
        <v>4</v>
      </c>
      <c r="C62" s="366">
        <v>60</v>
      </c>
      <c r="D62" s="356">
        <f>$C$20</f>
        <v>1.0000000000000001E-5</v>
      </c>
      <c r="E62" s="356">
        <f>$D$20</f>
        <v>1.0000000000000001E-5</v>
      </c>
      <c r="F62" s="356">
        <f>$E$20</f>
        <v>0</v>
      </c>
      <c r="G62" s="356">
        <f>$F$20</f>
        <v>1E-3</v>
      </c>
      <c r="H62" s="362"/>
      <c r="I62" s="362"/>
      <c r="J62" s="362"/>
      <c r="K62" s="362"/>
      <c r="L62" s="362"/>
      <c r="M62" s="362"/>
      <c r="N62" s="362"/>
      <c r="O62" s="362"/>
      <c r="P62" s="362"/>
      <c r="Q62" s="362"/>
      <c r="R62" s="362"/>
    </row>
    <row r="63" spans="1:18" ht="13.5" customHeight="1" thickBot="1" x14ac:dyDescent="0.35">
      <c r="A63" s="1354"/>
      <c r="B63" s="355">
        <v>5</v>
      </c>
      <c r="C63" s="355">
        <v>60</v>
      </c>
      <c r="D63" s="356">
        <f>$I$20</f>
        <v>1.0000000000000001E-5</v>
      </c>
      <c r="E63" s="356">
        <f>$J$20</f>
        <v>1.0000000000000001E-5</v>
      </c>
      <c r="F63" s="356">
        <f>$K$20</f>
        <v>0</v>
      </c>
      <c r="G63" s="356">
        <f>$L$20</f>
        <v>1E-3</v>
      </c>
      <c r="H63" s="362"/>
      <c r="I63" s="362"/>
      <c r="J63" s="362"/>
      <c r="K63" s="362"/>
      <c r="L63" s="362"/>
      <c r="M63" s="362"/>
      <c r="N63" s="362"/>
      <c r="O63" s="362"/>
      <c r="P63" s="362"/>
      <c r="Q63" s="362"/>
      <c r="R63" s="362"/>
    </row>
    <row r="64" spans="1:18" ht="12.75" customHeight="1" thickBot="1" x14ac:dyDescent="0.35">
      <c r="A64" s="1354"/>
      <c r="B64" s="355">
        <v>6</v>
      </c>
      <c r="C64" s="355">
        <v>60</v>
      </c>
      <c r="D64" s="356">
        <f>$O$20</f>
        <v>1.0000000000000001E-5</v>
      </c>
      <c r="E64" s="356">
        <f>$D$10</f>
        <v>1.0000000000000001E-5</v>
      </c>
      <c r="F64" s="356">
        <f>$E$10</f>
        <v>0</v>
      </c>
      <c r="G64" s="356">
        <f>$F$10</f>
        <v>1E-3</v>
      </c>
      <c r="H64" s="362"/>
      <c r="I64" s="362"/>
      <c r="J64" s="362"/>
      <c r="K64" s="362"/>
      <c r="L64" s="362"/>
      <c r="M64" s="362"/>
      <c r="N64" s="362"/>
      <c r="O64" s="362"/>
      <c r="P64" s="362"/>
      <c r="Q64" s="362"/>
      <c r="R64" s="362"/>
    </row>
    <row r="65" spans="1:18" ht="12.75" customHeight="1" thickBot="1" x14ac:dyDescent="0.35">
      <c r="A65" s="1354"/>
      <c r="B65" s="355">
        <v>7</v>
      </c>
      <c r="C65" s="355">
        <v>60</v>
      </c>
      <c r="D65" s="356">
        <f>$C$30</f>
        <v>1.0000000000000001E-5</v>
      </c>
      <c r="E65" s="356">
        <f>$J$10</f>
        <v>1.0000000000000001E-5</v>
      </c>
      <c r="F65" s="356">
        <f>K10</f>
        <v>0</v>
      </c>
      <c r="G65" s="356">
        <f>$L$10</f>
        <v>1E-3</v>
      </c>
      <c r="H65" s="362"/>
      <c r="I65" s="362"/>
      <c r="J65" s="362"/>
      <c r="K65" s="362"/>
      <c r="L65" s="362"/>
      <c r="M65" s="362"/>
      <c r="N65" s="362"/>
      <c r="O65" s="362"/>
      <c r="P65" s="362"/>
      <c r="Q65" s="362"/>
      <c r="R65" s="362"/>
    </row>
    <row r="66" spans="1:18" ht="12.75" customHeight="1" thickBot="1" x14ac:dyDescent="0.35">
      <c r="A66" s="1354"/>
      <c r="B66" s="355">
        <v>8</v>
      </c>
      <c r="C66" s="355">
        <v>60</v>
      </c>
      <c r="D66" s="356">
        <f>$I$30</f>
        <v>1.0000000000000001E-5</v>
      </c>
      <c r="E66" s="356">
        <f>$P$10</f>
        <v>1.0000000000000001E-5</v>
      </c>
      <c r="F66" s="356">
        <f>$Q$10</f>
        <v>0</v>
      </c>
      <c r="G66" s="356">
        <f>$R$10</f>
        <v>1E-3</v>
      </c>
      <c r="H66" s="362"/>
      <c r="I66" s="362"/>
      <c r="J66" s="362"/>
      <c r="K66" s="362"/>
      <c r="L66" s="362"/>
      <c r="M66" s="362"/>
      <c r="N66" s="362"/>
      <c r="O66" s="362"/>
      <c r="P66" s="362"/>
      <c r="Q66" s="362"/>
      <c r="R66" s="362"/>
    </row>
    <row r="67" spans="1:18" ht="15" customHeight="1" thickBot="1" x14ac:dyDescent="0.35">
      <c r="A67" s="1354"/>
      <c r="B67" s="355">
        <v>9</v>
      </c>
      <c r="C67" s="355">
        <v>60</v>
      </c>
      <c r="D67" s="356">
        <f>$O$30</f>
        <v>1.0000000000000001E-5</v>
      </c>
      <c r="E67" s="356">
        <f>$D$20</f>
        <v>1.0000000000000001E-5</v>
      </c>
      <c r="F67" s="356">
        <f>$E$20</f>
        <v>0</v>
      </c>
      <c r="G67" s="356">
        <f>$F$20</f>
        <v>1E-3</v>
      </c>
      <c r="H67" s="362"/>
      <c r="I67" s="362"/>
      <c r="J67" s="362"/>
      <c r="K67" s="362"/>
      <c r="L67" s="362"/>
      <c r="M67" s="362"/>
      <c r="N67" s="362"/>
      <c r="O67" s="362"/>
      <c r="P67" s="362"/>
      <c r="Q67" s="362"/>
      <c r="R67" s="362"/>
    </row>
    <row r="68" spans="1:18" ht="15" customHeight="1" thickBot="1" x14ac:dyDescent="0.35">
      <c r="A68" s="1355"/>
      <c r="B68" s="356">
        <v>10</v>
      </c>
      <c r="C68" s="356">
        <v>60</v>
      </c>
      <c r="D68" s="356">
        <f>$C$40</f>
        <v>1.0000000000000001E-5</v>
      </c>
      <c r="E68" s="356">
        <f>$J$20</f>
        <v>1.0000000000000001E-5</v>
      </c>
      <c r="F68" s="356">
        <f>$K$20</f>
        <v>0</v>
      </c>
      <c r="G68" s="356">
        <f>$L$20</f>
        <v>1E-3</v>
      </c>
      <c r="H68" s="362"/>
      <c r="I68" s="362"/>
      <c r="J68" s="362"/>
      <c r="K68" s="362"/>
      <c r="L68" s="362"/>
      <c r="M68" s="362"/>
      <c r="N68" s="362"/>
      <c r="O68" s="362"/>
      <c r="P68" s="362"/>
      <c r="Q68" s="362"/>
      <c r="R68" s="362"/>
    </row>
    <row r="69" spans="1:18" ht="15" customHeight="1" thickBot="1" x14ac:dyDescent="0.35">
      <c r="A69" s="1353">
        <v>120</v>
      </c>
      <c r="B69" s="357">
        <v>1</v>
      </c>
      <c r="C69" s="365">
        <v>120</v>
      </c>
      <c r="D69" s="356">
        <f>$C$11</f>
        <v>1.0000000000000001E-5</v>
      </c>
      <c r="E69" s="356">
        <f>$D$11</f>
        <v>1.0000000000000001E-5</v>
      </c>
      <c r="F69" s="356">
        <f>$E$11</f>
        <v>0</v>
      </c>
      <c r="G69" s="356">
        <f>$F$11</f>
        <v>1E-3</v>
      </c>
      <c r="H69" s="362"/>
      <c r="I69" s="362"/>
      <c r="J69" s="362"/>
      <c r="K69" s="362"/>
      <c r="L69" s="362"/>
      <c r="M69" s="362"/>
      <c r="N69" s="362"/>
      <c r="O69" s="362"/>
      <c r="P69" s="362"/>
      <c r="Q69" s="362"/>
      <c r="R69" s="362"/>
    </row>
    <row r="70" spans="1:18" ht="14.25" customHeight="1" thickBot="1" x14ac:dyDescent="0.35">
      <c r="A70" s="1354"/>
      <c r="B70" s="355">
        <v>2</v>
      </c>
      <c r="C70" s="366">
        <v>120</v>
      </c>
      <c r="D70" s="356">
        <f>$I$11</f>
        <v>1.0000000000000001E-5</v>
      </c>
      <c r="E70" s="356">
        <f>$J$11</f>
        <v>1.0000000000000001E-5</v>
      </c>
      <c r="F70" s="356">
        <f>$K$11</f>
        <v>0</v>
      </c>
      <c r="G70" s="356">
        <f>$L$11</f>
        <v>1E-3</v>
      </c>
      <c r="H70" s="362"/>
      <c r="I70" s="362"/>
      <c r="J70" s="362"/>
      <c r="K70" s="362"/>
      <c r="L70" s="362"/>
      <c r="M70" s="362"/>
      <c r="N70" s="362"/>
      <c r="O70" s="362"/>
      <c r="P70" s="362"/>
      <c r="Q70" s="362"/>
      <c r="R70" s="362"/>
    </row>
    <row r="71" spans="1:18" ht="13.5" customHeight="1" thickBot="1" x14ac:dyDescent="0.35">
      <c r="A71" s="1354"/>
      <c r="B71" s="355">
        <v>3</v>
      </c>
      <c r="C71" s="366">
        <v>120</v>
      </c>
      <c r="D71" s="356">
        <f>$O$11</f>
        <v>1.0000000000000001E-5</v>
      </c>
      <c r="E71" s="356">
        <f>$P$11</f>
        <v>1.0000000000000001E-5</v>
      </c>
      <c r="F71" s="356">
        <f>$Q$11</f>
        <v>0</v>
      </c>
      <c r="G71" s="356">
        <f>$R$11</f>
        <v>1E-3</v>
      </c>
      <c r="H71" s="362"/>
      <c r="I71" s="362"/>
      <c r="J71" s="362"/>
      <c r="K71" s="362"/>
      <c r="L71" s="362"/>
      <c r="M71" s="362"/>
      <c r="N71" s="362"/>
      <c r="O71" s="362"/>
      <c r="P71" s="362"/>
      <c r="Q71" s="362"/>
      <c r="R71" s="362"/>
    </row>
    <row r="72" spans="1:18" ht="13.5" customHeight="1" thickBot="1" x14ac:dyDescent="0.35">
      <c r="A72" s="1354"/>
      <c r="B72" s="355">
        <v>4</v>
      </c>
      <c r="C72" s="366">
        <v>120</v>
      </c>
      <c r="D72" s="356">
        <f>$C$21</f>
        <v>1.0000000000000001E-5</v>
      </c>
      <c r="E72" s="356">
        <f>$D$21</f>
        <v>1.0000000000000001E-5</v>
      </c>
      <c r="F72" s="356">
        <f>$E$21</f>
        <v>0</v>
      </c>
      <c r="G72" s="356">
        <f>$F$21</f>
        <v>1E-3</v>
      </c>
      <c r="H72" s="362"/>
      <c r="I72" s="362"/>
      <c r="J72" s="362"/>
      <c r="K72" s="362"/>
      <c r="L72" s="362"/>
      <c r="M72" s="362"/>
      <c r="N72" s="362"/>
      <c r="O72" s="362"/>
      <c r="P72" s="362"/>
      <c r="Q72" s="362"/>
      <c r="R72" s="362"/>
    </row>
    <row r="73" spans="1:18" ht="14.25" customHeight="1" thickBot="1" x14ac:dyDescent="0.35">
      <c r="A73" s="1354"/>
      <c r="B73" s="355">
        <v>5</v>
      </c>
      <c r="C73" s="355">
        <v>120</v>
      </c>
      <c r="D73" s="356">
        <f>$I$21</f>
        <v>1.0000000000000001E-5</v>
      </c>
      <c r="E73" s="356">
        <f>$J$21</f>
        <v>1.0000000000000001E-5</v>
      </c>
      <c r="F73" s="356">
        <f>$K$21</f>
        <v>0</v>
      </c>
      <c r="G73" s="356">
        <f>$L$21</f>
        <v>1E-3</v>
      </c>
      <c r="H73" s="362"/>
      <c r="I73" s="362"/>
      <c r="J73" s="362"/>
      <c r="K73" s="362"/>
      <c r="L73" s="362"/>
      <c r="M73" s="362"/>
      <c r="N73" s="362"/>
      <c r="O73" s="362"/>
      <c r="P73" s="362"/>
      <c r="Q73" s="362"/>
      <c r="R73" s="362"/>
    </row>
    <row r="74" spans="1:18" ht="14.5" thickBot="1" x14ac:dyDescent="0.35">
      <c r="A74" s="1354"/>
      <c r="B74" s="355">
        <v>6</v>
      </c>
      <c r="C74" s="355">
        <v>120</v>
      </c>
      <c r="D74" s="356">
        <f>$O$21</f>
        <v>1.0000000000000001E-5</v>
      </c>
      <c r="E74" s="356">
        <f>$D$11</f>
        <v>1.0000000000000001E-5</v>
      </c>
      <c r="F74" s="356">
        <f>$E$11</f>
        <v>0</v>
      </c>
      <c r="G74" s="356">
        <f>$F$11</f>
        <v>1E-3</v>
      </c>
      <c r="H74" s="362"/>
      <c r="I74" s="362"/>
      <c r="J74" s="362"/>
      <c r="K74" s="362"/>
      <c r="L74" s="362"/>
      <c r="M74" s="362"/>
      <c r="N74" s="362"/>
      <c r="O74" s="362"/>
      <c r="P74" s="362"/>
      <c r="Q74" s="362"/>
      <c r="R74" s="362"/>
    </row>
    <row r="75" spans="1:18" ht="14.5" thickBot="1" x14ac:dyDescent="0.35">
      <c r="A75" s="1354"/>
      <c r="B75" s="355">
        <v>7</v>
      </c>
      <c r="C75" s="355">
        <v>120</v>
      </c>
      <c r="D75" s="356">
        <f>$C$31</f>
        <v>1.0000000000000001E-5</v>
      </c>
      <c r="E75" s="356">
        <f>$J$11</f>
        <v>1.0000000000000001E-5</v>
      </c>
      <c r="F75" s="356">
        <f>$K$11</f>
        <v>0</v>
      </c>
      <c r="G75" s="356">
        <f>$L$11</f>
        <v>1E-3</v>
      </c>
      <c r="H75" s="362"/>
      <c r="I75" s="362"/>
      <c r="J75" s="362"/>
      <c r="K75" s="362"/>
      <c r="L75" s="362"/>
      <c r="M75" s="362"/>
      <c r="N75" s="362"/>
      <c r="O75" s="362"/>
      <c r="P75" s="362"/>
      <c r="Q75" s="362"/>
      <c r="R75" s="362"/>
    </row>
    <row r="76" spans="1:18" ht="14.5" thickBot="1" x14ac:dyDescent="0.35">
      <c r="A76" s="1354"/>
      <c r="B76" s="355">
        <v>8</v>
      </c>
      <c r="C76" s="355">
        <v>120</v>
      </c>
      <c r="D76" s="356">
        <f>$I$31</f>
        <v>1.0000000000000001E-5</v>
      </c>
      <c r="E76" s="356">
        <f>$P$11</f>
        <v>1.0000000000000001E-5</v>
      </c>
      <c r="F76" s="356">
        <f>$Q$11</f>
        <v>0</v>
      </c>
      <c r="G76" s="356">
        <f>$R$11</f>
        <v>1E-3</v>
      </c>
      <c r="H76" s="362"/>
      <c r="I76" s="362"/>
      <c r="J76" s="362"/>
      <c r="K76" s="362"/>
      <c r="L76" s="362"/>
      <c r="M76" s="362"/>
      <c r="N76" s="362"/>
      <c r="O76" s="362"/>
      <c r="P76" s="362"/>
      <c r="Q76" s="362"/>
      <c r="R76" s="362"/>
    </row>
    <row r="77" spans="1:18" ht="14.5" thickBot="1" x14ac:dyDescent="0.35">
      <c r="A77" s="1354"/>
      <c r="B77" s="355">
        <v>9</v>
      </c>
      <c r="C77" s="355">
        <v>120</v>
      </c>
      <c r="D77" s="356">
        <f>$O$31</f>
        <v>1.0000000000000001E-5</v>
      </c>
      <c r="E77" s="356">
        <f>$D$21</f>
        <v>1.0000000000000001E-5</v>
      </c>
      <c r="F77" s="356">
        <f>$E$21</f>
        <v>0</v>
      </c>
      <c r="G77" s="356">
        <f>$F$21</f>
        <v>1E-3</v>
      </c>
      <c r="H77" s="362"/>
      <c r="I77" s="362"/>
      <c r="J77" s="362"/>
      <c r="K77" s="362"/>
      <c r="L77" s="362"/>
      <c r="M77" s="362"/>
      <c r="N77" s="362"/>
      <c r="O77" s="362"/>
      <c r="P77" s="362"/>
      <c r="Q77" s="362"/>
      <c r="R77" s="362"/>
    </row>
    <row r="78" spans="1:18" ht="14.5" thickBot="1" x14ac:dyDescent="0.35">
      <c r="A78" s="1354"/>
      <c r="B78" s="358">
        <v>10</v>
      </c>
      <c r="C78" s="358">
        <v>120</v>
      </c>
      <c r="D78" s="356">
        <f>$C$41</f>
        <v>1.0000000000000001E-5</v>
      </c>
      <c r="E78" s="356">
        <f>$J$21</f>
        <v>1.0000000000000001E-5</v>
      </c>
      <c r="F78" s="356">
        <f>$K$21</f>
        <v>0</v>
      </c>
      <c r="G78" s="356">
        <f>$L$21</f>
        <v>1E-3</v>
      </c>
      <c r="H78" s="362"/>
      <c r="I78" s="362"/>
      <c r="J78" s="362"/>
      <c r="K78" s="362"/>
      <c r="L78" s="362"/>
      <c r="M78" s="362"/>
      <c r="N78" s="362"/>
      <c r="O78" s="362"/>
      <c r="P78" s="362"/>
      <c r="Q78" s="362"/>
      <c r="R78" s="362"/>
    </row>
    <row r="79" spans="1:18" ht="15.75" customHeight="1" thickBot="1" x14ac:dyDescent="0.35">
      <c r="A79" s="1353">
        <v>240</v>
      </c>
      <c r="B79" s="359">
        <v>1</v>
      </c>
      <c r="C79" s="367">
        <v>240</v>
      </c>
      <c r="D79" s="356">
        <f>$C$12</f>
        <v>1.0000000000000001E-5</v>
      </c>
      <c r="E79" s="356">
        <f>$D$12</f>
        <v>1.0000000000000001E-5</v>
      </c>
      <c r="F79" s="356">
        <f>$E$12</f>
        <v>0</v>
      </c>
      <c r="G79" s="356">
        <f>$F$12</f>
        <v>1E-3</v>
      </c>
      <c r="H79" s="362"/>
      <c r="I79" s="362"/>
      <c r="J79" s="362"/>
      <c r="K79" s="362"/>
      <c r="L79" s="362"/>
      <c r="M79" s="362"/>
      <c r="N79" s="362"/>
      <c r="O79" s="362"/>
      <c r="P79" s="362"/>
      <c r="Q79" s="362"/>
      <c r="R79" s="362"/>
    </row>
    <row r="80" spans="1:18" ht="12.75" customHeight="1" thickBot="1" x14ac:dyDescent="0.35">
      <c r="A80" s="1354"/>
      <c r="B80" s="360">
        <v>2</v>
      </c>
      <c r="C80" s="368">
        <v>240</v>
      </c>
      <c r="D80" s="356">
        <f>$I$12</f>
        <v>1.0000000000000001E-5</v>
      </c>
      <c r="E80" s="356">
        <f>$J$12</f>
        <v>1.0000000000000001E-5</v>
      </c>
      <c r="F80" s="356">
        <f>$K$12</f>
        <v>0</v>
      </c>
      <c r="G80" s="356">
        <f>$L$12</f>
        <v>1E-3</v>
      </c>
      <c r="H80" s="362"/>
      <c r="I80" s="362"/>
      <c r="J80" s="362"/>
      <c r="K80" s="362"/>
      <c r="L80" s="362"/>
      <c r="M80" s="362"/>
      <c r="N80" s="362"/>
      <c r="O80" s="362"/>
      <c r="P80" s="362"/>
      <c r="Q80" s="362"/>
      <c r="R80" s="362"/>
    </row>
    <row r="81" spans="1:18" ht="16.5" customHeight="1" thickBot="1" x14ac:dyDescent="0.35">
      <c r="A81" s="1354"/>
      <c r="B81" s="360">
        <v>3</v>
      </c>
      <c r="C81" s="368">
        <v>240</v>
      </c>
      <c r="D81" s="356">
        <f>$O$12</f>
        <v>1.0000000000000001E-5</v>
      </c>
      <c r="E81" s="356">
        <f>$P$12</f>
        <v>1.0000000000000001E-5</v>
      </c>
      <c r="F81" s="356">
        <f>$Q$12</f>
        <v>0</v>
      </c>
      <c r="G81" s="356">
        <f>$R$12</f>
        <v>1E-3</v>
      </c>
      <c r="H81" s="362"/>
      <c r="I81" s="362"/>
      <c r="J81" s="362"/>
      <c r="K81" s="362"/>
      <c r="L81" s="362"/>
      <c r="M81" s="362"/>
      <c r="N81" s="362"/>
      <c r="O81" s="362"/>
      <c r="P81" s="362"/>
      <c r="Q81" s="362"/>
      <c r="R81" s="362"/>
    </row>
    <row r="82" spans="1:18" ht="12.75" customHeight="1" thickBot="1" x14ac:dyDescent="0.35">
      <c r="A82" s="1354"/>
      <c r="B82" s="360">
        <v>4</v>
      </c>
      <c r="C82" s="368">
        <v>240</v>
      </c>
      <c r="D82" s="356">
        <f>$C$22</f>
        <v>1.0000000000000001E-5</v>
      </c>
      <c r="E82" s="356">
        <f>$D$22</f>
        <v>1.0000000000000001E-5</v>
      </c>
      <c r="F82" s="356">
        <f>$E$22</f>
        <v>0</v>
      </c>
      <c r="G82" s="356">
        <f>$F$22</f>
        <v>1E-3</v>
      </c>
      <c r="H82" s="362"/>
      <c r="I82" s="362"/>
      <c r="J82" s="362"/>
      <c r="K82" s="362"/>
      <c r="L82" s="362"/>
      <c r="M82" s="362"/>
      <c r="N82" s="362"/>
      <c r="O82" s="362"/>
      <c r="P82" s="362"/>
      <c r="Q82" s="362"/>
      <c r="R82" s="362"/>
    </row>
    <row r="83" spans="1:18" ht="12.75" customHeight="1" thickBot="1" x14ac:dyDescent="0.35">
      <c r="A83" s="1354"/>
      <c r="B83" s="360">
        <v>5</v>
      </c>
      <c r="C83" s="368">
        <v>240</v>
      </c>
      <c r="D83" s="356">
        <f>$I$22</f>
        <v>1.0000000000000001E-5</v>
      </c>
      <c r="E83" s="356">
        <f>$J$22</f>
        <v>1.0000000000000001E-5</v>
      </c>
      <c r="F83" s="356">
        <f>$K$22</f>
        <v>0</v>
      </c>
      <c r="G83" s="356">
        <f>$L$22</f>
        <v>1E-3</v>
      </c>
      <c r="H83" s="362"/>
      <c r="I83" s="362"/>
      <c r="J83" s="362"/>
      <c r="K83" s="362"/>
      <c r="L83" s="362"/>
      <c r="M83" s="362"/>
      <c r="N83" s="362"/>
      <c r="O83" s="362"/>
      <c r="P83" s="362"/>
      <c r="Q83" s="362"/>
      <c r="R83" s="362"/>
    </row>
    <row r="84" spans="1:18" ht="14.5" thickBot="1" x14ac:dyDescent="0.35">
      <c r="A84" s="1354"/>
      <c r="B84" s="360">
        <v>6</v>
      </c>
      <c r="C84" s="368">
        <v>240</v>
      </c>
      <c r="D84" s="356">
        <f>$O$22</f>
        <v>1.0000000000000001E-5</v>
      </c>
      <c r="E84" s="356">
        <f>$D$12</f>
        <v>1.0000000000000001E-5</v>
      </c>
      <c r="F84" s="356">
        <f>$E$12</f>
        <v>0</v>
      </c>
      <c r="G84" s="356">
        <f>$F$12</f>
        <v>1E-3</v>
      </c>
      <c r="H84" s="362"/>
      <c r="I84" s="362"/>
      <c r="J84" s="362"/>
      <c r="K84" s="362"/>
      <c r="L84" s="362"/>
      <c r="M84" s="362"/>
      <c r="N84" s="362"/>
      <c r="O84" s="362"/>
      <c r="P84" s="362"/>
      <c r="Q84" s="362"/>
      <c r="R84" s="362"/>
    </row>
    <row r="85" spans="1:18" ht="14.5" thickBot="1" x14ac:dyDescent="0.35">
      <c r="A85" s="1354"/>
      <c r="B85" s="360">
        <v>7</v>
      </c>
      <c r="C85" s="368">
        <v>240</v>
      </c>
      <c r="D85" s="356">
        <f>$C$32</f>
        <v>1.0000000000000001E-5</v>
      </c>
      <c r="E85" s="356">
        <f>$J$12</f>
        <v>1.0000000000000001E-5</v>
      </c>
      <c r="F85" s="356">
        <f>$K$12</f>
        <v>0</v>
      </c>
      <c r="G85" s="356">
        <f>$L$12</f>
        <v>1E-3</v>
      </c>
      <c r="H85" s="362"/>
      <c r="I85" s="362"/>
      <c r="J85" s="362"/>
      <c r="K85" s="362"/>
      <c r="L85" s="362"/>
      <c r="M85" s="362"/>
      <c r="N85" s="362"/>
      <c r="O85" s="362"/>
      <c r="P85" s="362"/>
      <c r="Q85" s="362"/>
      <c r="R85" s="362"/>
    </row>
    <row r="86" spans="1:18" ht="14.5" thickBot="1" x14ac:dyDescent="0.35">
      <c r="A86" s="1354"/>
      <c r="B86" s="360">
        <v>8</v>
      </c>
      <c r="C86" s="368">
        <v>240</v>
      </c>
      <c r="D86" s="356">
        <f>$I$32</f>
        <v>1.0000000000000001E-5</v>
      </c>
      <c r="E86" s="356">
        <f>$P$12</f>
        <v>1.0000000000000001E-5</v>
      </c>
      <c r="F86" s="356">
        <f>$Q$12</f>
        <v>0</v>
      </c>
      <c r="G86" s="356">
        <f>$R$12</f>
        <v>1E-3</v>
      </c>
      <c r="H86" s="362"/>
      <c r="I86" s="362"/>
      <c r="J86" s="362"/>
      <c r="K86" s="362"/>
      <c r="L86" s="362"/>
      <c r="M86" s="362"/>
      <c r="N86" s="362"/>
      <c r="O86" s="362"/>
      <c r="P86" s="362"/>
      <c r="Q86" s="362"/>
      <c r="R86" s="362"/>
    </row>
    <row r="87" spans="1:18" ht="14.5" thickBot="1" x14ac:dyDescent="0.35">
      <c r="A87" s="1354"/>
      <c r="B87" s="360">
        <v>9</v>
      </c>
      <c r="C87" s="368">
        <v>240</v>
      </c>
      <c r="D87" s="356">
        <f>$O$32</f>
        <v>1.0000000000000001E-5</v>
      </c>
      <c r="E87" s="356">
        <f>$D$22</f>
        <v>1.0000000000000001E-5</v>
      </c>
      <c r="F87" s="356">
        <f>$E$22</f>
        <v>0</v>
      </c>
      <c r="G87" s="356">
        <f>$F$22</f>
        <v>1E-3</v>
      </c>
      <c r="H87" s="362"/>
      <c r="I87" s="362"/>
      <c r="J87" s="362"/>
      <c r="K87" s="362"/>
      <c r="L87" s="362"/>
      <c r="M87" s="362"/>
      <c r="N87" s="362"/>
      <c r="O87" s="362"/>
      <c r="P87" s="362"/>
      <c r="Q87" s="362"/>
      <c r="R87" s="362"/>
    </row>
    <row r="88" spans="1:18" ht="14.5" thickBot="1" x14ac:dyDescent="0.35">
      <c r="A88" s="1355"/>
      <c r="B88" s="361">
        <v>10</v>
      </c>
      <c r="C88" s="369">
        <v>240</v>
      </c>
      <c r="D88" s="356">
        <f>$C$42</f>
        <v>1.0000000000000001E-5</v>
      </c>
      <c r="E88" s="356">
        <f>$J$22</f>
        <v>1.0000000000000001E-5</v>
      </c>
      <c r="F88" s="356">
        <f>$K$22</f>
        <v>0</v>
      </c>
      <c r="G88" s="356">
        <f>$L$22</f>
        <v>1E-3</v>
      </c>
      <c r="H88" s="362"/>
      <c r="I88" s="362"/>
      <c r="J88" s="362"/>
      <c r="K88" s="362"/>
      <c r="L88" s="362"/>
      <c r="M88" s="362"/>
      <c r="N88" s="362"/>
      <c r="O88" s="362"/>
      <c r="P88" s="362"/>
      <c r="Q88" s="362"/>
      <c r="R88" s="362"/>
    </row>
    <row r="89" spans="1:18" x14ac:dyDescent="0.3">
      <c r="A89" s="362"/>
      <c r="B89" s="362"/>
      <c r="C89" s="362"/>
      <c r="D89" s="362"/>
      <c r="E89" s="362"/>
      <c r="F89" s="362"/>
      <c r="G89" s="362"/>
      <c r="H89" s="362"/>
      <c r="I89" s="362"/>
      <c r="J89" s="362"/>
      <c r="K89" s="362"/>
      <c r="L89" s="362"/>
      <c r="M89" s="362"/>
      <c r="N89" s="362"/>
      <c r="O89" s="362"/>
      <c r="P89" s="362"/>
      <c r="Q89" s="362"/>
      <c r="R89" s="362"/>
    </row>
    <row r="90" spans="1:18" x14ac:dyDescent="0.3">
      <c r="A90" s="362"/>
      <c r="B90" s="362"/>
      <c r="C90" s="362"/>
      <c r="D90" s="362"/>
      <c r="E90" s="362"/>
      <c r="F90" s="362"/>
      <c r="G90" s="362"/>
      <c r="H90" s="362"/>
      <c r="I90" s="362"/>
      <c r="J90" s="362"/>
      <c r="K90" s="362"/>
      <c r="L90" s="362"/>
      <c r="M90" s="362"/>
      <c r="N90" s="362"/>
      <c r="O90" s="362"/>
      <c r="P90" s="362"/>
      <c r="Q90" s="362"/>
      <c r="R90" s="362"/>
    </row>
    <row r="91" spans="1:18" x14ac:dyDescent="0.3">
      <c r="A91" s="362"/>
      <c r="B91" s="362"/>
      <c r="C91" s="362"/>
      <c r="D91" s="362"/>
      <c r="E91" s="362"/>
      <c r="F91" s="362"/>
      <c r="G91" s="362"/>
      <c r="H91" s="362"/>
      <c r="I91" s="362"/>
      <c r="J91" s="362"/>
      <c r="K91" s="362"/>
      <c r="L91" s="362"/>
      <c r="M91" s="362"/>
      <c r="N91" s="362"/>
      <c r="O91" s="362"/>
      <c r="P91" s="362"/>
      <c r="Q91" s="362"/>
      <c r="R91" s="362"/>
    </row>
    <row r="92" spans="1:18" s="371" customFormat="1" ht="42" customHeight="1" x14ac:dyDescent="0.3">
      <c r="A92" s="354">
        <f>cetik!C1</f>
        <v>5</v>
      </c>
      <c r="B92" s="1347" t="str">
        <f>ID!B58</f>
        <v>SPO₂ Simulator, Merek : Fluke, Model : SPOT LIGHT, SN : 4404040</v>
      </c>
      <c r="C92" s="1348"/>
      <c r="D92" s="1348"/>
      <c r="E92" s="1349"/>
      <c r="F92" s="370"/>
      <c r="G92" s="370"/>
      <c r="H92" s="370"/>
      <c r="I92" s="370"/>
      <c r="J92" s="370"/>
      <c r="K92" s="370"/>
      <c r="L92" s="370"/>
      <c r="M92" s="370"/>
      <c r="N92" s="370"/>
      <c r="O92" s="370"/>
      <c r="P92" s="370"/>
      <c r="Q92" s="370"/>
      <c r="R92" s="370"/>
    </row>
    <row r="93" spans="1:18" x14ac:dyDescent="0.3">
      <c r="A93" s="1341" t="s">
        <v>381</v>
      </c>
      <c r="B93" s="1341"/>
      <c r="C93" s="1341"/>
      <c r="D93" s="1341"/>
      <c r="E93" s="1341"/>
      <c r="F93" s="362"/>
      <c r="G93" s="362"/>
      <c r="H93" s="362"/>
      <c r="I93" s="362"/>
      <c r="J93" s="362"/>
      <c r="K93" s="362"/>
      <c r="L93" s="362"/>
      <c r="M93" s="362"/>
      <c r="N93" s="362"/>
      <c r="O93" s="362"/>
      <c r="P93" s="362"/>
      <c r="Q93" s="362"/>
      <c r="R93" s="362"/>
    </row>
    <row r="94" spans="1:18" x14ac:dyDescent="0.3">
      <c r="A94" s="1342" t="s">
        <v>382</v>
      </c>
      <c r="B94" s="1343"/>
      <c r="C94" s="1344"/>
      <c r="D94" s="1345" t="s">
        <v>274</v>
      </c>
      <c r="E94" s="1345" t="s">
        <v>167</v>
      </c>
      <c r="F94" s="362"/>
      <c r="G94" s="362"/>
      <c r="H94" s="362"/>
      <c r="I94" s="362"/>
      <c r="J94" s="362"/>
      <c r="K94" s="362"/>
      <c r="L94" s="362"/>
      <c r="M94" s="362"/>
      <c r="N94" s="362"/>
      <c r="O94" s="362"/>
      <c r="P94" s="362"/>
      <c r="Q94" s="362"/>
      <c r="R94" s="362"/>
    </row>
    <row r="95" spans="1:18" x14ac:dyDescent="0.3">
      <c r="A95" s="354" t="s">
        <v>9</v>
      </c>
      <c r="B95" s="354">
        <v>2018</v>
      </c>
      <c r="C95" s="354">
        <v>2019</v>
      </c>
      <c r="D95" s="1346"/>
      <c r="E95" s="1346"/>
      <c r="F95" s="362"/>
      <c r="G95" s="362"/>
      <c r="H95" s="362"/>
      <c r="I95" s="362"/>
      <c r="J95" s="362"/>
      <c r="K95" s="362"/>
      <c r="L95" s="362"/>
      <c r="M95" s="362"/>
      <c r="N95" s="362"/>
      <c r="O95" s="362"/>
      <c r="P95" s="362"/>
      <c r="Q95" s="362"/>
      <c r="R95" s="362"/>
    </row>
    <row r="96" spans="1:18" x14ac:dyDescent="0.3">
      <c r="A96" s="354">
        <v>30</v>
      </c>
      <c r="B96" s="352">
        <f>VLOOKUP($A$92,$B$49:$G$58,3,FALSE)</f>
        <v>1.0000000000000001E-5</v>
      </c>
      <c r="C96" s="352">
        <f>VLOOKUP($A$92,B49:G58,4,FALSE)</f>
        <v>1.0000000000000001E-5</v>
      </c>
      <c r="D96" s="354">
        <f>1/3*E96</f>
        <v>3.3333333333333332E-4</v>
      </c>
      <c r="E96" s="352">
        <f>VLOOKUP($A$92,B49:G58,6,(TRUE))</f>
        <v>1E-3</v>
      </c>
      <c r="F96" s="362"/>
      <c r="G96" s="362"/>
      <c r="H96" s="362"/>
      <c r="I96" s="362"/>
      <c r="J96" s="362"/>
      <c r="K96" s="362"/>
      <c r="L96" s="362"/>
      <c r="M96" s="362"/>
      <c r="N96" s="362"/>
      <c r="O96" s="362"/>
      <c r="P96" s="362"/>
      <c r="Q96" s="362"/>
      <c r="R96" s="362"/>
    </row>
    <row r="97" spans="1:18" x14ac:dyDescent="0.3">
      <c r="A97" s="354">
        <v>60</v>
      </c>
      <c r="B97" s="352">
        <f>VLOOKUP($A$92,B59:G68,3,FALSE)</f>
        <v>1.0000000000000001E-5</v>
      </c>
      <c r="C97" s="352">
        <f>VLOOKUP($A$92,B59:G68,4,FALSE)</f>
        <v>1.0000000000000001E-5</v>
      </c>
      <c r="D97" s="354">
        <f t="shared" ref="D97:D99" si="10">1/3*E97</f>
        <v>3.3333333333333332E-4</v>
      </c>
      <c r="E97" s="352">
        <f>VLOOKUP($A$92,B59:G68,6,(TRUE))</f>
        <v>1E-3</v>
      </c>
      <c r="F97" s="362"/>
      <c r="G97" s="362"/>
      <c r="H97" s="362"/>
      <c r="I97" s="362"/>
      <c r="J97" s="362"/>
      <c r="K97" s="362"/>
      <c r="L97" s="362"/>
      <c r="M97" s="362"/>
      <c r="N97" s="362"/>
      <c r="O97" s="362"/>
      <c r="P97" s="362"/>
      <c r="Q97" s="362"/>
      <c r="R97" s="362"/>
    </row>
    <row r="98" spans="1:18" x14ac:dyDescent="0.3">
      <c r="A98" s="354">
        <v>120</v>
      </c>
      <c r="B98" s="352">
        <f>VLOOKUP($A$92,B69:G78,3,FALSE)</f>
        <v>1.0000000000000001E-5</v>
      </c>
      <c r="C98" s="352">
        <f>VLOOKUP($A$92,B69:G78,4,FALSE)</f>
        <v>1.0000000000000001E-5</v>
      </c>
      <c r="D98" s="354">
        <f t="shared" si="10"/>
        <v>3.3333333333333332E-4</v>
      </c>
      <c r="E98" s="352">
        <f>VLOOKUP($A$92,B69:G78,6,(TRUE))</f>
        <v>1E-3</v>
      </c>
      <c r="F98" s="362"/>
      <c r="G98" s="362"/>
      <c r="H98" s="362"/>
      <c r="I98" s="362"/>
      <c r="J98" s="362"/>
      <c r="K98" s="362"/>
      <c r="L98" s="362"/>
      <c r="M98" s="362"/>
      <c r="N98" s="362"/>
      <c r="O98" s="362"/>
      <c r="P98" s="362"/>
      <c r="Q98" s="362"/>
      <c r="R98" s="362"/>
    </row>
    <row r="99" spans="1:18" x14ac:dyDescent="0.3">
      <c r="A99" s="354">
        <v>240</v>
      </c>
      <c r="B99" s="352">
        <f>VLOOKUP($A$92,B79:G88,3,FALSE)</f>
        <v>1.0000000000000001E-5</v>
      </c>
      <c r="C99" s="352">
        <f>VLOOKUP($A$92,B79:G88,4,FALSE)</f>
        <v>1.0000000000000001E-5</v>
      </c>
      <c r="D99" s="354">
        <f t="shared" si="10"/>
        <v>3.3333333333333332E-4</v>
      </c>
      <c r="E99" s="352">
        <f>VLOOKUP($A$92,B79:G88,6,(TRUE))</f>
        <v>1E-3</v>
      </c>
      <c r="F99" s="362"/>
      <c r="G99" s="362"/>
      <c r="H99" s="362"/>
      <c r="I99" s="362"/>
      <c r="J99" s="362"/>
      <c r="K99" s="362"/>
      <c r="L99" s="362"/>
      <c r="M99" s="362"/>
      <c r="N99" s="362"/>
      <c r="O99" s="362"/>
      <c r="P99" s="362"/>
      <c r="Q99" s="362"/>
      <c r="R99" s="362"/>
    </row>
    <row r="100" spans="1:18" x14ac:dyDescent="0.3">
      <c r="A100" s="362"/>
      <c r="B100" s="362"/>
      <c r="C100" s="362"/>
      <c r="D100" s="362"/>
      <c r="E100" s="362"/>
      <c r="F100" s="362"/>
      <c r="G100" s="362"/>
      <c r="H100" s="362"/>
      <c r="I100" s="362"/>
      <c r="J100" s="362"/>
      <c r="K100" s="362"/>
      <c r="L100" s="362"/>
      <c r="M100" s="362"/>
      <c r="N100" s="362"/>
      <c r="O100" s="362"/>
      <c r="P100" s="362"/>
      <c r="Q100" s="362"/>
      <c r="R100" s="362"/>
    </row>
  </sheetData>
  <mergeCells count="64">
    <mergeCell ref="A46:A58"/>
    <mergeCell ref="A59:A68"/>
    <mergeCell ref="A69:A78"/>
    <mergeCell ref="A79:A88"/>
    <mergeCell ref="B25:F25"/>
    <mergeCell ref="B26:D26"/>
    <mergeCell ref="E26:E27"/>
    <mergeCell ref="F26:F27"/>
    <mergeCell ref="B46:B48"/>
    <mergeCell ref="C46:G46"/>
    <mergeCell ref="C47:E47"/>
    <mergeCell ref="F47:F48"/>
    <mergeCell ref="G47:G48"/>
    <mergeCell ref="B34:F34"/>
    <mergeCell ref="B35:F35"/>
    <mergeCell ref="B36:D36"/>
    <mergeCell ref="E36:E37"/>
    <mergeCell ref="F36:F37"/>
    <mergeCell ref="R16:R17"/>
    <mergeCell ref="H24:L24"/>
    <mergeCell ref="H25:L25"/>
    <mergeCell ref="H26:J26"/>
    <mergeCell ref="K26:K27"/>
    <mergeCell ref="L26:L27"/>
    <mergeCell ref="N25:R25"/>
    <mergeCell ref="N26:P26"/>
    <mergeCell ref="Q26:Q27"/>
    <mergeCell ref="R26:R27"/>
    <mergeCell ref="B24:F24"/>
    <mergeCell ref="N24:R24"/>
    <mergeCell ref="H16:J16"/>
    <mergeCell ref="K16:K17"/>
    <mergeCell ref="L16:L17"/>
    <mergeCell ref="B14:F14"/>
    <mergeCell ref="B15:F15"/>
    <mergeCell ref="B16:D16"/>
    <mergeCell ref="E16:E17"/>
    <mergeCell ref="F16:F17"/>
    <mergeCell ref="N14:R14"/>
    <mergeCell ref="N15:R15"/>
    <mergeCell ref="N16:P16"/>
    <mergeCell ref="Q16:Q17"/>
    <mergeCell ref="H4:L4"/>
    <mergeCell ref="H5:L5"/>
    <mergeCell ref="H6:J6"/>
    <mergeCell ref="K6:K7"/>
    <mergeCell ref="L6:L7"/>
    <mergeCell ref="N4:R4"/>
    <mergeCell ref="N5:R5"/>
    <mergeCell ref="N6:P6"/>
    <mergeCell ref="Q6:Q7"/>
    <mergeCell ref="R6:R7"/>
    <mergeCell ref="H14:L14"/>
    <mergeCell ref="H15:L15"/>
    <mergeCell ref="B6:D6"/>
    <mergeCell ref="B5:F5"/>
    <mergeCell ref="B4:F4"/>
    <mergeCell ref="E6:E7"/>
    <mergeCell ref="F6:F7"/>
    <mergeCell ref="A93:E93"/>
    <mergeCell ref="A94:C94"/>
    <mergeCell ref="D94:D95"/>
    <mergeCell ref="E94:E95"/>
    <mergeCell ref="B92:E92"/>
  </mergeCells>
  <pageMargins left="0.7" right="0.7" top="0.75" bottom="0.75" header="0.3" footer="0.3"/>
  <pageSetup paperSize="9"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R145"/>
  <sheetViews>
    <sheetView topLeftCell="A131" workbookViewId="0">
      <selection activeCell="G141" sqref="G141"/>
    </sheetView>
  </sheetViews>
  <sheetFormatPr defaultColWidth="9.08984375" defaultRowHeight="14" x14ac:dyDescent="0.3"/>
  <cols>
    <col min="1" max="1" width="21" style="363" bestFit="1" customWidth="1"/>
    <col min="2" max="5" width="13.08984375" style="363" bestFit="1" customWidth="1"/>
    <col min="6" max="7" width="10.36328125" style="363" bestFit="1" customWidth="1"/>
    <col min="8" max="8" width="12" style="363" bestFit="1" customWidth="1"/>
    <col min="9" max="10" width="13.08984375" style="363" bestFit="1" customWidth="1"/>
    <col min="11" max="12" width="10.36328125" style="363" bestFit="1" customWidth="1"/>
    <col min="13" max="13" width="9.08984375" style="363"/>
    <col min="14" max="14" width="12" style="363" bestFit="1" customWidth="1"/>
    <col min="15" max="16" width="13.08984375" style="363" bestFit="1" customWidth="1"/>
    <col min="17" max="18" width="10.36328125" style="363" bestFit="1" customWidth="1"/>
    <col min="19" max="16384" width="9.08984375" style="363"/>
  </cols>
  <sheetData>
    <row r="1" spans="1:18" x14ac:dyDescent="0.3">
      <c r="A1" s="382"/>
      <c r="B1" s="382"/>
      <c r="C1" s="382"/>
      <c r="D1" s="382"/>
      <c r="E1" s="382"/>
      <c r="F1" s="382"/>
      <c r="G1" s="382"/>
      <c r="H1" s="382"/>
      <c r="I1" s="382"/>
      <c r="J1" s="382"/>
      <c r="K1" s="382"/>
      <c r="L1" s="382"/>
      <c r="M1" s="382"/>
      <c r="N1" s="382"/>
      <c r="O1" s="382"/>
      <c r="P1" s="382"/>
      <c r="Q1" s="382"/>
      <c r="R1" s="382"/>
    </row>
    <row r="2" spans="1:18" x14ac:dyDescent="0.3">
      <c r="A2" s="382"/>
      <c r="B2" s="382"/>
      <c r="C2" s="382"/>
      <c r="D2" s="382"/>
      <c r="E2" s="382"/>
      <c r="F2" s="382"/>
      <c r="G2" s="382"/>
      <c r="H2" s="382"/>
      <c r="I2" s="382"/>
      <c r="J2" s="382"/>
      <c r="K2" s="382"/>
      <c r="L2" s="382"/>
      <c r="M2" s="382"/>
      <c r="N2" s="382"/>
      <c r="O2" s="382"/>
      <c r="P2" s="382"/>
      <c r="Q2" s="382"/>
      <c r="R2" s="382"/>
    </row>
    <row r="3" spans="1:18" x14ac:dyDescent="0.3">
      <c r="A3" s="382"/>
      <c r="B3" s="382"/>
      <c r="C3" s="382"/>
      <c r="D3" s="382"/>
      <c r="E3" s="382"/>
      <c r="F3" s="382"/>
      <c r="G3" s="382"/>
      <c r="H3" s="382"/>
      <c r="I3" s="382"/>
      <c r="J3" s="382"/>
      <c r="K3" s="382"/>
      <c r="L3" s="382"/>
      <c r="M3" s="382"/>
      <c r="N3" s="382"/>
      <c r="O3" s="382"/>
      <c r="P3" s="382"/>
      <c r="Q3" s="382"/>
      <c r="R3" s="382"/>
    </row>
    <row r="4" spans="1:18" ht="16.5" customHeight="1" x14ac:dyDescent="0.3">
      <c r="A4" s="382"/>
      <c r="B4" s="1387" t="s">
        <v>378</v>
      </c>
      <c r="C4" s="1388"/>
      <c r="D4" s="1388"/>
      <c r="E4" s="1388"/>
      <c r="F4" s="1389"/>
      <c r="G4" s="382"/>
      <c r="H4" s="1387" t="s">
        <v>379</v>
      </c>
      <c r="I4" s="1388"/>
      <c r="J4" s="1388"/>
      <c r="K4" s="1388"/>
      <c r="L4" s="1389"/>
      <c r="M4" s="382"/>
      <c r="N4" s="1387" t="s">
        <v>380</v>
      </c>
      <c r="O4" s="1388"/>
      <c r="P4" s="1388"/>
      <c r="Q4" s="1388"/>
      <c r="R4" s="1389"/>
    </row>
    <row r="5" spans="1:18" x14ac:dyDescent="0.3">
      <c r="A5" s="382"/>
      <c r="B5" s="1371" t="s">
        <v>381</v>
      </c>
      <c r="C5" s="1371"/>
      <c r="D5" s="1371"/>
      <c r="E5" s="1371"/>
      <c r="F5" s="1371"/>
      <c r="G5" s="382"/>
      <c r="H5" s="1371" t="s">
        <v>381</v>
      </c>
      <c r="I5" s="1371"/>
      <c r="J5" s="1371"/>
      <c r="K5" s="1371"/>
      <c r="L5" s="1371"/>
      <c r="M5" s="382"/>
      <c r="N5" s="1371" t="s">
        <v>381</v>
      </c>
      <c r="O5" s="1371"/>
      <c r="P5" s="1371"/>
      <c r="Q5" s="1371"/>
      <c r="R5" s="1371"/>
    </row>
    <row r="6" spans="1:18" x14ac:dyDescent="0.3">
      <c r="A6" s="382"/>
      <c r="B6" s="1372" t="s">
        <v>391</v>
      </c>
      <c r="C6" s="1373"/>
      <c r="D6" s="1374"/>
      <c r="E6" s="1375" t="s">
        <v>274</v>
      </c>
      <c r="F6" s="1375" t="s">
        <v>167</v>
      </c>
      <c r="G6" s="382"/>
      <c r="H6" s="1372" t="s">
        <v>391</v>
      </c>
      <c r="I6" s="1373"/>
      <c r="J6" s="1374"/>
      <c r="K6" s="1375" t="s">
        <v>274</v>
      </c>
      <c r="L6" s="1375" t="s">
        <v>167</v>
      </c>
      <c r="M6" s="382"/>
      <c r="N6" s="1372" t="s">
        <v>391</v>
      </c>
      <c r="O6" s="1373"/>
      <c r="P6" s="1374"/>
      <c r="Q6" s="1375" t="s">
        <v>274</v>
      </c>
      <c r="R6" s="1375" t="s">
        <v>167</v>
      </c>
    </row>
    <row r="7" spans="1:18" x14ac:dyDescent="0.3">
      <c r="A7" s="382"/>
      <c r="B7" s="372" t="s">
        <v>392</v>
      </c>
      <c r="C7" s="372">
        <v>2017</v>
      </c>
      <c r="D7" s="372">
        <v>2019</v>
      </c>
      <c r="E7" s="1376"/>
      <c r="F7" s="1376"/>
      <c r="G7" s="382"/>
      <c r="H7" s="372" t="s">
        <v>392</v>
      </c>
      <c r="I7" s="372">
        <v>2018</v>
      </c>
      <c r="J7" s="372">
        <v>2019</v>
      </c>
      <c r="K7" s="1376"/>
      <c r="L7" s="1376"/>
      <c r="M7" s="382"/>
      <c r="N7" s="372" t="s">
        <v>392</v>
      </c>
      <c r="O7" s="372">
        <v>2018</v>
      </c>
      <c r="P7" s="372">
        <v>2019</v>
      </c>
      <c r="Q7" s="1376"/>
      <c r="R7" s="1376"/>
    </row>
    <row r="8" spans="1:18" x14ac:dyDescent="0.3">
      <c r="A8" s="382"/>
      <c r="B8" s="374">
        <v>0</v>
      </c>
      <c r="C8" s="374">
        <v>9.9999999999999995E-7</v>
      </c>
      <c r="D8" s="374">
        <v>9.9999999999999995E-7</v>
      </c>
      <c r="E8" s="374">
        <v>9.9999999999999995E-7</v>
      </c>
      <c r="F8" s="374">
        <v>1E-4</v>
      </c>
      <c r="G8" s="382"/>
      <c r="H8" s="374">
        <v>0</v>
      </c>
      <c r="I8" s="374">
        <v>9.9999999999999995E-7</v>
      </c>
      <c r="J8" s="374">
        <v>9.9999999999999995E-7</v>
      </c>
      <c r="K8" s="374">
        <v>9.9999999999999995E-7</v>
      </c>
      <c r="L8" s="374">
        <v>1E-4</v>
      </c>
      <c r="M8" s="382"/>
      <c r="N8" s="374">
        <v>0</v>
      </c>
      <c r="O8" s="374">
        <v>1E-3</v>
      </c>
      <c r="P8" s="374">
        <v>9.9999999999999995E-7</v>
      </c>
      <c r="Q8" s="374">
        <v>9.9999999999999995E-7</v>
      </c>
      <c r="R8" s="374">
        <v>1E-4</v>
      </c>
    </row>
    <row r="9" spans="1:18" x14ac:dyDescent="0.3">
      <c r="A9" s="382"/>
      <c r="B9" s="374">
        <v>85</v>
      </c>
      <c r="C9" s="374">
        <v>9.9999999999999995E-7</v>
      </c>
      <c r="D9" s="374">
        <v>9.9999999999999995E-7</v>
      </c>
      <c r="E9" s="374">
        <v>9.9999999999999995E-7</v>
      </c>
      <c r="F9" s="374">
        <v>1E-4</v>
      </c>
      <c r="G9" s="382"/>
      <c r="H9" s="374">
        <v>85</v>
      </c>
      <c r="I9" s="374">
        <v>9.9999999999999995E-7</v>
      </c>
      <c r="J9" s="374">
        <v>9.9999999999999995E-7</v>
      </c>
      <c r="K9" s="374">
        <v>9.9999999999999995E-7</v>
      </c>
      <c r="L9" s="374">
        <v>1E-4</v>
      </c>
      <c r="M9" s="382"/>
      <c r="N9" s="374">
        <v>85</v>
      </c>
      <c r="O9" s="374">
        <v>1E-3</v>
      </c>
      <c r="P9" s="374">
        <v>9.9999999999999995E-7</v>
      </c>
      <c r="Q9" s="374">
        <v>9.9999999999999995E-7</v>
      </c>
      <c r="R9" s="374">
        <v>1E-4</v>
      </c>
    </row>
    <row r="10" spans="1:18" x14ac:dyDescent="0.3">
      <c r="A10" s="382"/>
      <c r="B10" s="374">
        <v>90</v>
      </c>
      <c r="C10" s="374">
        <v>9.9999999999999995E-7</v>
      </c>
      <c r="D10" s="374">
        <v>9.9999999999999995E-7</v>
      </c>
      <c r="E10" s="374">
        <v>9.9999999999999995E-7</v>
      </c>
      <c r="F10" s="374">
        <v>1E-4</v>
      </c>
      <c r="G10" s="382"/>
      <c r="H10" s="374">
        <v>90</v>
      </c>
      <c r="I10" s="374">
        <v>9.9999999999999995E-7</v>
      </c>
      <c r="J10" s="374">
        <v>9.9999999999999995E-7</v>
      </c>
      <c r="K10" s="374">
        <v>9.9999999999999995E-7</v>
      </c>
      <c r="L10" s="374">
        <v>1E-4</v>
      </c>
      <c r="M10" s="382"/>
      <c r="N10" s="374">
        <v>90</v>
      </c>
      <c r="O10" s="374">
        <v>1E-3</v>
      </c>
      <c r="P10" s="374">
        <v>9.9999999999999995E-7</v>
      </c>
      <c r="Q10" s="374">
        <v>9.9999999999999995E-7</v>
      </c>
      <c r="R10" s="374">
        <v>1E-4</v>
      </c>
    </row>
    <row r="11" spans="1:18" x14ac:dyDescent="0.3">
      <c r="A11" s="382"/>
      <c r="B11" s="374">
        <v>95</v>
      </c>
      <c r="C11" s="374">
        <v>9.9999999999999995E-7</v>
      </c>
      <c r="D11" s="374">
        <v>9.9999999999999995E-7</v>
      </c>
      <c r="E11" s="374">
        <v>9.9999999999999995E-7</v>
      </c>
      <c r="F11" s="374">
        <v>1E-4</v>
      </c>
      <c r="G11" s="382"/>
      <c r="H11" s="374">
        <v>95</v>
      </c>
      <c r="I11" s="374">
        <v>9.9999999999999995E-7</v>
      </c>
      <c r="J11" s="374">
        <v>9.9999999999999995E-7</v>
      </c>
      <c r="K11" s="374">
        <v>9.9999999999999995E-7</v>
      </c>
      <c r="L11" s="374">
        <v>1E-4</v>
      </c>
      <c r="M11" s="382"/>
      <c r="N11" s="374">
        <v>95</v>
      </c>
      <c r="O11" s="374">
        <v>1E-3</v>
      </c>
      <c r="P11" s="374">
        <v>9.9999999999999995E-7</v>
      </c>
      <c r="Q11" s="374">
        <v>9.9999999999999995E-7</v>
      </c>
      <c r="R11" s="374">
        <v>1E-4</v>
      </c>
    </row>
    <row r="12" spans="1:18" x14ac:dyDescent="0.3">
      <c r="A12" s="382"/>
      <c r="B12" s="374">
        <v>97</v>
      </c>
      <c r="C12" s="374">
        <v>9.9999999999999995E-7</v>
      </c>
      <c r="D12" s="374">
        <v>9.9999999999999995E-7</v>
      </c>
      <c r="E12" s="374">
        <v>9.9999999999999995E-7</v>
      </c>
      <c r="F12" s="374">
        <v>1E-4</v>
      </c>
      <c r="G12" s="382"/>
      <c r="H12" s="374">
        <v>97</v>
      </c>
      <c r="I12" s="374">
        <v>9.9999999999999995E-7</v>
      </c>
      <c r="J12" s="374">
        <v>9.9999999999999995E-7</v>
      </c>
      <c r="K12" s="374">
        <v>9.9999999999999995E-7</v>
      </c>
      <c r="L12" s="374">
        <v>1E-4</v>
      </c>
      <c r="M12" s="382"/>
      <c r="N12" s="374">
        <v>97</v>
      </c>
      <c r="O12" s="374">
        <v>1E-3</v>
      </c>
      <c r="P12" s="374">
        <v>9.9999999999999995E-7</v>
      </c>
      <c r="Q12" s="374">
        <v>9.9999999999999995E-7</v>
      </c>
      <c r="R12" s="374">
        <v>1E-4</v>
      </c>
    </row>
    <row r="13" spans="1:18" x14ac:dyDescent="0.3">
      <c r="A13" s="382"/>
      <c r="B13" s="374">
        <v>98</v>
      </c>
      <c r="C13" s="374">
        <v>9.9999999999999995E-7</v>
      </c>
      <c r="D13" s="374">
        <v>9.9999999999999995E-7</v>
      </c>
      <c r="E13" s="374">
        <v>9.9999999999999995E-7</v>
      </c>
      <c r="F13" s="374">
        <v>1E-4</v>
      </c>
      <c r="G13" s="382"/>
      <c r="H13" s="374">
        <v>98</v>
      </c>
      <c r="I13" s="374">
        <v>9.9999999999999995E-7</v>
      </c>
      <c r="J13" s="374">
        <v>9.9999999999999995E-7</v>
      </c>
      <c r="K13" s="374">
        <v>9.9999999999999995E-7</v>
      </c>
      <c r="L13" s="374">
        <v>1E-4</v>
      </c>
      <c r="M13" s="382"/>
      <c r="N13" s="374">
        <v>98</v>
      </c>
      <c r="O13" s="374">
        <v>1E-3</v>
      </c>
      <c r="P13" s="374">
        <v>9.9999999999999995E-7</v>
      </c>
      <c r="Q13" s="374">
        <v>9.9999999999999995E-7</v>
      </c>
      <c r="R13" s="374">
        <v>1E-4</v>
      </c>
    </row>
    <row r="14" spans="1:18" x14ac:dyDescent="0.3">
      <c r="A14" s="382"/>
      <c r="B14" s="374">
        <v>99</v>
      </c>
      <c r="C14" s="374">
        <v>9.9999999999999995E-7</v>
      </c>
      <c r="D14" s="374">
        <v>9.9999999999999995E-7</v>
      </c>
      <c r="E14" s="374">
        <v>9.9999999999999995E-7</v>
      </c>
      <c r="F14" s="374">
        <v>1E-4</v>
      </c>
      <c r="G14" s="382"/>
      <c r="H14" s="374">
        <v>99</v>
      </c>
      <c r="I14" s="374">
        <v>9.9999999999999995E-7</v>
      </c>
      <c r="J14" s="374">
        <v>9.9999999999999995E-7</v>
      </c>
      <c r="K14" s="374">
        <v>9.9999999999999995E-7</v>
      </c>
      <c r="L14" s="374">
        <v>1E-4</v>
      </c>
      <c r="M14" s="382"/>
      <c r="N14" s="374">
        <v>99</v>
      </c>
      <c r="O14" s="374">
        <v>1E-3</v>
      </c>
      <c r="P14" s="374">
        <v>9.9999999999999995E-7</v>
      </c>
      <c r="Q14" s="374">
        <v>9.9999999999999995E-7</v>
      </c>
      <c r="R14" s="374">
        <v>1E-4</v>
      </c>
    </row>
    <row r="15" spans="1:18" x14ac:dyDescent="0.3">
      <c r="A15" s="382"/>
      <c r="B15" s="374">
        <v>100</v>
      </c>
      <c r="C15" s="374">
        <v>9.9999999999999995E-7</v>
      </c>
      <c r="D15" s="374">
        <v>9.9999999999999995E-7</v>
      </c>
      <c r="E15" s="374">
        <v>9.9999999999999995E-7</v>
      </c>
      <c r="F15" s="374">
        <v>1E-4</v>
      </c>
      <c r="G15" s="382"/>
      <c r="H15" s="374">
        <v>100</v>
      </c>
      <c r="I15" s="374">
        <v>9.9999999999999995E-7</v>
      </c>
      <c r="J15" s="374">
        <v>9.9999999999999995E-7</v>
      </c>
      <c r="K15" s="374">
        <v>9.9999999999999995E-7</v>
      </c>
      <c r="L15" s="374">
        <v>1E-4</v>
      </c>
      <c r="M15" s="382"/>
      <c r="N15" s="374">
        <v>100</v>
      </c>
      <c r="O15" s="374">
        <v>1E-3</v>
      </c>
      <c r="P15" s="374">
        <v>9.9999999999999995E-7</v>
      </c>
      <c r="Q15" s="374">
        <v>9.9999999999999995E-7</v>
      </c>
      <c r="R15" s="374">
        <v>1E-4</v>
      </c>
    </row>
    <row r="16" spans="1:18" x14ac:dyDescent="0.3">
      <c r="A16" s="382"/>
      <c r="B16" s="382"/>
      <c r="C16" s="382"/>
      <c r="D16" s="382"/>
      <c r="E16" s="382"/>
      <c r="F16" s="382"/>
      <c r="G16" s="382"/>
      <c r="H16" s="382"/>
      <c r="I16" s="382"/>
      <c r="J16" s="382"/>
      <c r="K16" s="382"/>
      <c r="L16" s="383"/>
      <c r="M16" s="382"/>
      <c r="N16" s="382"/>
      <c r="O16" s="382"/>
      <c r="P16" s="382"/>
      <c r="Q16" s="382"/>
      <c r="R16" s="382"/>
    </row>
    <row r="17" spans="1:18" x14ac:dyDescent="0.3">
      <c r="A17" s="382"/>
      <c r="B17" s="1387" t="s">
        <v>383</v>
      </c>
      <c r="C17" s="1388"/>
      <c r="D17" s="1388"/>
      <c r="E17" s="1388"/>
      <c r="F17" s="1389"/>
      <c r="G17" s="382"/>
      <c r="H17" s="1387" t="s">
        <v>384</v>
      </c>
      <c r="I17" s="1388"/>
      <c r="J17" s="1388"/>
      <c r="K17" s="1388"/>
      <c r="L17" s="1389"/>
      <c r="M17" s="382"/>
      <c r="N17" s="1387" t="s">
        <v>385</v>
      </c>
      <c r="O17" s="1388"/>
      <c r="P17" s="1388"/>
      <c r="Q17" s="1388"/>
      <c r="R17" s="1389"/>
    </row>
    <row r="18" spans="1:18" x14ac:dyDescent="0.3">
      <c r="A18" s="382"/>
      <c r="B18" s="1371" t="s">
        <v>164</v>
      </c>
      <c r="C18" s="1371"/>
      <c r="D18" s="1371"/>
      <c r="E18" s="1371"/>
      <c r="F18" s="1371"/>
      <c r="G18" s="382"/>
      <c r="H18" s="1371" t="s">
        <v>164</v>
      </c>
      <c r="I18" s="1371"/>
      <c r="J18" s="1371"/>
      <c r="K18" s="1371"/>
      <c r="L18" s="1371"/>
      <c r="M18" s="382"/>
      <c r="N18" s="1371" t="s">
        <v>381</v>
      </c>
      <c r="O18" s="1371"/>
      <c r="P18" s="1371"/>
      <c r="Q18" s="1371"/>
      <c r="R18" s="1371"/>
    </row>
    <row r="19" spans="1:18" x14ac:dyDescent="0.3">
      <c r="A19" s="382"/>
      <c r="B19" s="1372" t="s">
        <v>391</v>
      </c>
      <c r="C19" s="1373"/>
      <c r="D19" s="1374"/>
      <c r="E19" s="1375" t="s">
        <v>274</v>
      </c>
      <c r="F19" s="1375" t="s">
        <v>167</v>
      </c>
      <c r="G19" s="382"/>
      <c r="H19" s="1372" t="s">
        <v>391</v>
      </c>
      <c r="I19" s="1373"/>
      <c r="J19" s="1374"/>
      <c r="K19" s="1375" t="s">
        <v>274</v>
      </c>
      <c r="L19" s="1375" t="s">
        <v>167</v>
      </c>
      <c r="M19" s="382"/>
      <c r="N19" s="1372" t="s">
        <v>391</v>
      </c>
      <c r="O19" s="1373"/>
      <c r="P19" s="1374"/>
      <c r="Q19" s="1375" t="s">
        <v>274</v>
      </c>
      <c r="R19" s="1375" t="s">
        <v>167</v>
      </c>
    </row>
    <row r="20" spans="1:18" x14ac:dyDescent="0.3">
      <c r="A20" s="382"/>
      <c r="B20" s="372" t="s">
        <v>392</v>
      </c>
      <c r="C20" s="372">
        <v>2018</v>
      </c>
      <c r="D20" s="372">
        <v>2019</v>
      </c>
      <c r="E20" s="1376"/>
      <c r="F20" s="1376"/>
      <c r="G20" s="382"/>
      <c r="H20" s="372" t="s">
        <v>392</v>
      </c>
      <c r="I20" s="372">
        <v>2018</v>
      </c>
      <c r="J20" s="372">
        <v>2019</v>
      </c>
      <c r="K20" s="1376"/>
      <c r="L20" s="1376"/>
      <c r="M20" s="382"/>
      <c r="N20" s="372" t="s">
        <v>392</v>
      </c>
      <c r="O20" s="372">
        <v>2017</v>
      </c>
      <c r="P20" s="372">
        <v>2018</v>
      </c>
      <c r="Q20" s="1376"/>
      <c r="R20" s="1376"/>
    </row>
    <row r="21" spans="1:18" x14ac:dyDescent="0.3">
      <c r="A21" s="382"/>
      <c r="B21" s="374">
        <v>0</v>
      </c>
      <c r="C21" s="374">
        <v>9.9999999999999995E-7</v>
      </c>
      <c r="D21" s="374">
        <v>9.9999999999999995E-7</v>
      </c>
      <c r="E21" s="374">
        <v>9.9999999999999995E-7</v>
      </c>
      <c r="F21" s="374">
        <v>1E-4</v>
      </c>
      <c r="G21" s="382"/>
      <c r="H21" s="374">
        <v>0</v>
      </c>
      <c r="I21" s="374">
        <v>9.9999999999999995E-7</v>
      </c>
      <c r="J21" s="374">
        <v>9.9999999999999995E-7</v>
      </c>
      <c r="K21" s="374">
        <v>9.9999999999999995E-7</v>
      </c>
      <c r="L21" s="374">
        <v>1E-4</v>
      </c>
      <c r="M21" s="382"/>
      <c r="N21" s="374">
        <v>0</v>
      </c>
      <c r="O21" s="374">
        <v>9.9999999999999995E-7</v>
      </c>
      <c r="P21" s="374">
        <v>9.9999999999999995E-7</v>
      </c>
      <c r="Q21" s="374">
        <v>9.9999999999999995E-7</v>
      </c>
      <c r="R21" s="374">
        <v>1E-4</v>
      </c>
    </row>
    <row r="22" spans="1:18" x14ac:dyDescent="0.3">
      <c r="A22" s="382"/>
      <c r="B22" s="374">
        <v>85</v>
      </c>
      <c r="C22" s="374">
        <v>9.9999999999999995E-7</v>
      </c>
      <c r="D22" s="374">
        <v>9.9999999999999995E-7</v>
      </c>
      <c r="E22" s="374">
        <v>9.9999999999999995E-7</v>
      </c>
      <c r="F22" s="374">
        <v>1E-4</v>
      </c>
      <c r="G22" s="382"/>
      <c r="H22" s="374">
        <v>85</v>
      </c>
      <c r="I22" s="374">
        <v>9.9999999999999995E-7</v>
      </c>
      <c r="J22" s="374">
        <v>9.9999999999999995E-7</v>
      </c>
      <c r="K22" s="374">
        <v>9.9999999999999995E-7</v>
      </c>
      <c r="L22" s="374">
        <v>1E-4</v>
      </c>
      <c r="M22" s="382"/>
      <c r="N22" s="374">
        <v>85</v>
      </c>
      <c r="O22" s="374">
        <v>9.9999999999999995E-7</v>
      </c>
      <c r="P22" s="374">
        <v>9.9999999999999995E-7</v>
      </c>
      <c r="Q22" s="374">
        <v>9.9999999999999995E-7</v>
      </c>
      <c r="R22" s="374">
        <v>1E-4</v>
      </c>
    </row>
    <row r="23" spans="1:18" x14ac:dyDescent="0.3">
      <c r="A23" s="382"/>
      <c r="B23" s="374">
        <v>90</v>
      </c>
      <c r="C23" s="374">
        <v>9.9999999999999995E-7</v>
      </c>
      <c r="D23" s="374">
        <v>9.9999999999999995E-7</v>
      </c>
      <c r="E23" s="374">
        <v>9.9999999999999995E-7</v>
      </c>
      <c r="F23" s="374">
        <v>1E-4</v>
      </c>
      <c r="G23" s="382"/>
      <c r="H23" s="374">
        <v>90</v>
      </c>
      <c r="I23" s="374">
        <v>9.9999999999999995E-7</v>
      </c>
      <c r="J23" s="374">
        <v>9.9999999999999995E-7</v>
      </c>
      <c r="K23" s="374">
        <v>9.9999999999999995E-7</v>
      </c>
      <c r="L23" s="374">
        <v>1E-4</v>
      </c>
      <c r="M23" s="382"/>
      <c r="N23" s="374">
        <v>90</v>
      </c>
      <c r="O23" s="374">
        <v>9.9999999999999995E-7</v>
      </c>
      <c r="P23" s="374">
        <v>9.9999999999999995E-7</v>
      </c>
      <c r="Q23" s="374">
        <v>9.9999999999999995E-7</v>
      </c>
      <c r="R23" s="374">
        <v>1E-4</v>
      </c>
    </row>
    <row r="24" spans="1:18" x14ac:dyDescent="0.3">
      <c r="A24" s="382"/>
      <c r="B24" s="374">
        <v>95</v>
      </c>
      <c r="C24" s="374">
        <v>9.9999999999999995E-7</v>
      </c>
      <c r="D24" s="374">
        <v>9.9999999999999995E-7</v>
      </c>
      <c r="E24" s="374">
        <v>9.9999999999999995E-7</v>
      </c>
      <c r="F24" s="374">
        <v>1E-4</v>
      </c>
      <c r="G24" s="382"/>
      <c r="H24" s="374">
        <v>95</v>
      </c>
      <c r="I24" s="374">
        <v>9.9999999999999995E-7</v>
      </c>
      <c r="J24" s="374">
        <v>9.9999999999999995E-7</v>
      </c>
      <c r="K24" s="374">
        <v>9.9999999999999995E-7</v>
      </c>
      <c r="L24" s="374">
        <v>1E-4</v>
      </c>
      <c r="M24" s="382"/>
      <c r="N24" s="374">
        <v>95</v>
      </c>
      <c r="O24" s="374">
        <v>9.9999999999999995E-7</v>
      </c>
      <c r="P24" s="374">
        <v>9.9999999999999995E-7</v>
      </c>
      <c r="Q24" s="374">
        <v>9.9999999999999995E-7</v>
      </c>
      <c r="R24" s="374">
        <v>1E-4</v>
      </c>
    </row>
    <row r="25" spans="1:18" x14ac:dyDescent="0.3">
      <c r="A25" s="382"/>
      <c r="B25" s="374">
        <v>97</v>
      </c>
      <c r="C25" s="374">
        <v>9.9999999999999995E-7</v>
      </c>
      <c r="D25" s="374">
        <v>9.9999999999999995E-7</v>
      </c>
      <c r="E25" s="374">
        <v>9.9999999999999995E-7</v>
      </c>
      <c r="F25" s="374">
        <v>1E-4</v>
      </c>
      <c r="G25" s="382"/>
      <c r="H25" s="374">
        <v>97</v>
      </c>
      <c r="I25" s="374">
        <v>9.9999999999999995E-7</v>
      </c>
      <c r="J25" s="374">
        <v>9.9999999999999995E-7</v>
      </c>
      <c r="K25" s="374">
        <v>9.9999999999999995E-7</v>
      </c>
      <c r="L25" s="374">
        <v>1E-4</v>
      </c>
      <c r="M25" s="382"/>
      <c r="N25" s="374">
        <v>97</v>
      </c>
      <c r="O25" s="374">
        <v>9.9999999999999995E-7</v>
      </c>
      <c r="P25" s="374">
        <v>9.9999999999999995E-7</v>
      </c>
      <c r="Q25" s="374">
        <v>9.9999999999999995E-7</v>
      </c>
      <c r="R25" s="374">
        <v>1E-4</v>
      </c>
    </row>
    <row r="26" spans="1:18" x14ac:dyDescent="0.3">
      <c r="A26" s="382"/>
      <c r="B26" s="374">
        <v>98</v>
      </c>
      <c r="C26" s="374">
        <v>9.9999999999999995E-7</v>
      </c>
      <c r="D26" s="374">
        <v>9.9999999999999995E-7</v>
      </c>
      <c r="E26" s="374">
        <v>9.9999999999999995E-7</v>
      </c>
      <c r="F26" s="374">
        <v>1E-4</v>
      </c>
      <c r="G26" s="382"/>
      <c r="H26" s="374">
        <v>98</v>
      </c>
      <c r="I26" s="374">
        <v>9.9999999999999995E-7</v>
      </c>
      <c r="J26" s="374">
        <v>9.9999999999999995E-7</v>
      </c>
      <c r="K26" s="374">
        <v>9.9999999999999995E-7</v>
      </c>
      <c r="L26" s="374">
        <v>1E-4</v>
      </c>
      <c r="M26" s="382"/>
      <c r="N26" s="374">
        <v>98</v>
      </c>
      <c r="O26" s="374">
        <v>9.9999999999999995E-7</v>
      </c>
      <c r="P26" s="374">
        <v>9.9999999999999995E-7</v>
      </c>
      <c r="Q26" s="374">
        <v>9.9999999999999995E-7</v>
      </c>
      <c r="R26" s="374">
        <v>1E-4</v>
      </c>
    </row>
    <row r="27" spans="1:18" x14ac:dyDescent="0.3">
      <c r="A27" s="382"/>
      <c r="B27" s="374">
        <v>99</v>
      </c>
      <c r="C27" s="374">
        <v>9.9999999999999995E-7</v>
      </c>
      <c r="D27" s="374">
        <v>9.9999999999999995E-7</v>
      </c>
      <c r="E27" s="374">
        <v>9.9999999999999995E-7</v>
      </c>
      <c r="F27" s="374">
        <v>1E-4</v>
      </c>
      <c r="G27" s="382"/>
      <c r="H27" s="374">
        <v>99</v>
      </c>
      <c r="I27" s="374">
        <v>9.9999999999999995E-7</v>
      </c>
      <c r="J27" s="374">
        <v>9.9999999999999995E-7</v>
      </c>
      <c r="K27" s="374">
        <v>9.9999999999999995E-7</v>
      </c>
      <c r="L27" s="374">
        <v>1E-4</v>
      </c>
      <c r="M27" s="382"/>
      <c r="N27" s="374">
        <v>99</v>
      </c>
      <c r="O27" s="374">
        <v>9.9999999999999995E-7</v>
      </c>
      <c r="P27" s="374">
        <v>9.9999999999999995E-7</v>
      </c>
      <c r="Q27" s="374">
        <v>9.9999999999999995E-7</v>
      </c>
      <c r="R27" s="374">
        <v>1E-4</v>
      </c>
    </row>
    <row r="28" spans="1:18" x14ac:dyDescent="0.3">
      <c r="A28" s="382"/>
      <c r="B28" s="374">
        <v>100</v>
      </c>
      <c r="C28" s="374">
        <v>9.9999999999999995E-7</v>
      </c>
      <c r="D28" s="374">
        <v>9.9999999999999995E-7</v>
      </c>
      <c r="E28" s="374">
        <v>9.9999999999999995E-7</v>
      </c>
      <c r="F28" s="374">
        <v>1E-4</v>
      </c>
      <c r="G28" s="382"/>
      <c r="H28" s="374">
        <v>100</v>
      </c>
      <c r="I28" s="374">
        <v>9.9999999999999995E-7</v>
      </c>
      <c r="J28" s="374">
        <v>9.9999999999999995E-7</v>
      </c>
      <c r="K28" s="374">
        <v>9.9999999999999995E-7</v>
      </c>
      <c r="L28" s="374">
        <v>1E-4</v>
      </c>
      <c r="M28" s="382"/>
      <c r="N28" s="374">
        <v>100</v>
      </c>
      <c r="O28" s="374">
        <v>9.9999999999999995E-7</v>
      </c>
      <c r="P28" s="374">
        <v>9.9999999999999995E-7</v>
      </c>
      <c r="Q28" s="374">
        <v>9.9999999999999995E-7</v>
      </c>
      <c r="R28" s="374">
        <v>1E-4</v>
      </c>
    </row>
    <row r="29" spans="1:18" x14ac:dyDescent="0.3">
      <c r="A29" s="382"/>
      <c r="B29" s="373"/>
      <c r="C29" s="384"/>
      <c r="D29" s="384"/>
      <c r="E29" s="373"/>
      <c r="F29" s="383"/>
      <c r="G29" s="382"/>
      <c r="H29" s="373"/>
      <c r="I29" s="384"/>
      <c r="J29" s="384"/>
      <c r="K29" s="373"/>
      <c r="L29" s="373"/>
      <c r="M29" s="382"/>
      <c r="N29" s="373"/>
      <c r="O29" s="383"/>
      <c r="P29" s="384"/>
      <c r="Q29" s="373"/>
      <c r="R29" s="373"/>
    </row>
    <row r="30" spans="1:18" x14ac:dyDescent="0.3">
      <c r="A30" s="382"/>
      <c r="B30" s="382"/>
      <c r="C30" s="382"/>
      <c r="D30" s="382"/>
      <c r="E30" s="382"/>
      <c r="F30" s="382"/>
      <c r="G30" s="382"/>
      <c r="H30" s="382"/>
      <c r="I30" s="382"/>
      <c r="J30" s="382"/>
      <c r="K30" s="382"/>
      <c r="L30" s="382"/>
      <c r="M30" s="382"/>
      <c r="N30" s="382"/>
      <c r="O30" s="382"/>
      <c r="P30" s="382"/>
      <c r="Q30" s="382"/>
      <c r="R30" s="382"/>
    </row>
    <row r="31" spans="1:18" x14ac:dyDescent="0.3">
      <c r="A31" s="382"/>
      <c r="B31" s="1387" t="s">
        <v>386</v>
      </c>
      <c r="C31" s="1388"/>
      <c r="D31" s="1388"/>
      <c r="E31" s="1388"/>
      <c r="F31" s="1389"/>
      <c r="G31" s="382"/>
      <c r="H31" s="1387" t="s">
        <v>393</v>
      </c>
      <c r="I31" s="1388"/>
      <c r="J31" s="1388"/>
      <c r="K31" s="1388"/>
      <c r="L31" s="1389"/>
      <c r="M31" s="382"/>
      <c r="N31" s="1387" t="s">
        <v>388</v>
      </c>
      <c r="O31" s="1388"/>
      <c r="P31" s="1388"/>
      <c r="Q31" s="1388"/>
      <c r="R31" s="1389"/>
    </row>
    <row r="32" spans="1:18" x14ac:dyDescent="0.3">
      <c r="A32" s="382"/>
      <c r="B32" s="1371" t="s">
        <v>381</v>
      </c>
      <c r="C32" s="1371"/>
      <c r="D32" s="1371"/>
      <c r="E32" s="1371"/>
      <c r="F32" s="1371"/>
      <c r="G32" s="382"/>
      <c r="H32" s="1371" t="s">
        <v>381</v>
      </c>
      <c r="I32" s="1371"/>
      <c r="J32" s="1371"/>
      <c r="K32" s="1371"/>
      <c r="L32" s="1371"/>
      <c r="M32" s="382"/>
      <c r="N32" s="1371" t="s">
        <v>381</v>
      </c>
      <c r="O32" s="1371"/>
      <c r="P32" s="1371"/>
      <c r="Q32" s="1371"/>
      <c r="R32" s="1371"/>
    </row>
    <row r="33" spans="1:18" x14ac:dyDescent="0.3">
      <c r="A33" s="382"/>
      <c r="B33" s="1372" t="s">
        <v>391</v>
      </c>
      <c r="C33" s="1373"/>
      <c r="D33" s="1374"/>
      <c r="E33" s="1375" t="s">
        <v>274</v>
      </c>
      <c r="F33" s="1375" t="s">
        <v>167</v>
      </c>
      <c r="G33" s="382"/>
      <c r="H33" s="1372" t="s">
        <v>391</v>
      </c>
      <c r="I33" s="1373"/>
      <c r="J33" s="1374"/>
      <c r="K33" s="1375" t="s">
        <v>274</v>
      </c>
      <c r="L33" s="1375" t="s">
        <v>167</v>
      </c>
      <c r="M33" s="382"/>
      <c r="N33" s="1372" t="s">
        <v>391</v>
      </c>
      <c r="O33" s="1373"/>
      <c r="P33" s="1374"/>
      <c r="Q33" s="1375" t="s">
        <v>274</v>
      </c>
      <c r="R33" s="1375" t="s">
        <v>167</v>
      </c>
    </row>
    <row r="34" spans="1:18" x14ac:dyDescent="0.3">
      <c r="A34" s="382"/>
      <c r="B34" s="372" t="s">
        <v>392</v>
      </c>
      <c r="C34" s="372">
        <v>2017</v>
      </c>
      <c r="D34" s="372">
        <v>2018</v>
      </c>
      <c r="E34" s="1376"/>
      <c r="F34" s="1376"/>
      <c r="G34" s="382"/>
      <c r="H34" s="372" t="s">
        <v>392</v>
      </c>
      <c r="I34" s="372">
        <v>2017</v>
      </c>
      <c r="J34" s="372">
        <v>2018</v>
      </c>
      <c r="K34" s="1376"/>
      <c r="L34" s="1376"/>
      <c r="M34" s="382"/>
      <c r="N34" s="372" t="s">
        <v>392</v>
      </c>
      <c r="O34" s="372">
        <v>2017</v>
      </c>
      <c r="P34" s="372">
        <v>2018</v>
      </c>
      <c r="Q34" s="1376"/>
      <c r="R34" s="1376"/>
    </row>
    <row r="35" spans="1:18" x14ac:dyDescent="0.3">
      <c r="A35" s="382"/>
      <c r="B35" s="374">
        <v>0</v>
      </c>
      <c r="C35" s="374">
        <v>9.9999999999999995E-7</v>
      </c>
      <c r="D35" s="374">
        <v>9.9999999999999995E-7</v>
      </c>
      <c r="E35" s="374">
        <v>9.9999999999999995E-7</v>
      </c>
      <c r="F35" s="374">
        <v>1E-4</v>
      </c>
      <c r="G35" s="382"/>
      <c r="H35" s="374">
        <v>0</v>
      </c>
      <c r="I35" s="374">
        <v>9.9999999999999995E-7</v>
      </c>
      <c r="J35" s="374">
        <v>9.9999999999999995E-7</v>
      </c>
      <c r="K35" s="374">
        <v>9.9999999999999995E-7</v>
      </c>
      <c r="L35" s="374">
        <v>1E-4</v>
      </c>
      <c r="M35" s="382"/>
      <c r="N35" s="374">
        <v>0</v>
      </c>
      <c r="O35" s="374">
        <v>9.9999999999999995E-7</v>
      </c>
      <c r="P35" s="374">
        <v>9.9999999999999995E-7</v>
      </c>
      <c r="Q35" s="374">
        <v>9.9999999999999995E-7</v>
      </c>
      <c r="R35" s="374">
        <v>1E-4</v>
      </c>
    </row>
    <row r="36" spans="1:18" x14ac:dyDescent="0.3">
      <c r="A36" s="382"/>
      <c r="B36" s="374">
        <v>85</v>
      </c>
      <c r="C36" s="374">
        <v>9.9999999999999995E-7</v>
      </c>
      <c r="D36" s="374">
        <v>9.9999999999999995E-7</v>
      </c>
      <c r="E36" s="374">
        <v>9.9999999999999995E-7</v>
      </c>
      <c r="F36" s="374">
        <v>1E-4</v>
      </c>
      <c r="G36" s="382"/>
      <c r="H36" s="374">
        <v>85</v>
      </c>
      <c r="I36" s="374">
        <v>9.9999999999999995E-7</v>
      </c>
      <c r="J36" s="374">
        <v>9.9999999999999995E-7</v>
      </c>
      <c r="K36" s="374">
        <v>9.9999999999999995E-7</v>
      </c>
      <c r="L36" s="374">
        <v>1E-4</v>
      </c>
      <c r="M36" s="382"/>
      <c r="N36" s="374">
        <v>85</v>
      </c>
      <c r="O36" s="374">
        <v>9.9999999999999995E-7</v>
      </c>
      <c r="P36" s="374">
        <v>9.9999999999999995E-7</v>
      </c>
      <c r="Q36" s="374">
        <v>9.9999999999999995E-7</v>
      </c>
      <c r="R36" s="374">
        <v>1E-4</v>
      </c>
    </row>
    <row r="37" spans="1:18" x14ac:dyDescent="0.3">
      <c r="A37" s="382"/>
      <c r="B37" s="374">
        <v>90</v>
      </c>
      <c r="C37" s="374">
        <v>9.9999999999999995E-7</v>
      </c>
      <c r="D37" s="374">
        <v>9.9999999999999995E-7</v>
      </c>
      <c r="E37" s="374">
        <v>9.9999999999999995E-7</v>
      </c>
      <c r="F37" s="374">
        <v>1E-4</v>
      </c>
      <c r="G37" s="382"/>
      <c r="H37" s="374">
        <v>90</v>
      </c>
      <c r="I37" s="374">
        <v>9.9999999999999995E-7</v>
      </c>
      <c r="J37" s="374">
        <v>9.9999999999999995E-7</v>
      </c>
      <c r="K37" s="374">
        <v>9.9999999999999995E-7</v>
      </c>
      <c r="L37" s="374">
        <v>1E-4</v>
      </c>
      <c r="M37" s="382"/>
      <c r="N37" s="374">
        <v>90</v>
      </c>
      <c r="O37" s="374">
        <v>9.9999999999999995E-7</v>
      </c>
      <c r="P37" s="374">
        <v>9.9999999999999995E-7</v>
      </c>
      <c r="Q37" s="374">
        <v>9.9999999999999995E-7</v>
      </c>
      <c r="R37" s="374">
        <v>1E-4</v>
      </c>
    </row>
    <row r="38" spans="1:18" x14ac:dyDescent="0.3">
      <c r="A38" s="382"/>
      <c r="B38" s="374">
        <v>95</v>
      </c>
      <c r="C38" s="374">
        <v>9.9999999999999995E-7</v>
      </c>
      <c r="D38" s="374">
        <v>9.9999999999999995E-7</v>
      </c>
      <c r="E38" s="374">
        <v>9.9999999999999995E-7</v>
      </c>
      <c r="F38" s="374">
        <v>1E-4</v>
      </c>
      <c r="G38" s="382"/>
      <c r="H38" s="374">
        <v>95</v>
      </c>
      <c r="I38" s="374">
        <v>9.9999999999999995E-7</v>
      </c>
      <c r="J38" s="374">
        <v>9.9999999999999995E-7</v>
      </c>
      <c r="K38" s="374">
        <v>9.9999999999999995E-7</v>
      </c>
      <c r="L38" s="374">
        <v>1E-4</v>
      </c>
      <c r="M38" s="382"/>
      <c r="N38" s="374">
        <v>95</v>
      </c>
      <c r="O38" s="374">
        <v>9.9999999999999995E-7</v>
      </c>
      <c r="P38" s="374">
        <v>9.9999999999999995E-7</v>
      </c>
      <c r="Q38" s="374">
        <v>9.9999999999999995E-7</v>
      </c>
      <c r="R38" s="374">
        <v>1E-4</v>
      </c>
    </row>
    <row r="39" spans="1:18" x14ac:dyDescent="0.3">
      <c r="A39" s="382"/>
      <c r="B39" s="374">
        <v>97</v>
      </c>
      <c r="C39" s="374">
        <v>9.9999999999999995E-7</v>
      </c>
      <c r="D39" s="374">
        <v>9.9999999999999995E-7</v>
      </c>
      <c r="E39" s="374">
        <v>9.9999999999999995E-7</v>
      </c>
      <c r="F39" s="374">
        <v>1E-4</v>
      </c>
      <c r="G39" s="382"/>
      <c r="H39" s="374">
        <v>97</v>
      </c>
      <c r="I39" s="374">
        <v>9.9999999999999995E-7</v>
      </c>
      <c r="J39" s="374">
        <v>9.9999999999999995E-7</v>
      </c>
      <c r="K39" s="374">
        <v>9.9999999999999995E-7</v>
      </c>
      <c r="L39" s="374">
        <v>1E-4</v>
      </c>
      <c r="M39" s="382"/>
      <c r="N39" s="374">
        <v>97</v>
      </c>
      <c r="O39" s="374">
        <v>9.9999999999999995E-7</v>
      </c>
      <c r="P39" s="374">
        <v>9.9999999999999995E-7</v>
      </c>
      <c r="Q39" s="374">
        <v>9.9999999999999995E-7</v>
      </c>
      <c r="R39" s="374">
        <v>1E-4</v>
      </c>
    </row>
    <row r="40" spans="1:18" x14ac:dyDescent="0.3">
      <c r="A40" s="382"/>
      <c r="B40" s="374">
        <v>98</v>
      </c>
      <c r="C40" s="374">
        <v>9.9999999999999995E-7</v>
      </c>
      <c r="D40" s="374">
        <v>9.9999999999999995E-7</v>
      </c>
      <c r="E40" s="374">
        <v>9.9999999999999995E-7</v>
      </c>
      <c r="F40" s="374">
        <v>1E-4</v>
      </c>
      <c r="G40" s="382"/>
      <c r="H40" s="374">
        <v>98</v>
      </c>
      <c r="I40" s="374">
        <v>9.9999999999999995E-7</v>
      </c>
      <c r="J40" s="374">
        <v>9.9999999999999995E-7</v>
      </c>
      <c r="K40" s="374">
        <v>9.9999999999999995E-7</v>
      </c>
      <c r="L40" s="374">
        <v>1E-4</v>
      </c>
      <c r="M40" s="382"/>
      <c r="N40" s="374">
        <v>98</v>
      </c>
      <c r="O40" s="374">
        <v>9.9999999999999995E-7</v>
      </c>
      <c r="P40" s="374">
        <v>9.9999999999999995E-7</v>
      </c>
      <c r="Q40" s="374">
        <v>9.9999999999999995E-7</v>
      </c>
      <c r="R40" s="374">
        <v>1E-4</v>
      </c>
    </row>
    <row r="41" spans="1:18" x14ac:dyDescent="0.3">
      <c r="A41" s="382"/>
      <c r="B41" s="374">
        <v>99</v>
      </c>
      <c r="C41" s="374">
        <v>9.9999999999999995E-7</v>
      </c>
      <c r="D41" s="374">
        <v>9.9999999999999995E-7</v>
      </c>
      <c r="E41" s="374">
        <v>9.9999999999999995E-7</v>
      </c>
      <c r="F41" s="374">
        <v>1E-4</v>
      </c>
      <c r="G41" s="382"/>
      <c r="H41" s="374">
        <v>99</v>
      </c>
      <c r="I41" s="374">
        <v>9.9999999999999995E-7</v>
      </c>
      <c r="J41" s="374">
        <v>9.9999999999999995E-7</v>
      </c>
      <c r="K41" s="374">
        <v>9.9999999999999995E-7</v>
      </c>
      <c r="L41" s="374">
        <v>1E-4</v>
      </c>
      <c r="M41" s="382"/>
      <c r="N41" s="374">
        <v>99</v>
      </c>
      <c r="O41" s="374">
        <v>9.9999999999999995E-7</v>
      </c>
      <c r="P41" s="374">
        <v>9.9999999999999995E-7</v>
      </c>
      <c r="Q41" s="374">
        <v>9.9999999999999995E-7</v>
      </c>
      <c r="R41" s="374">
        <v>1E-4</v>
      </c>
    </row>
    <row r="42" spans="1:18" x14ac:dyDescent="0.3">
      <c r="A42" s="382"/>
      <c r="B42" s="374">
        <v>100</v>
      </c>
      <c r="C42" s="374">
        <v>9.9999999999999995E-7</v>
      </c>
      <c r="D42" s="374">
        <v>9.9999999999999995E-7</v>
      </c>
      <c r="E42" s="374">
        <v>9.9999999999999995E-7</v>
      </c>
      <c r="F42" s="374">
        <v>1E-4</v>
      </c>
      <c r="G42" s="382"/>
      <c r="H42" s="374">
        <v>100</v>
      </c>
      <c r="I42" s="374">
        <v>9.9999999999999995E-7</v>
      </c>
      <c r="J42" s="374">
        <v>9.9999999999999995E-7</v>
      </c>
      <c r="K42" s="374">
        <v>9.9999999999999995E-7</v>
      </c>
      <c r="L42" s="374">
        <v>1E-4</v>
      </c>
      <c r="M42" s="382"/>
      <c r="N42" s="374">
        <v>100</v>
      </c>
      <c r="O42" s="374">
        <v>9.9999999999999995E-7</v>
      </c>
      <c r="P42" s="374">
        <v>9.9999999999999995E-7</v>
      </c>
      <c r="Q42" s="374">
        <v>9.9999999999999995E-7</v>
      </c>
      <c r="R42" s="374">
        <v>1E-4</v>
      </c>
    </row>
    <row r="43" spans="1:18" x14ac:dyDescent="0.3">
      <c r="A43" s="382"/>
      <c r="B43" s="382"/>
      <c r="C43" s="382"/>
      <c r="D43" s="382"/>
      <c r="E43" s="382"/>
      <c r="F43" s="382"/>
      <c r="G43" s="382"/>
      <c r="H43" s="382"/>
      <c r="I43" s="382"/>
      <c r="J43" s="382"/>
      <c r="K43" s="382"/>
      <c r="L43" s="382"/>
      <c r="M43" s="382"/>
      <c r="N43" s="382"/>
      <c r="O43" s="382"/>
      <c r="P43" s="382"/>
      <c r="Q43" s="382"/>
      <c r="R43" s="382"/>
    </row>
    <row r="44" spans="1:18" x14ac:dyDescent="0.3">
      <c r="A44" s="382"/>
      <c r="B44" s="1387" t="s">
        <v>389</v>
      </c>
      <c r="C44" s="1388"/>
      <c r="D44" s="1388"/>
      <c r="E44" s="1388"/>
      <c r="F44" s="1389"/>
      <c r="G44" s="382"/>
      <c r="H44" s="382"/>
      <c r="I44" s="382"/>
      <c r="J44" s="382"/>
      <c r="K44" s="382"/>
      <c r="L44" s="382"/>
      <c r="M44" s="382"/>
      <c r="N44" s="382"/>
      <c r="O44" s="382"/>
      <c r="P44" s="382"/>
      <c r="Q44" s="382"/>
      <c r="R44" s="382"/>
    </row>
    <row r="45" spans="1:18" x14ac:dyDescent="0.3">
      <c r="A45" s="382"/>
      <c r="B45" s="1371" t="s">
        <v>381</v>
      </c>
      <c r="C45" s="1371"/>
      <c r="D45" s="1371"/>
      <c r="E45" s="1371"/>
      <c r="F45" s="1371"/>
      <c r="G45" s="382"/>
      <c r="H45" s="382"/>
      <c r="I45" s="382"/>
      <c r="J45" s="382"/>
      <c r="K45" s="382"/>
      <c r="L45" s="382"/>
      <c r="M45" s="382"/>
      <c r="N45" s="382"/>
      <c r="O45" s="382"/>
      <c r="P45" s="382"/>
      <c r="Q45" s="382"/>
      <c r="R45" s="382"/>
    </row>
    <row r="46" spans="1:18" x14ac:dyDescent="0.3">
      <c r="A46" s="382"/>
      <c r="B46" s="1372" t="s">
        <v>391</v>
      </c>
      <c r="C46" s="1373"/>
      <c r="D46" s="1374"/>
      <c r="E46" s="1375" t="s">
        <v>274</v>
      </c>
      <c r="F46" s="1375" t="s">
        <v>167</v>
      </c>
      <c r="G46" s="382"/>
      <c r="H46" s="382"/>
      <c r="I46" s="382"/>
      <c r="J46" s="382"/>
      <c r="K46" s="382"/>
      <c r="L46" s="382"/>
      <c r="M46" s="382"/>
      <c r="N46" s="382"/>
      <c r="O46" s="382"/>
      <c r="P46" s="382"/>
      <c r="Q46" s="382"/>
      <c r="R46" s="382"/>
    </row>
    <row r="47" spans="1:18" x14ac:dyDescent="0.3">
      <c r="A47" s="382"/>
      <c r="B47" s="372" t="s">
        <v>392</v>
      </c>
      <c r="C47" s="372">
        <v>2017</v>
      </c>
      <c r="D47" s="372">
        <v>2018</v>
      </c>
      <c r="E47" s="1376"/>
      <c r="F47" s="1376"/>
      <c r="G47" s="382"/>
      <c r="H47" s="382"/>
      <c r="I47" s="382"/>
      <c r="J47" s="382"/>
      <c r="K47" s="382"/>
      <c r="L47" s="382"/>
      <c r="M47" s="382"/>
      <c r="N47" s="382"/>
      <c r="O47" s="382"/>
      <c r="P47" s="382"/>
      <c r="Q47" s="382"/>
      <c r="R47" s="382"/>
    </row>
    <row r="48" spans="1:18" x14ac:dyDescent="0.3">
      <c r="A48" s="382"/>
      <c r="B48" s="374">
        <v>0</v>
      </c>
      <c r="C48" s="374">
        <v>9.9999999999999995E-7</v>
      </c>
      <c r="D48" s="374">
        <v>9.9999999999999995E-7</v>
      </c>
      <c r="E48" s="374">
        <v>9.9999999999999995E-7</v>
      </c>
      <c r="F48" s="374">
        <v>1E-4</v>
      </c>
      <c r="G48" s="382"/>
      <c r="H48" s="382"/>
      <c r="I48" s="382"/>
      <c r="J48" s="382"/>
      <c r="K48" s="382"/>
      <c r="L48" s="382"/>
      <c r="M48" s="382"/>
      <c r="N48" s="382"/>
      <c r="O48" s="382"/>
      <c r="P48" s="382"/>
      <c r="Q48" s="382"/>
      <c r="R48" s="382"/>
    </row>
    <row r="49" spans="1:18" x14ac:dyDescent="0.3">
      <c r="A49" s="382"/>
      <c r="B49" s="374">
        <v>85</v>
      </c>
      <c r="C49" s="374">
        <v>9.9999999999999995E-7</v>
      </c>
      <c r="D49" s="374">
        <v>9.9999999999999995E-7</v>
      </c>
      <c r="E49" s="374">
        <v>9.9999999999999995E-7</v>
      </c>
      <c r="F49" s="374">
        <v>1E-4</v>
      </c>
      <c r="G49" s="382"/>
      <c r="H49" s="382"/>
      <c r="I49" s="382"/>
      <c r="J49" s="382"/>
      <c r="K49" s="382"/>
      <c r="L49" s="382"/>
      <c r="M49" s="382"/>
      <c r="N49" s="382"/>
      <c r="O49" s="382"/>
      <c r="P49" s="382"/>
      <c r="Q49" s="382"/>
      <c r="R49" s="382"/>
    </row>
    <row r="50" spans="1:18" x14ac:dyDescent="0.3">
      <c r="A50" s="382"/>
      <c r="B50" s="374">
        <v>90</v>
      </c>
      <c r="C50" s="374">
        <v>9.9999999999999995E-7</v>
      </c>
      <c r="D50" s="374">
        <v>9.9999999999999995E-7</v>
      </c>
      <c r="E50" s="374">
        <v>9.9999999999999995E-7</v>
      </c>
      <c r="F50" s="374">
        <v>1E-4</v>
      </c>
      <c r="G50" s="382"/>
      <c r="H50" s="382"/>
      <c r="I50" s="382"/>
      <c r="J50" s="382"/>
      <c r="K50" s="382"/>
      <c r="L50" s="382"/>
      <c r="M50" s="382"/>
      <c r="N50" s="382"/>
      <c r="O50" s="382"/>
      <c r="P50" s="382"/>
      <c r="Q50" s="382"/>
      <c r="R50" s="382"/>
    </row>
    <row r="51" spans="1:18" x14ac:dyDescent="0.3">
      <c r="A51" s="382"/>
      <c r="B51" s="374">
        <v>95</v>
      </c>
      <c r="C51" s="374">
        <v>9.9999999999999995E-7</v>
      </c>
      <c r="D51" s="374">
        <v>9.9999999999999995E-7</v>
      </c>
      <c r="E51" s="374">
        <v>9.9999999999999995E-7</v>
      </c>
      <c r="F51" s="374">
        <v>1E-4</v>
      </c>
      <c r="G51" s="382"/>
      <c r="H51" s="382"/>
      <c r="I51" s="382"/>
      <c r="J51" s="382"/>
      <c r="K51" s="382"/>
      <c r="L51" s="382"/>
      <c r="M51" s="382"/>
      <c r="N51" s="382"/>
      <c r="O51" s="382"/>
      <c r="P51" s="382"/>
      <c r="Q51" s="382"/>
      <c r="R51" s="382"/>
    </row>
    <row r="52" spans="1:18" x14ac:dyDescent="0.3">
      <c r="A52" s="382"/>
      <c r="B52" s="374">
        <v>97</v>
      </c>
      <c r="C52" s="374">
        <v>9.9999999999999995E-7</v>
      </c>
      <c r="D52" s="374">
        <v>9.9999999999999995E-7</v>
      </c>
      <c r="E52" s="374">
        <v>9.9999999999999995E-7</v>
      </c>
      <c r="F52" s="374">
        <v>1E-4</v>
      </c>
      <c r="G52" s="382"/>
      <c r="H52" s="382"/>
      <c r="I52" s="382"/>
      <c r="J52" s="382"/>
      <c r="K52" s="382"/>
      <c r="L52" s="382"/>
      <c r="M52" s="382"/>
      <c r="N52" s="382"/>
      <c r="O52" s="382"/>
      <c r="P52" s="382"/>
      <c r="Q52" s="382"/>
      <c r="R52" s="382"/>
    </row>
    <row r="53" spans="1:18" x14ac:dyDescent="0.3">
      <c r="A53" s="382"/>
      <c r="B53" s="374">
        <v>98</v>
      </c>
      <c r="C53" s="374">
        <v>9.9999999999999995E-7</v>
      </c>
      <c r="D53" s="374">
        <v>9.9999999999999995E-7</v>
      </c>
      <c r="E53" s="374">
        <v>9.9999999999999995E-7</v>
      </c>
      <c r="F53" s="374">
        <v>1E-4</v>
      </c>
      <c r="G53" s="382"/>
      <c r="H53" s="382"/>
      <c r="I53" s="382"/>
      <c r="J53" s="382"/>
      <c r="K53" s="382"/>
      <c r="L53" s="382"/>
      <c r="M53" s="382"/>
      <c r="N53" s="382"/>
      <c r="O53" s="382"/>
      <c r="P53" s="382"/>
      <c r="Q53" s="382"/>
      <c r="R53" s="382"/>
    </row>
    <row r="54" spans="1:18" x14ac:dyDescent="0.3">
      <c r="A54" s="382"/>
      <c r="B54" s="374">
        <v>99</v>
      </c>
      <c r="C54" s="374">
        <v>9.9999999999999995E-7</v>
      </c>
      <c r="D54" s="374">
        <v>9.9999999999999995E-7</v>
      </c>
      <c r="E54" s="374">
        <v>9.9999999999999995E-7</v>
      </c>
      <c r="F54" s="374">
        <v>1E-4</v>
      </c>
      <c r="G54" s="382"/>
      <c r="H54" s="382"/>
      <c r="I54" s="382"/>
      <c r="J54" s="382"/>
      <c r="K54" s="382"/>
      <c r="L54" s="382"/>
      <c r="M54" s="382"/>
      <c r="N54" s="382"/>
      <c r="O54" s="382"/>
      <c r="P54" s="382"/>
      <c r="Q54" s="382"/>
      <c r="R54" s="382"/>
    </row>
    <row r="55" spans="1:18" x14ac:dyDescent="0.3">
      <c r="A55" s="382"/>
      <c r="B55" s="374">
        <v>100</v>
      </c>
      <c r="C55" s="374">
        <v>9.9999999999999995E-7</v>
      </c>
      <c r="D55" s="374">
        <v>9.9999999999999995E-7</v>
      </c>
      <c r="E55" s="374">
        <v>9.9999999999999995E-7</v>
      </c>
      <c r="F55" s="374">
        <v>1E-4</v>
      </c>
      <c r="G55" s="382"/>
      <c r="H55" s="382"/>
      <c r="I55" s="382"/>
      <c r="J55" s="382"/>
      <c r="K55" s="382"/>
      <c r="L55" s="382"/>
      <c r="M55" s="382"/>
      <c r="N55" s="382"/>
      <c r="O55" s="382"/>
      <c r="P55" s="382"/>
      <c r="Q55" s="382"/>
      <c r="R55" s="382"/>
    </row>
    <row r="56" spans="1:18" x14ac:dyDescent="0.3">
      <c r="A56" s="382"/>
      <c r="B56" s="382"/>
      <c r="C56" s="382"/>
      <c r="D56" s="382"/>
      <c r="E56" s="382"/>
      <c r="F56" s="382"/>
      <c r="G56" s="382"/>
      <c r="H56" s="382"/>
      <c r="I56" s="382"/>
      <c r="J56" s="382"/>
      <c r="K56" s="382"/>
      <c r="L56" s="382"/>
      <c r="M56" s="382"/>
      <c r="N56" s="382"/>
      <c r="O56" s="382"/>
      <c r="P56" s="382"/>
      <c r="Q56" s="382"/>
      <c r="R56" s="382"/>
    </row>
    <row r="57" spans="1:18" x14ac:dyDescent="0.3">
      <c r="A57" s="382"/>
      <c r="B57" s="382"/>
      <c r="C57" s="382"/>
      <c r="D57" s="382"/>
      <c r="E57" s="382"/>
      <c r="F57" s="382"/>
      <c r="G57" s="382"/>
      <c r="H57" s="382"/>
      <c r="I57" s="382"/>
      <c r="J57" s="382"/>
      <c r="K57" s="382"/>
      <c r="L57" s="382"/>
      <c r="M57" s="382"/>
      <c r="N57" s="382"/>
      <c r="O57" s="382"/>
      <c r="P57" s="382"/>
      <c r="Q57" s="382"/>
      <c r="R57" s="382"/>
    </row>
    <row r="58" spans="1:18" ht="14.5" thickBot="1" x14ac:dyDescent="0.35">
      <c r="A58" s="382"/>
      <c r="B58" s="382"/>
      <c r="C58" s="382"/>
      <c r="D58" s="382"/>
      <c r="E58" s="382"/>
      <c r="F58" s="382"/>
      <c r="G58" s="382"/>
      <c r="H58" s="382"/>
      <c r="I58" s="382"/>
      <c r="J58" s="382"/>
      <c r="K58" s="382"/>
      <c r="L58" s="382"/>
      <c r="M58" s="382"/>
      <c r="N58" s="382"/>
      <c r="O58" s="382"/>
      <c r="P58" s="382"/>
      <c r="Q58" s="382"/>
      <c r="R58" s="382"/>
    </row>
    <row r="59" spans="1:18" x14ac:dyDescent="0.3">
      <c r="A59" s="1365">
        <v>85</v>
      </c>
      <c r="B59" s="1378" t="s">
        <v>33</v>
      </c>
      <c r="C59" s="1380" t="s">
        <v>390</v>
      </c>
      <c r="D59" s="1380"/>
      <c r="E59" s="1380"/>
      <c r="F59" s="1380"/>
      <c r="G59" s="1381"/>
      <c r="H59" s="382"/>
      <c r="I59" s="382"/>
      <c r="J59" s="382"/>
      <c r="K59" s="382"/>
      <c r="L59" s="382"/>
      <c r="M59" s="382"/>
      <c r="N59" s="382"/>
      <c r="O59" s="382"/>
      <c r="P59" s="382"/>
      <c r="Q59" s="382"/>
      <c r="R59" s="382"/>
    </row>
    <row r="60" spans="1:18" x14ac:dyDescent="0.3">
      <c r="A60" s="1366"/>
      <c r="B60" s="1379"/>
      <c r="C60" s="1382" t="str">
        <f>B6</f>
        <v>Setting O2%</v>
      </c>
      <c r="D60" s="1382"/>
      <c r="E60" s="1382"/>
      <c r="F60" s="1383" t="s">
        <v>274</v>
      </c>
      <c r="G60" s="1385" t="s">
        <v>167</v>
      </c>
      <c r="H60" s="382"/>
      <c r="I60" s="382"/>
      <c r="J60" s="382"/>
      <c r="K60" s="382"/>
      <c r="L60" s="382"/>
      <c r="M60" s="382"/>
      <c r="N60" s="382"/>
      <c r="O60" s="382"/>
      <c r="P60" s="382"/>
      <c r="Q60" s="382"/>
      <c r="R60" s="382"/>
    </row>
    <row r="61" spans="1:18" x14ac:dyDescent="0.3">
      <c r="A61" s="1366"/>
      <c r="B61" s="1379"/>
      <c r="C61" s="374" t="s">
        <v>392</v>
      </c>
      <c r="D61" s="374">
        <v>2017</v>
      </c>
      <c r="E61" s="374">
        <v>2018</v>
      </c>
      <c r="F61" s="1384"/>
      <c r="G61" s="1386"/>
      <c r="H61" s="382"/>
      <c r="I61" s="382"/>
      <c r="J61" s="382"/>
      <c r="K61" s="382"/>
      <c r="L61" s="382"/>
      <c r="M61" s="382"/>
      <c r="N61" s="382"/>
      <c r="O61" s="382"/>
      <c r="P61" s="382"/>
      <c r="Q61" s="382"/>
      <c r="R61" s="382"/>
    </row>
    <row r="62" spans="1:18" ht="15.75" customHeight="1" thickBot="1" x14ac:dyDescent="0.35">
      <c r="A62" s="1366"/>
      <c r="B62" s="374">
        <v>1</v>
      </c>
      <c r="C62" s="374">
        <v>85</v>
      </c>
      <c r="D62" s="374">
        <f>$C$9</f>
        <v>9.9999999999999995E-7</v>
      </c>
      <c r="E62" s="374">
        <f>$D$9</f>
        <v>9.9999999999999995E-7</v>
      </c>
      <c r="F62" s="374">
        <f>$E$9</f>
        <v>9.9999999999999995E-7</v>
      </c>
      <c r="G62" s="385">
        <f>$F$9</f>
        <v>1E-4</v>
      </c>
      <c r="H62" s="382"/>
      <c r="I62" s="382"/>
      <c r="J62" s="382"/>
      <c r="K62" s="382"/>
      <c r="L62" s="382"/>
      <c r="M62" s="382"/>
      <c r="N62" s="382"/>
      <c r="O62" s="382"/>
      <c r="P62" s="382"/>
      <c r="Q62" s="382"/>
      <c r="R62" s="382"/>
    </row>
    <row r="63" spans="1:18" ht="15.75" customHeight="1" thickBot="1" x14ac:dyDescent="0.35">
      <c r="A63" s="1366"/>
      <c r="B63" s="374">
        <v>2</v>
      </c>
      <c r="C63" s="374">
        <v>85</v>
      </c>
      <c r="D63" s="374">
        <f>$I$9</f>
        <v>9.9999999999999995E-7</v>
      </c>
      <c r="E63" s="374">
        <f>$J$9</f>
        <v>9.9999999999999995E-7</v>
      </c>
      <c r="F63" s="374">
        <f>$K$9</f>
        <v>9.9999999999999995E-7</v>
      </c>
      <c r="G63" s="385">
        <f>$L$9</f>
        <v>1E-4</v>
      </c>
      <c r="H63" s="382"/>
      <c r="I63" s="382"/>
      <c r="J63" s="382"/>
      <c r="K63" s="382"/>
      <c r="L63" s="382"/>
      <c r="M63" s="382"/>
      <c r="N63" s="382"/>
      <c r="O63" s="382"/>
      <c r="P63" s="382"/>
      <c r="Q63" s="382"/>
      <c r="R63" s="382"/>
    </row>
    <row r="64" spans="1:18" ht="15.75" customHeight="1" thickBot="1" x14ac:dyDescent="0.35">
      <c r="A64" s="1366"/>
      <c r="B64" s="374">
        <v>3</v>
      </c>
      <c r="C64" s="374">
        <v>85</v>
      </c>
      <c r="D64" s="374">
        <f>$O$9</f>
        <v>1E-3</v>
      </c>
      <c r="E64" s="374">
        <f>$P$9</f>
        <v>9.9999999999999995E-7</v>
      </c>
      <c r="F64" s="374">
        <f>$Q$9</f>
        <v>9.9999999999999995E-7</v>
      </c>
      <c r="G64" s="385">
        <f>$R$9</f>
        <v>1E-4</v>
      </c>
      <c r="H64" s="382"/>
      <c r="I64" s="382"/>
      <c r="J64" s="382"/>
      <c r="K64" s="382"/>
      <c r="L64" s="382"/>
      <c r="M64" s="382"/>
      <c r="N64" s="382"/>
      <c r="O64" s="382"/>
      <c r="P64" s="382"/>
      <c r="Q64" s="382"/>
      <c r="R64" s="382"/>
    </row>
    <row r="65" spans="1:18" ht="15" customHeight="1" thickBot="1" x14ac:dyDescent="0.35">
      <c r="A65" s="1366"/>
      <c r="B65" s="374">
        <v>4</v>
      </c>
      <c r="C65" s="374">
        <v>85</v>
      </c>
      <c r="D65" s="374">
        <f>$C$22</f>
        <v>9.9999999999999995E-7</v>
      </c>
      <c r="E65" s="374">
        <f>$D$22</f>
        <v>9.9999999999999995E-7</v>
      </c>
      <c r="F65" s="374">
        <f>$E$22</f>
        <v>9.9999999999999995E-7</v>
      </c>
      <c r="G65" s="385">
        <f>$F$22</f>
        <v>1E-4</v>
      </c>
      <c r="H65" s="382"/>
      <c r="I65" s="382"/>
      <c r="J65" s="382"/>
      <c r="K65" s="382"/>
      <c r="L65" s="382"/>
      <c r="M65" s="382"/>
      <c r="N65" s="382"/>
      <c r="O65" s="382"/>
      <c r="P65" s="382"/>
      <c r="Q65" s="382"/>
      <c r="R65" s="382"/>
    </row>
    <row r="66" spans="1:18" ht="15" customHeight="1" thickBot="1" x14ac:dyDescent="0.35">
      <c r="A66" s="1366"/>
      <c r="B66" s="374">
        <v>5</v>
      </c>
      <c r="C66" s="374">
        <v>85</v>
      </c>
      <c r="D66" s="374">
        <f>$I$22</f>
        <v>9.9999999999999995E-7</v>
      </c>
      <c r="E66" s="374">
        <f>$J$22</f>
        <v>9.9999999999999995E-7</v>
      </c>
      <c r="F66" s="374">
        <f>$K$22</f>
        <v>9.9999999999999995E-7</v>
      </c>
      <c r="G66" s="385">
        <f>$L$22</f>
        <v>1E-4</v>
      </c>
      <c r="H66" s="382"/>
      <c r="I66" s="382"/>
      <c r="J66" s="382"/>
      <c r="K66" s="382"/>
      <c r="L66" s="382"/>
      <c r="M66" s="382"/>
      <c r="N66" s="382"/>
      <c r="O66" s="382"/>
      <c r="P66" s="382"/>
      <c r="Q66" s="382"/>
      <c r="R66" s="382"/>
    </row>
    <row r="67" spans="1:18" ht="14.5" thickBot="1" x14ac:dyDescent="0.35">
      <c r="A67" s="1366"/>
      <c r="B67" s="374">
        <v>6</v>
      </c>
      <c r="C67" s="374">
        <v>85</v>
      </c>
      <c r="D67" s="374">
        <f>$O$22</f>
        <v>9.9999999999999995E-7</v>
      </c>
      <c r="E67" s="374">
        <f>$P$22</f>
        <v>9.9999999999999995E-7</v>
      </c>
      <c r="F67" s="374">
        <f>$Q$22</f>
        <v>9.9999999999999995E-7</v>
      </c>
      <c r="G67" s="385">
        <f>$R$22</f>
        <v>1E-4</v>
      </c>
      <c r="H67" s="382"/>
      <c r="I67" s="382"/>
      <c r="J67" s="382"/>
      <c r="K67" s="382"/>
      <c r="L67" s="382"/>
      <c r="M67" s="382"/>
      <c r="N67" s="382"/>
      <c r="O67" s="382"/>
      <c r="P67" s="382"/>
      <c r="Q67" s="382"/>
      <c r="R67" s="382"/>
    </row>
    <row r="68" spans="1:18" ht="14.5" thickBot="1" x14ac:dyDescent="0.35">
      <c r="A68" s="1366"/>
      <c r="B68" s="374">
        <v>7</v>
      </c>
      <c r="C68" s="374">
        <v>85</v>
      </c>
      <c r="D68" s="374">
        <f>$C$36</f>
        <v>9.9999999999999995E-7</v>
      </c>
      <c r="E68" s="374">
        <f>$D$36</f>
        <v>9.9999999999999995E-7</v>
      </c>
      <c r="F68" s="374">
        <f>$E$36</f>
        <v>9.9999999999999995E-7</v>
      </c>
      <c r="G68" s="385">
        <f>$F$36</f>
        <v>1E-4</v>
      </c>
      <c r="H68" s="382"/>
      <c r="I68" s="382"/>
      <c r="J68" s="382"/>
      <c r="K68" s="382"/>
      <c r="L68" s="382"/>
      <c r="M68" s="382"/>
      <c r="N68" s="382"/>
      <c r="O68" s="382"/>
      <c r="P68" s="382"/>
      <c r="Q68" s="382"/>
      <c r="R68" s="382"/>
    </row>
    <row r="69" spans="1:18" ht="14.5" thickBot="1" x14ac:dyDescent="0.35">
      <c r="A69" s="1366"/>
      <c r="B69" s="374">
        <v>8</v>
      </c>
      <c r="C69" s="374">
        <v>85</v>
      </c>
      <c r="D69" s="374">
        <f>$I$36</f>
        <v>9.9999999999999995E-7</v>
      </c>
      <c r="E69" s="374">
        <f>$J$36</f>
        <v>9.9999999999999995E-7</v>
      </c>
      <c r="F69" s="374">
        <f>$K$36</f>
        <v>9.9999999999999995E-7</v>
      </c>
      <c r="G69" s="385">
        <f>$L$36</f>
        <v>1E-4</v>
      </c>
      <c r="H69" s="382"/>
      <c r="I69" s="382"/>
      <c r="J69" s="382"/>
      <c r="K69" s="382"/>
      <c r="L69" s="382"/>
      <c r="M69" s="382"/>
      <c r="N69" s="382"/>
      <c r="O69" s="382"/>
      <c r="P69" s="382"/>
      <c r="Q69" s="382"/>
      <c r="R69" s="382"/>
    </row>
    <row r="70" spans="1:18" ht="14.5" thickBot="1" x14ac:dyDescent="0.35">
      <c r="A70" s="1366"/>
      <c r="B70" s="374">
        <v>9</v>
      </c>
      <c r="C70" s="374">
        <v>85</v>
      </c>
      <c r="D70" s="374">
        <f>$O$36</f>
        <v>9.9999999999999995E-7</v>
      </c>
      <c r="E70" s="374">
        <f>P36</f>
        <v>9.9999999999999995E-7</v>
      </c>
      <c r="F70" s="374">
        <f>$Q$36</f>
        <v>9.9999999999999995E-7</v>
      </c>
      <c r="G70" s="385">
        <f>$R$36</f>
        <v>1E-4</v>
      </c>
      <c r="H70" s="382"/>
      <c r="I70" s="382"/>
      <c r="J70" s="382"/>
      <c r="K70" s="382"/>
      <c r="L70" s="382"/>
      <c r="M70" s="382"/>
      <c r="N70" s="382"/>
      <c r="O70" s="382"/>
      <c r="P70" s="382"/>
      <c r="Q70" s="382"/>
      <c r="R70" s="382"/>
    </row>
    <row r="71" spans="1:18" ht="17.25" customHeight="1" thickBot="1" x14ac:dyDescent="0.35">
      <c r="A71" s="1367"/>
      <c r="B71" s="375">
        <v>10</v>
      </c>
      <c r="C71" s="374">
        <v>85</v>
      </c>
      <c r="D71" s="374">
        <f>$C$49</f>
        <v>9.9999999999999995E-7</v>
      </c>
      <c r="E71" s="374">
        <f>D49</f>
        <v>9.9999999999999995E-7</v>
      </c>
      <c r="F71" s="375">
        <f>$E$49</f>
        <v>9.9999999999999995E-7</v>
      </c>
      <c r="G71" s="385">
        <f>$F$49</f>
        <v>1E-4</v>
      </c>
      <c r="H71" s="382"/>
      <c r="I71" s="382"/>
      <c r="J71" s="382"/>
      <c r="K71" s="382"/>
      <c r="L71" s="382"/>
      <c r="M71" s="382"/>
      <c r="N71" s="382"/>
      <c r="O71" s="382"/>
      <c r="P71" s="382"/>
      <c r="Q71" s="382"/>
      <c r="R71" s="382"/>
    </row>
    <row r="72" spans="1:18" ht="17.25" customHeight="1" thickBot="1" x14ac:dyDescent="0.35">
      <c r="A72" s="1365">
        <v>90</v>
      </c>
      <c r="B72" s="376">
        <v>1</v>
      </c>
      <c r="C72" s="386">
        <v>90</v>
      </c>
      <c r="D72" s="374">
        <f>$C$10</f>
        <v>9.9999999999999995E-7</v>
      </c>
      <c r="E72" s="374">
        <f>$D$10</f>
        <v>9.9999999999999995E-7</v>
      </c>
      <c r="F72" s="374">
        <f>$E$10</f>
        <v>9.9999999999999995E-7</v>
      </c>
      <c r="G72" s="385">
        <f>$F$10</f>
        <v>1E-4</v>
      </c>
      <c r="H72" s="382"/>
      <c r="I72" s="382"/>
      <c r="J72" s="382"/>
      <c r="K72" s="382"/>
      <c r="L72" s="382"/>
      <c r="M72" s="382"/>
      <c r="N72" s="382"/>
      <c r="O72" s="382"/>
      <c r="P72" s="382"/>
      <c r="Q72" s="382"/>
      <c r="R72" s="382"/>
    </row>
    <row r="73" spans="1:18" ht="15" customHeight="1" thickBot="1" x14ac:dyDescent="0.35">
      <c r="A73" s="1366"/>
      <c r="B73" s="374">
        <v>2</v>
      </c>
      <c r="C73" s="387">
        <v>90</v>
      </c>
      <c r="D73" s="374">
        <f>$I$10</f>
        <v>9.9999999999999995E-7</v>
      </c>
      <c r="E73" s="374">
        <f>$J$10</f>
        <v>9.9999999999999995E-7</v>
      </c>
      <c r="F73" s="374">
        <f>$K$10</f>
        <v>9.9999999999999995E-7</v>
      </c>
      <c r="G73" s="385">
        <f>$L$10</f>
        <v>1E-4</v>
      </c>
      <c r="H73" s="382"/>
      <c r="I73" s="382"/>
      <c r="J73" s="382"/>
      <c r="K73" s="382"/>
      <c r="L73" s="382"/>
      <c r="M73" s="382"/>
      <c r="N73" s="382"/>
      <c r="O73" s="382"/>
      <c r="P73" s="382"/>
      <c r="Q73" s="382"/>
      <c r="R73" s="382"/>
    </row>
    <row r="74" spans="1:18" ht="14.25" customHeight="1" thickBot="1" x14ac:dyDescent="0.35">
      <c r="A74" s="1366"/>
      <c r="B74" s="374">
        <v>3</v>
      </c>
      <c r="C74" s="387">
        <v>90</v>
      </c>
      <c r="D74" s="374">
        <f>$O$10</f>
        <v>1E-3</v>
      </c>
      <c r="E74" s="374">
        <f>$P$10</f>
        <v>9.9999999999999995E-7</v>
      </c>
      <c r="F74" s="374">
        <f>$Q$10</f>
        <v>9.9999999999999995E-7</v>
      </c>
      <c r="G74" s="385">
        <f>$R$10</f>
        <v>1E-4</v>
      </c>
      <c r="H74" s="382"/>
      <c r="I74" s="382"/>
      <c r="J74" s="382"/>
      <c r="K74" s="382"/>
      <c r="L74" s="382"/>
      <c r="M74" s="382"/>
      <c r="N74" s="382"/>
      <c r="O74" s="382"/>
      <c r="P74" s="382"/>
      <c r="Q74" s="382"/>
      <c r="R74" s="382"/>
    </row>
    <row r="75" spans="1:18" ht="15" customHeight="1" thickBot="1" x14ac:dyDescent="0.35">
      <c r="A75" s="1366"/>
      <c r="B75" s="374">
        <v>4</v>
      </c>
      <c r="C75" s="387">
        <v>90</v>
      </c>
      <c r="D75" s="374">
        <f>$C$23</f>
        <v>9.9999999999999995E-7</v>
      </c>
      <c r="E75" s="374">
        <f>$D$23</f>
        <v>9.9999999999999995E-7</v>
      </c>
      <c r="F75" s="374">
        <f>$E$23</f>
        <v>9.9999999999999995E-7</v>
      </c>
      <c r="G75" s="385">
        <f>$F$23</f>
        <v>1E-4</v>
      </c>
      <c r="H75" s="382"/>
      <c r="I75" s="382"/>
      <c r="J75" s="382"/>
      <c r="K75" s="382"/>
      <c r="L75" s="382"/>
      <c r="M75" s="382"/>
      <c r="N75" s="382"/>
      <c r="O75" s="382"/>
      <c r="P75" s="382"/>
      <c r="Q75" s="382"/>
      <c r="R75" s="382"/>
    </row>
    <row r="76" spans="1:18" ht="13.5" customHeight="1" thickBot="1" x14ac:dyDescent="0.35">
      <c r="A76" s="1366"/>
      <c r="B76" s="374">
        <v>5</v>
      </c>
      <c r="C76" s="387">
        <v>90</v>
      </c>
      <c r="D76" s="374">
        <f>$I$23</f>
        <v>9.9999999999999995E-7</v>
      </c>
      <c r="E76" s="374">
        <f>$J$23</f>
        <v>9.9999999999999995E-7</v>
      </c>
      <c r="F76" s="374">
        <f>$K$23</f>
        <v>9.9999999999999995E-7</v>
      </c>
      <c r="G76" s="385">
        <f>$L$23</f>
        <v>1E-4</v>
      </c>
      <c r="H76" s="382"/>
      <c r="I76" s="382"/>
      <c r="J76" s="382"/>
      <c r="K76" s="382"/>
      <c r="L76" s="382"/>
      <c r="M76" s="382"/>
      <c r="N76" s="382"/>
      <c r="O76" s="382"/>
      <c r="P76" s="382"/>
      <c r="Q76" s="382"/>
      <c r="R76" s="382"/>
    </row>
    <row r="77" spans="1:18" ht="12.75" customHeight="1" thickBot="1" x14ac:dyDescent="0.35">
      <c r="A77" s="1366"/>
      <c r="B77" s="374">
        <v>6</v>
      </c>
      <c r="C77" s="387">
        <v>90</v>
      </c>
      <c r="D77" s="374">
        <f>$O$23</f>
        <v>9.9999999999999995E-7</v>
      </c>
      <c r="E77" s="374">
        <f>$P$23</f>
        <v>9.9999999999999995E-7</v>
      </c>
      <c r="F77" s="374">
        <f>Q23</f>
        <v>9.9999999999999995E-7</v>
      </c>
      <c r="G77" s="385">
        <f>R23</f>
        <v>1E-4</v>
      </c>
      <c r="H77" s="382"/>
      <c r="I77" s="382"/>
      <c r="J77" s="382"/>
      <c r="K77" s="382"/>
      <c r="L77" s="382"/>
      <c r="M77" s="382"/>
      <c r="N77" s="382"/>
      <c r="O77" s="382"/>
      <c r="P77" s="382"/>
      <c r="Q77" s="382"/>
      <c r="R77" s="382"/>
    </row>
    <row r="78" spans="1:18" ht="12.75" customHeight="1" thickBot="1" x14ac:dyDescent="0.35">
      <c r="A78" s="1366"/>
      <c r="B78" s="374">
        <v>7</v>
      </c>
      <c r="C78" s="387">
        <v>90</v>
      </c>
      <c r="D78" s="374">
        <f>$C$37</f>
        <v>9.9999999999999995E-7</v>
      </c>
      <c r="E78" s="374">
        <f>$D$37</f>
        <v>9.9999999999999995E-7</v>
      </c>
      <c r="F78" s="374">
        <f>E37</f>
        <v>9.9999999999999995E-7</v>
      </c>
      <c r="G78" s="385">
        <f>F37</f>
        <v>1E-4</v>
      </c>
      <c r="H78" s="382"/>
      <c r="I78" s="382"/>
      <c r="J78" s="382"/>
      <c r="K78" s="382"/>
      <c r="L78" s="382"/>
      <c r="M78" s="382"/>
      <c r="N78" s="382"/>
      <c r="O78" s="382"/>
      <c r="P78" s="382"/>
      <c r="Q78" s="382"/>
      <c r="R78" s="382"/>
    </row>
    <row r="79" spans="1:18" ht="12.75" customHeight="1" thickBot="1" x14ac:dyDescent="0.35">
      <c r="A79" s="1366"/>
      <c r="B79" s="374">
        <v>8</v>
      </c>
      <c r="C79" s="387">
        <v>90</v>
      </c>
      <c r="D79" s="374">
        <f>$I$37</f>
        <v>9.9999999999999995E-7</v>
      </c>
      <c r="E79" s="374">
        <f>$J$37</f>
        <v>9.9999999999999995E-7</v>
      </c>
      <c r="F79" s="374">
        <f>K37</f>
        <v>9.9999999999999995E-7</v>
      </c>
      <c r="G79" s="385">
        <f>L37</f>
        <v>1E-4</v>
      </c>
      <c r="H79" s="382"/>
      <c r="I79" s="382"/>
      <c r="J79" s="382"/>
      <c r="K79" s="382"/>
      <c r="L79" s="382"/>
      <c r="M79" s="382"/>
      <c r="N79" s="382"/>
      <c r="O79" s="382"/>
      <c r="P79" s="382"/>
      <c r="Q79" s="382"/>
      <c r="R79" s="382"/>
    </row>
    <row r="80" spans="1:18" ht="15" customHeight="1" thickBot="1" x14ac:dyDescent="0.35">
      <c r="A80" s="1366"/>
      <c r="B80" s="374">
        <v>9</v>
      </c>
      <c r="C80" s="387">
        <v>90</v>
      </c>
      <c r="D80" s="374">
        <f>$O$37</f>
        <v>9.9999999999999995E-7</v>
      </c>
      <c r="E80" s="374">
        <f>$P$37</f>
        <v>9.9999999999999995E-7</v>
      </c>
      <c r="F80" s="374">
        <f>Q37</f>
        <v>9.9999999999999995E-7</v>
      </c>
      <c r="G80" s="385">
        <f>R37</f>
        <v>1E-4</v>
      </c>
      <c r="H80" s="382"/>
      <c r="I80" s="382"/>
      <c r="J80" s="382"/>
      <c r="K80" s="382"/>
      <c r="L80" s="382"/>
      <c r="M80" s="382"/>
      <c r="N80" s="382"/>
      <c r="O80" s="382"/>
      <c r="P80" s="382"/>
      <c r="Q80" s="382"/>
      <c r="R80" s="382"/>
    </row>
    <row r="81" spans="1:18" ht="15" customHeight="1" thickBot="1" x14ac:dyDescent="0.35">
      <c r="A81" s="1367"/>
      <c r="B81" s="375">
        <v>10</v>
      </c>
      <c r="C81" s="387">
        <v>90</v>
      </c>
      <c r="D81" s="374">
        <f>$C$50</f>
        <v>9.9999999999999995E-7</v>
      </c>
      <c r="E81" s="374">
        <f>$D$50</f>
        <v>9.9999999999999995E-7</v>
      </c>
      <c r="F81" s="374">
        <f>E50</f>
        <v>9.9999999999999995E-7</v>
      </c>
      <c r="G81" s="385">
        <f>F50</f>
        <v>1E-4</v>
      </c>
      <c r="H81" s="382"/>
      <c r="I81" s="382"/>
      <c r="J81" s="382"/>
      <c r="K81" s="382"/>
      <c r="L81" s="382"/>
      <c r="M81" s="382"/>
      <c r="N81" s="382"/>
      <c r="O81" s="382"/>
      <c r="P81" s="382"/>
      <c r="Q81" s="382"/>
      <c r="R81" s="382"/>
    </row>
    <row r="82" spans="1:18" ht="15" customHeight="1" thickBot="1" x14ac:dyDescent="0.35">
      <c r="A82" s="1365">
        <v>95</v>
      </c>
      <c r="B82" s="376">
        <v>1</v>
      </c>
      <c r="C82" s="386">
        <v>95</v>
      </c>
      <c r="D82" s="374">
        <f>$C$11</f>
        <v>9.9999999999999995E-7</v>
      </c>
      <c r="E82" s="374">
        <f>$D$11</f>
        <v>9.9999999999999995E-7</v>
      </c>
      <c r="F82" s="374">
        <f>$E$11</f>
        <v>9.9999999999999995E-7</v>
      </c>
      <c r="G82" s="385">
        <f>$F$11</f>
        <v>1E-4</v>
      </c>
      <c r="H82" s="382"/>
      <c r="I82" s="382"/>
      <c r="J82" s="382"/>
      <c r="K82" s="382"/>
      <c r="L82" s="382"/>
      <c r="M82" s="382"/>
      <c r="N82" s="382"/>
      <c r="O82" s="382"/>
      <c r="P82" s="382"/>
      <c r="Q82" s="382"/>
      <c r="R82" s="382"/>
    </row>
    <row r="83" spans="1:18" ht="14.25" customHeight="1" thickBot="1" x14ac:dyDescent="0.35">
      <c r="A83" s="1366"/>
      <c r="B83" s="374">
        <v>2</v>
      </c>
      <c r="C83" s="387">
        <v>95</v>
      </c>
      <c r="D83" s="374">
        <f>$I$11</f>
        <v>9.9999999999999995E-7</v>
      </c>
      <c r="E83" s="374">
        <f>$J$11</f>
        <v>9.9999999999999995E-7</v>
      </c>
      <c r="F83" s="374">
        <f>$K$11</f>
        <v>9.9999999999999995E-7</v>
      </c>
      <c r="G83" s="385">
        <f>$L$11</f>
        <v>1E-4</v>
      </c>
      <c r="H83" s="382"/>
      <c r="I83" s="382"/>
      <c r="J83" s="382"/>
      <c r="K83" s="382"/>
      <c r="L83" s="382"/>
      <c r="M83" s="382"/>
      <c r="N83" s="382"/>
      <c r="O83" s="382"/>
      <c r="P83" s="382"/>
      <c r="Q83" s="382"/>
      <c r="R83" s="382"/>
    </row>
    <row r="84" spans="1:18" ht="13.5" customHeight="1" thickBot="1" x14ac:dyDescent="0.35">
      <c r="A84" s="1366"/>
      <c r="B84" s="374">
        <v>3</v>
      </c>
      <c r="C84" s="387">
        <v>95</v>
      </c>
      <c r="D84" s="374">
        <f>$O$11</f>
        <v>1E-3</v>
      </c>
      <c r="E84" s="374">
        <f>$P$11</f>
        <v>9.9999999999999995E-7</v>
      </c>
      <c r="F84" s="374">
        <f>$Q$11</f>
        <v>9.9999999999999995E-7</v>
      </c>
      <c r="G84" s="385">
        <f>$R$11</f>
        <v>1E-4</v>
      </c>
      <c r="H84" s="382"/>
      <c r="I84" s="382"/>
      <c r="J84" s="382"/>
      <c r="K84" s="382"/>
      <c r="L84" s="382"/>
      <c r="M84" s="382"/>
      <c r="N84" s="382"/>
      <c r="O84" s="382"/>
      <c r="P84" s="382"/>
      <c r="Q84" s="382"/>
      <c r="R84" s="382"/>
    </row>
    <row r="85" spans="1:18" ht="13.5" customHeight="1" thickBot="1" x14ac:dyDescent="0.35">
      <c r="A85" s="1366"/>
      <c r="B85" s="374">
        <v>4</v>
      </c>
      <c r="C85" s="387">
        <v>95</v>
      </c>
      <c r="D85" s="374">
        <f>$C$24</f>
        <v>9.9999999999999995E-7</v>
      </c>
      <c r="E85" s="374">
        <f>$D$24</f>
        <v>9.9999999999999995E-7</v>
      </c>
      <c r="F85" s="374">
        <f>$E$24</f>
        <v>9.9999999999999995E-7</v>
      </c>
      <c r="G85" s="385">
        <f>$F$24</f>
        <v>1E-4</v>
      </c>
      <c r="H85" s="382"/>
      <c r="I85" s="382"/>
      <c r="J85" s="382"/>
      <c r="K85" s="382"/>
      <c r="L85" s="382"/>
      <c r="M85" s="382"/>
      <c r="N85" s="382"/>
      <c r="O85" s="382"/>
      <c r="P85" s="382"/>
      <c r="Q85" s="382"/>
      <c r="R85" s="382"/>
    </row>
    <row r="86" spans="1:18" ht="14.25" customHeight="1" thickBot="1" x14ac:dyDescent="0.35">
      <c r="A86" s="1366"/>
      <c r="B86" s="374">
        <v>5</v>
      </c>
      <c r="C86" s="387">
        <v>95</v>
      </c>
      <c r="D86" s="374">
        <f>$I$24</f>
        <v>9.9999999999999995E-7</v>
      </c>
      <c r="E86" s="374">
        <f>$J$24</f>
        <v>9.9999999999999995E-7</v>
      </c>
      <c r="F86" s="374">
        <f>$K$24</f>
        <v>9.9999999999999995E-7</v>
      </c>
      <c r="G86" s="385">
        <f>$L$24</f>
        <v>1E-4</v>
      </c>
      <c r="H86" s="382"/>
      <c r="I86" s="382"/>
      <c r="J86" s="382"/>
      <c r="K86" s="382"/>
      <c r="L86" s="382"/>
      <c r="M86" s="382"/>
      <c r="N86" s="382"/>
      <c r="O86" s="382"/>
      <c r="P86" s="382"/>
      <c r="Q86" s="382"/>
      <c r="R86" s="382"/>
    </row>
    <row r="87" spans="1:18" ht="14.5" thickBot="1" x14ac:dyDescent="0.35">
      <c r="A87" s="1366"/>
      <c r="B87" s="374">
        <v>6</v>
      </c>
      <c r="C87" s="387">
        <v>95</v>
      </c>
      <c r="D87" s="374">
        <f>$O$24</f>
        <v>9.9999999999999995E-7</v>
      </c>
      <c r="E87" s="374">
        <f>P11</f>
        <v>9.9999999999999995E-7</v>
      </c>
      <c r="F87" s="374">
        <f>Q24</f>
        <v>9.9999999999999995E-7</v>
      </c>
      <c r="G87" s="385">
        <f>R24</f>
        <v>1E-4</v>
      </c>
      <c r="H87" s="382"/>
      <c r="I87" s="382"/>
      <c r="J87" s="382"/>
      <c r="K87" s="382"/>
      <c r="L87" s="382"/>
      <c r="M87" s="382"/>
      <c r="N87" s="382"/>
      <c r="O87" s="382"/>
      <c r="P87" s="382"/>
      <c r="Q87" s="382"/>
      <c r="R87" s="382"/>
    </row>
    <row r="88" spans="1:18" ht="14.5" thickBot="1" x14ac:dyDescent="0.35">
      <c r="A88" s="1366"/>
      <c r="B88" s="374">
        <v>7</v>
      </c>
      <c r="C88" s="387">
        <v>95</v>
      </c>
      <c r="D88" s="374">
        <f>$C$38</f>
        <v>9.9999999999999995E-7</v>
      </c>
      <c r="E88" s="374">
        <f>D38</f>
        <v>9.9999999999999995E-7</v>
      </c>
      <c r="F88" s="374">
        <f>E38</f>
        <v>9.9999999999999995E-7</v>
      </c>
      <c r="G88" s="385">
        <f>F38</f>
        <v>1E-4</v>
      </c>
      <c r="H88" s="382"/>
      <c r="I88" s="382"/>
      <c r="J88" s="382"/>
      <c r="K88" s="382"/>
      <c r="L88" s="382"/>
      <c r="M88" s="382"/>
      <c r="N88" s="382"/>
      <c r="O88" s="382"/>
      <c r="P88" s="382"/>
      <c r="Q88" s="382"/>
      <c r="R88" s="382"/>
    </row>
    <row r="89" spans="1:18" ht="14.5" thickBot="1" x14ac:dyDescent="0.35">
      <c r="A89" s="1366"/>
      <c r="B89" s="374">
        <v>8</v>
      </c>
      <c r="C89" s="387">
        <v>95</v>
      </c>
      <c r="D89" s="374">
        <f>$I$38</f>
        <v>9.9999999999999995E-7</v>
      </c>
      <c r="E89" s="374">
        <f>J38</f>
        <v>9.9999999999999995E-7</v>
      </c>
      <c r="F89" s="374">
        <f>K38</f>
        <v>9.9999999999999995E-7</v>
      </c>
      <c r="G89" s="385">
        <f>L38</f>
        <v>1E-4</v>
      </c>
      <c r="H89" s="382"/>
      <c r="I89" s="382"/>
      <c r="J89" s="382"/>
      <c r="K89" s="382"/>
      <c r="L89" s="382"/>
      <c r="M89" s="382"/>
      <c r="N89" s="382"/>
      <c r="O89" s="382"/>
      <c r="P89" s="382"/>
      <c r="Q89" s="382"/>
      <c r="R89" s="382"/>
    </row>
    <row r="90" spans="1:18" ht="14.5" thickBot="1" x14ac:dyDescent="0.35">
      <c r="A90" s="1366"/>
      <c r="B90" s="374">
        <v>9</v>
      </c>
      <c r="C90" s="387">
        <v>95</v>
      </c>
      <c r="D90" s="374">
        <f>$O$38</f>
        <v>9.9999999999999995E-7</v>
      </c>
      <c r="E90" s="374">
        <f>P38</f>
        <v>9.9999999999999995E-7</v>
      </c>
      <c r="F90" s="374">
        <f>Q38</f>
        <v>9.9999999999999995E-7</v>
      </c>
      <c r="G90" s="385">
        <f>R38</f>
        <v>1E-4</v>
      </c>
      <c r="H90" s="382"/>
      <c r="I90" s="382"/>
      <c r="J90" s="382"/>
      <c r="K90" s="382"/>
      <c r="L90" s="382"/>
      <c r="M90" s="382"/>
      <c r="N90" s="382"/>
      <c r="O90" s="382"/>
      <c r="P90" s="382"/>
      <c r="Q90" s="382"/>
      <c r="R90" s="382"/>
    </row>
    <row r="91" spans="1:18" ht="14.5" thickBot="1" x14ac:dyDescent="0.35">
      <c r="A91" s="1366"/>
      <c r="B91" s="377">
        <v>10</v>
      </c>
      <c r="C91" s="387">
        <v>95</v>
      </c>
      <c r="D91" s="374">
        <f>$C$51</f>
        <v>9.9999999999999995E-7</v>
      </c>
      <c r="E91" s="374">
        <f>D51</f>
        <v>9.9999999999999995E-7</v>
      </c>
      <c r="F91" s="374">
        <f>E51</f>
        <v>9.9999999999999995E-7</v>
      </c>
      <c r="G91" s="385">
        <f>F51</f>
        <v>1E-4</v>
      </c>
      <c r="H91" s="382"/>
      <c r="I91" s="382"/>
      <c r="J91" s="382"/>
      <c r="K91" s="382"/>
      <c r="L91" s="382"/>
      <c r="M91" s="382"/>
      <c r="N91" s="382"/>
      <c r="O91" s="382"/>
      <c r="P91" s="382"/>
      <c r="Q91" s="382"/>
      <c r="R91" s="382"/>
    </row>
    <row r="92" spans="1:18" ht="15.75" customHeight="1" thickBot="1" x14ac:dyDescent="0.35">
      <c r="A92" s="1365">
        <v>97</v>
      </c>
      <c r="B92" s="378">
        <v>1</v>
      </c>
      <c r="C92" s="388">
        <v>97</v>
      </c>
      <c r="D92" s="374">
        <f>$C$12</f>
        <v>9.9999999999999995E-7</v>
      </c>
      <c r="E92" s="374">
        <f>$D$12</f>
        <v>9.9999999999999995E-7</v>
      </c>
      <c r="F92" s="374">
        <f>$E$12</f>
        <v>9.9999999999999995E-7</v>
      </c>
      <c r="G92" s="385">
        <f>$F$12</f>
        <v>1E-4</v>
      </c>
      <c r="H92" s="382"/>
      <c r="I92" s="382"/>
      <c r="J92" s="382"/>
      <c r="K92" s="382"/>
      <c r="L92" s="382"/>
      <c r="M92" s="382"/>
      <c r="N92" s="382"/>
      <c r="O92" s="382"/>
      <c r="P92" s="382"/>
      <c r="Q92" s="382"/>
      <c r="R92" s="382"/>
    </row>
    <row r="93" spans="1:18" ht="12.75" customHeight="1" thickBot="1" x14ac:dyDescent="0.35">
      <c r="A93" s="1366"/>
      <c r="B93" s="379">
        <v>2</v>
      </c>
      <c r="C93" s="389">
        <v>97</v>
      </c>
      <c r="D93" s="374">
        <f>$I$12</f>
        <v>9.9999999999999995E-7</v>
      </c>
      <c r="E93" s="374">
        <f>$J$12</f>
        <v>9.9999999999999995E-7</v>
      </c>
      <c r="F93" s="374">
        <f>$K$12</f>
        <v>9.9999999999999995E-7</v>
      </c>
      <c r="G93" s="385">
        <f>$L$12</f>
        <v>1E-4</v>
      </c>
      <c r="H93" s="382"/>
      <c r="I93" s="382"/>
      <c r="J93" s="382"/>
      <c r="K93" s="382"/>
      <c r="L93" s="382"/>
      <c r="M93" s="382"/>
      <c r="N93" s="382"/>
      <c r="O93" s="382"/>
      <c r="P93" s="382"/>
      <c r="Q93" s="382"/>
      <c r="R93" s="382"/>
    </row>
    <row r="94" spans="1:18" ht="16.5" customHeight="1" thickBot="1" x14ac:dyDescent="0.35">
      <c r="A94" s="1366"/>
      <c r="B94" s="379">
        <v>3</v>
      </c>
      <c r="C94" s="389">
        <v>97</v>
      </c>
      <c r="D94" s="374">
        <f>$O$12</f>
        <v>1E-3</v>
      </c>
      <c r="E94" s="374">
        <f>$P$12</f>
        <v>9.9999999999999995E-7</v>
      </c>
      <c r="F94" s="374">
        <f>$Q$12</f>
        <v>9.9999999999999995E-7</v>
      </c>
      <c r="G94" s="385">
        <f>$R$12</f>
        <v>1E-4</v>
      </c>
      <c r="H94" s="382"/>
      <c r="I94" s="382"/>
      <c r="J94" s="382"/>
      <c r="K94" s="382"/>
      <c r="L94" s="382"/>
      <c r="M94" s="382"/>
      <c r="N94" s="382"/>
      <c r="O94" s="382"/>
      <c r="P94" s="382"/>
      <c r="Q94" s="382"/>
      <c r="R94" s="382"/>
    </row>
    <row r="95" spans="1:18" ht="12.75" customHeight="1" thickBot="1" x14ac:dyDescent="0.35">
      <c r="A95" s="1366"/>
      <c r="B95" s="379">
        <v>4</v>
      </c>
      <c r="C95" s="389">
        <v>97</v>
      </c>
      <c r="D95" s="374">
        <f>$C$25</f>
        <v>9.9999999999999995E-7</v>
      </c>
      <c r="E95" s="374">
        <f>$D$25</f>
        <v>9.9999999999999995E-7</v>
      </c>
      <c r="F95" s="374">
        <f>$E$25</f>
        <v>9.9999999999999995E-7</v>
      </c>
      <c r="G95" s="385">
        <f>$F$25</f>
        <v>1E-4</v>
      </c>
      <c r="H95" s="382"/>
      <c r="I95" s="382"/>
      <c r="J95" s="382"/>
      <c r="K95" s="382"/>
      <c r="L95" s="382"/>
      <c r="M95" s="382"/>
      <c r="N95" s="382"/>
      <c r="O95" s="382"/>
      <c r="P95" s="382"/>
      <c r="Q95" s="382"/>
      <c r="R95" s="382"/>
    </row>
    <row r="96" spans="1:18" ht="12.75" customHeight="1" thickBot="1" x14ac:dyDescent="0.35">
      <c r="A96" s="1366"/>
      <c r="B96" s="379">
        <v>5</v>
      </c>
      <c r="C96" s="389">
        <v>97</v>
      </c>
      <c r="D96" s="374">
        <f>$I$25</f>
        <v>9.9999999999999995E-7</v>
      </c>
      <c r="E96" s="374">
        <f>$J$25</f>
        <v>9.9999999999999995E-7</v>
      </c>
      <c r="F96" s="374">
        <f>$K$25</f>
        <v>9.9999999999999995E-7</v>
      </c>
      <c r="G96" s="385">
        <f>$L$25</f>
        <v>1E-4</v>
      </c>
      <c r="H96" s="382"/>
      <c r="I96" s="382"/>
      <c r="J96" s="382"/>
      <c r="K96" s="382"/>
      <c r="L96" s="382"/>
      <c r="M96" s="382"/>
      <c r="N96" s="382"/>
      <c r="O96" s="382"/>
      <c r="P96" s="382"/>
      <c r="Q96" s="382"/>
      <c r="R96" s="382"/>
    </row>
    <row r="97" spans="1:18" ht="14.5" thickBot="1" x14ac:dyDescent="0.35">
      <c r="A97" s="1366"/>
      <c r="B97" s="379">
        <v>6</v>
      </c>
      <c r="C97" s="389">
        <v>97</v>
      </c>
      <c r="D97" s="374">
        <f>$O$25</f>
        <v>9.9999999999999995E-7</v>
      </c>
      <c r="E97" s="374">
        <f>P25</f>
        <v>9.9999999999999995E-7</v>
      </c>
      <c r="F97" s="374">
        <f>Q25</f>
        <v>9.9999999999999995E-7</v>
      </c>
      <c r="G97" s="385">
        <f>R25</f>
        <v>1E-4</v>
      </c>
      <c r="H97" s="382"/>
      <c r="I97" s="382"/>
      <c r="J97" s="382"/>
      <c r="K97" s="382"/>
      <c r="L97" s="382"/>
      <c r="M97" s="382"/>
      <c r="N97" s="382"/>
      <c r="O97" s="382"/>
      <c r="P97" s="382"/>
      <c r="Q97" s="382"/>
      <c r="R97" s="382"/>
    </row>
    <row r="98" spans="1:18" ht="14.5" thickBot="1" x14ac:dyDescent="0.35">
      <c r="A98" s="1366"/>
      <c r="B98" s="379">
        <v>7</v>
      </c>
      <c r="C98" s="389">
        <v>97</v>
      </c>
      <c r="D98" s="374">
        <f>$C$39</f>
        <v>9.9999999999999995E-7</v>
      </c>
      <c r="E98" s="374">
        <f>D39</f>
        <v>9.9999999999999995E-7</v>
      </c>
      <c r="F98" s="374">
        <f>E39</f>
        <v>9.9999999999999995E-7</v>
      </c>
      <c r="G98" s="385">
        <f>F39</f>
        <v>1E-4</v>
      </c>
      <c r="H98" s="382"/>
      <c r="I98" s="382"/>
      <c r="J98" s="382"/>
      <c r="K98" s="382"/>
      <c r="L98" s="382"/>
      <c r="M98" s="382"/>
      <c r="N98" s="382"/>
      <c r="O98" s="382"/>
      <c r="P98" s="382"/>
      <c r="Q98" s="382"/>
      <c r="R98" s="382"/>
    </row>
    <row r="99" spans="1:18" ht="14.5" thickBot="1" x14ac:dyDescent="0.35">
      <c r="A99" s="1366"/>
      <c r="B99" s="379">
        <v>8</v>
      </c>
      <c r="C99" s="389">
        <v>97</v>
      </c>
      <c r="D99" s="374">
        <f>$I$39</f>
        <v>9.9999999999999995E-7</v>
      </c>
      <c r="E99" s="374">
        <f>J39</f>
        <v>9.9999999999999995E-7</v>
      </c>
      <c r="F99" s="374">
        <f>K39</f>
        <v>9.9999999999999995E-7</v>
      </c>
      <c r="G99" s="385">
        <f>L39</f>
        <v>1E-4</v>
      </c>
      <c r="H99" s="382"/>
      <c r="I99" s="382"/>
      <c r="J99" s="382"/>
      <c r="K99" s="382"/>
      <c r="L99" s="382"/>
      <c r="M99" s="382"/>
      <c r="N99" s="382"/>
      <c r="O99" s="382"/>
      <c r="P99" s="382"/>
      <c r="Q99" s="382"/>
      <c r="R99" s="382"/>
    </row>
    <row r="100" spans="1:18" ht="14.5" thickBot="1" x14ac:dyDescent="0.35">
      <c r="A100" s="1366"/>
      <c r="B100" s="379">
        <v>9</v>
      </c>
      <c r="C100" s="389">
        <v>97</v>
      </c>
      <c r="D100" s="374">
        <f>$O$39</f>
        <v>9.9999999999999995E-7</v>
      </c>
      <c r="E100" s="374">
        <f>P39</f>
        <v>9.9999999999999995E-7</v>
      </c>
      <c r="F100" s="379">
        <f>Q39</f>
        <v>9.9999999999999995E-7</v>
      </c>
      <c r="G100" s="385">
        <f>R39</f>
        <v>1E-4</v>
      </c>
      <c r="H100" s="382"/>
      <c r="I100" s="382"/>
      <c r="J100" s="382"/>
      <c r="K100" s="382"/>
      <c r="L100" s="382"/>
      <c r="M100" s="382"/>
      <c r="N100" s="382"/>
      <c r="O100" s="382"/>
      <c r="P100" s="382"/>
      <c r="Q100" s="382"/>
      <c r="R100" s="382"/>
    </row>
    <row r="101" spans="1:18" ht="14.5" thickBot="1" x14ac:dyDescent="0.35">
      <c r="A101" s="1367"/>
      <c r="B101" s="380">
        <v>10</v>
      </c>
      <c r="C101" s="389">
        <v>97</v>
      </c>
      <c r="D101" s="374">
        <f>$C$52</f>
        <v>9.9999999999999995E-7</v>
      </c>
      <c r="E101" s="374">
        <f>D52</f>
        <v>9.9999999999999995E-7</v>
      </c>
      <c r="F101" s="379">
        <f>E52</f>
        <v>9.9999999999999995E-7</v>
      </c>
      <c r="G101" s="385">
        <f>F52</f>
        <v>1E-4</v>
      </c>
      <c r="H101" s="382"/>
      <c r="I101" s="382"/>
      <c r="J101" s="382"/>
      <c r="K101" s="382"/>
      <c r="L101" s="382"/>
      <c r="M101" s="382"/>
      <c r="N101" s="382"/>
      <c r="O101" s="382"/>
      <c r="P101" s="382"/>
      <c r="Q101" s="382"/>
      <c r="R101" s="382"/>
    </row>
    <row r="102" spans="1:18" ht="14.5" thickBot="1" x14ac:dyDescent="0.35">
      <c r="A102" s="1365">
        <v>98</v>
      </c>
      <c r="B102" s="378">
        <v>1</v>
      </c>
      <c r="C102" s="388">
        <v>98</v>
      </c>
      <c r="D102" s="374">
        <f>C13</f>
        <v>9.9999999999999995E-7</v>
      </c>
      <c r="E102" s="374">
        <f>D13</f>
        <v>9.9999999999999995E-7</v>
      </c>
      <c r="F102" s="379">
        <f>E13</f>
        <v>9.9999999999999995E-7</v>
      </c>
      <c r="G102" s="385">
        <f>F13</f>
        <v>1E-4</v>
      </c>
      <c r="H102" s="382"/>
      <c r="I102" s="382"/>
      <c r="J102" s="382"/>
      <c r="K102" s="382"/>
      <c r="L102" s="382"/>
      <c r="M102" s="382"/>
      <c r="N102" s="382"/>
      <c r="O102" s="382"/>
      <c r="P102" s="382"/>
      <c r="Q102" s="382"/>
      <c r="R102" s="382"/>
    </row>
    <row r="103" spans="1:18" ht="14.5" thickBot="1" x14ac:dyDescent="0.35">
      <c r="A103" s="1366"/>
      <c r="B103" s="379">
        <v>2</v>
      </c>
      <c r="C103" s="389">
        <v>98</v>
      </c>
      <c r="D103" s="374">
        <f>I13</f>
        <v>9.9999999999999995E-7</v>
      </c>
      <c r="E103" s="374">
        <f>J13</f>
        <v>9.9999999999999995E-7</v>
      </c>
      <c r="F103" s="379">
        <f>K13</f>
        <v>9.9999999999999995E-7</v>
      </c>
      <c r="G103" s="385">
        <f>L13</f>
        <v>1E-4</v>
      </c>
      <c r="H103" s="382"/>
      <c r="I103" s="382"/>
      <c r="J103" s="382"/>
      <c r="K103" s="382"/>
      <c r="L103" s="382"/>
      <c r="M103" s="382"/>
      <c r="N103" s="382"/>
      <c r="O103" s="382"/>
      <c r="P103" s="382"/>
      <c r="Q103" s="382"/>
      <c r="R103" s="382"/>
    </row>
    <row r="104" spans="1:18" ht="14.5" thickBot="1" x14ac:dyDescent="0.35">
      <c r="A104" s="1366"/>
      <c r="B104" s="379">
        <v>3</v>
      </c>
      <c r="C104" s="389">
        <v>98</v>
      </c>
      <c r="D104" s="374">
        <f>O13</f>
        <v>1E-3</v>
      </c>
      <c r="E104" s="374">
        <f>P13</f>
        <v>9.9999999999999995E-7</v>
      </c>
      <c r="F104" s="379">
        <f>Q13</f>
        <v>9.9999999999999995E-7</v>
      </c>
      <c r="G104" s="385">
        <f>R13</f>
        <v>1E-4</v>
      </c>
      <c r="H104" s="382"/>
      <c r="I104" s="382"/>
      <c r="J104" s="382"/>
      <c r="K104" s="382"/>
      <c r="L104" s="382"/>
      <c r="M104" s="382"/>
      <c r="N104" s="382"/>
      <c r="O104" s="382"/>
      <c r="P104" s="382"/>
      <c r="Q104" s="382"/>
      <c r="R104" s="382"/>
    </row>
    <row r="105" spans="1:18" ht="14.5" thickBot="1" x14ac:dyDescent="0.35">
      <c r="A105" s="1366"/>
      <c r="B105" s="379">
        <v>4</v>
      </c>
      <c r="C105" s="389">
        <v>98</v>
      </c>
      <c r="D105" s="374">
        <f>C26</f>
        <v>9.9999999999999995E-7</v>
      </c>
      <c r="E105" s="374">
        <f>D26</f>
        <v>9.9999999999999995E-7</v>
      </c>
      <c r="F105" s="379">
        <f>E26</f>
        <v>9.9999999999999995E-7</v>
      </c>
      <c r="G105" s="385">
        <f>F26</f>
        <v>1E-4</v>
      </c>
      <c r="H105" s="382"/>
      <c r="I105" s="382"/>
      <c r="J105" s="382"/>
      <c r="K105" s="382"/>
      <c r="L105" s="382"/>
      <c r="M105" s="382"/>
      <c r="N105" s="382"/>
      <c r="O105" s="382"/>
      <c r="P105" s="382"/>
      <c r="Q105" s="382"/>
      <c r="R105" s="382"/>
    </row>
    <row r="106" spans="1:18" ht="14.5" thickBot="1" x14ac:dyDescent="0.35">
      <c r="A106" s="1366"/>
      <c r="B106" s="379">
        <v>5</v>
      </c>
      <c r="C106" s="389">
        <v>98</v>
      </c>
      <c r="D106" s="374">
        <f>I26</f>
        <v>9.9999999999999995E-7</v>
      </c>
      <c r="E106" s="374">
        <f>J26</f>
        <v>9.9999999999999995E-7</v>
      </c>
      <c r="F106" s="379">
        <f>K26</f>
        <v>9.9999999999999995E-7</v>
      </c>
      <c r="G106" s="385">
        <f>L26</f>
        <v>1E-4</v>
      </c>
      <c r="H106" s="382"/>
      <c r="I106" s="382"/>
      <c r="J106" s="382"/>
      <c r="K106" s="382"/>
      <c r="L106" s="382"/>
      <c r="M106" s="382"/>
      <c r="N106" s="382"/>
      <c r="O106" s="382"/>
      <c r="P106" s="382"/>
      <c r="Q106" s="382"/>
      <c r="R106" s="382"/>
    </row>
    <row r="107" spans="1:18" ht="14.5" thickBot="1" x14ac:dyDescent="0.35">
      <c r="A107" s="1366"/>
      <c r="B107" s="379">
        <v>6</v>
      </c>
      <c r="C107" s="389">
        <v>98</v>
      </c>
      <c r="D107" s="374">
        <f>O26</f>
        <v>9.9999999999999995E-7</v>
      </c>
      <c r="E107" s="374">
        <f>P26</f>
        <v>9.9999999999999995E-7</v>
      </c>
      <c r="F107" s="379">
        <f>Q26</f>
        <v>9.9999999999999995E-7</v>
      </c>
      <c r="G107" s="385">
        <f>R26</f>
        <v>1E-4</v>
      </c>
      <c r="H107" s="382"/>
      <c r="I107" s="382"/>
      <c r="J107" s="382"/>
      <c r="K107" s="382"/>
      <c r="L107" s="382"/>
      <c r="M107" s="382"/>
      <c r="N107" s="382"/>
      <c r="O107" s="382"/>
      <c r="P107" s="382"/>
      <c r="Q107" s="382"/>
      <c r="R107" s="382"/>
    </row>
    <row r="108" spans="1:18" ht="14.5" thickBot="1" x14ac:dyDescent="0.35">
      <c r="A108" s="1366"/>
      <c r="B108" s="379">
        <v>7</v>
      </c>
      <c r="C108" s="389">
        <v>98</v>
      </c>
      <c r="D108" s="374">
        <f>C40</f>
        <v>9.9999999999999995E-7</v>
      </c>
      <c r="E108" s="374">
        <f>D40</f>
        <v>9.9999999999999995E-7</v>
      </c>
      <c r="F108" s="379">
        <f>E40</f>
        <v>9.9999999999999995E-7</v>
      </c>
      <c r="G108" s="385">
        <f>F40</f>
        <v>1E-4</v>
      </c>
      <c r="H108" s="382"/>
      <c r="I108" s="382"/>
      <c r="J108" s="382"/>
      <c r="K108" s="382"/>
      <c r="L108" s="382"/>
      <c r="M108" s="382"/>
      <c r="N108" s="382"/>
      <c r="O108" s="382"/>
      <c r="P108" s="382"/>
      <c r="Q108" s="382"/>
      <c r="R108" s="382"/>
    </row>
    <row r="109" spans="1:18" ht="14.5" thickBot="1" x14ac:dyDescent="0.35">
      <c r="A109" s="1366"/>
      <c r="B109" s="379">
        <v>8</v>
      </c>
      <c r="C109" s="389">
        <v>98</v>
      </c>
      <c r="D109" s="374">
        <f>I40</f>
        <v>9.9999999999999995E-7</v>
      </c>
      <c r="E109" s="374">
        <f>J40</f>
        <v>9.9999999999999995E-7</v>
      </c>
      <c r="F109" s="379">
        <f>K40</f>
        <v>9.9999999999999995E-7</v>
      </c>
      <c r="G109" s="385">
        <f>L40</f>
        <v>1E-4</v>
      </c>
      <c r="H109" s="382"/>
      <c r="I109" s="382"/>
      <c r="J109" s="382"/>
      <c r="K109" s="382"/>
      <c r="L109" s="382"/>
      <c r="M109" s="382"/>
      <c r="N109" s="382"/>
      <c r="O109" s="382"/>
      <c r="P109" s="382"/>
      <c r="Q109" s="382"/>
      <c r="R109" s="382"/>
    </row>
    <row r="110" spans="1:18" ht="14.5" thickBot="1" x14ac:dyDescent="0.35">
      <c r="A110" s="1366"/>
      <c r="B110" s="379">
        <v>9</v>
      </c>
      <c r="C110" s="389">
        <v>98</v>
      </c>
      <c r="D110" s="374">
        <f>O40</f>
        <v>9.9999999999999995E-7</v>
      </c>
      <c r="E110" s="374">
        <f>P40</f>
        <v>9.9999999999999995E-7</v>
      </c>
      <c r="F110" s="379">
        <f>Q40</f>
        <v>9.9999999999999995E-7</v>
      </c>
      <c r="G110" s="385">
        <f>R40</f>
        <v>1E-4</v>
      </c>
      <c r="H110" s="382"/>
      <c r="I110" s="382"/>
      <c r="J110" s="382"/>
      <c r="K110" s="382"/>
      <c r="L110" s="382"/>
      <c r="M110" s="382"/>
      <c r="N110" s="382"/>
      <c r="O110" s="382"/>
      <c r="P110" s="382"/>
      <c r="Q110" s="382"/>
      <c r="R110" s="382"/>
    </row>
    <row r="111" spans="1:18" ht="14.5" thickBot="1" x14ac:dyDescent="0.35">
      <c r="A111" s="1367"/>
      <c r="B111" s="380">
        <v>10</v>
      </c>
      <c r="C111" s="389">
        <v>98</v>
      </c>
      <c r="D111" s="374">
        <f>C53</f>
        <v>9.9999999999999995E-7</v>
      </c>
      <c r="E111" s="374">
        <f>D53</f>
        <v>9.9999999999999995E-7</v>
      </c>
      <c r="F111" s="379">
        <f>E53</f>
        <v>9.9999999999999995E-7</v>
      </c>
      <c r="G111" s="385">
        <f>F53</f>
        <v>1E-4</v>
      </c>
      <c r="H111" s="382"/>
      <c r="I111" s="382"/>
      <c r="J111" s="382"/>
      <c r="K111" s="382"/>
      <c r="L111" s="382"/>
      <c r="M111" s="382"/>
      <c r="N111" s="382"/>
      <c r="O111" s="382"/>
      <c r="P111" s="382"/>
      <c r="Q111" s="382"/>
      <c r="R111" s="382"/>
    </row>
    <row r="112" spans="1:18" ht="14.5" thickBot="1" x14ac:dyDescent="0.35">
      <c r="A112" s="1365">
        <v>99</v>
      </c>
      <c r="B112" s="378">
        <v>1</v>
      </c>
      <c r="C112" s="388">
        <v>99</v>
      </c>
      <c r="D112" s="374">
        <f>C14</f>
        <v>9.9999999999999995E-7</v>
      </c>
      <c r="E112" s="374">
        <f>D14</f>
        <v>9.9999999999999995E-7</v>
      </c>
      <c r="F112" s="379">
        <f>E14</f>
        <v>9.9999999999999995E-7</v>
      </c>
      <c r="G112" s="385">
        <f>F14</f>
        <v>1E-4</v>
      </c>
      <c r="H112" s="382"/>
      <c r="I112" s="382"/>
      <c r="J112" s="382"/>
      <c r="K112" s="382"/>
      <c r="L112" s="382"/>
      <c r="M112" s="382"/>
      <c r="N112" s="382"/>
      <c r="O112" s="382"/>
      <c r="P112" s="382"/>
      <c r="Q112" s="382"/>
      <c r="R112" s="382"/>
    </row>
    <row r="113" spans="1:18" ht="14.5" thickBot="1" x14ac:dyDescent="0.35">
      <c r="A113" s="1366"/>
      <c r="B113" s="379">
        <v>2</v>
      </c>
      <c r="C113" s="389">
        <v>99</v>
      </c>
      <c r="D113" s="374">
        <f>I14</f>
        <v>9.9999999999999995E-7</v>
      </c>
      <c r="E113" s="374">
        <f>J14</f>
        <v>9.9999999999999995E-7</v>
      </c>
      <c r="F113" s="379">
        <f>K14</f>
        <v>9.9999999999999995E-7</v>
      </c>
      <c r="G113" s="385">
        <f>L14</f>
        <v>1E-4</v>
      </c>
      <c r="H113" s="382"/>
      <c r="I113" s="382"/>
      <c r="J113" s="382"/>
      <c r="K113" s="382"/>
      <c r="L113" s="382"/>
      <c r="M113" s="382"/>
      <c r="N113" s="382"/>
      <c r="O113" s="382"/>
      <c r="P113" s="382"/>
      <c r="Q113" s="382"/>
      <c r="R113" s="382"/>
    </row>
    <row r="114" spans="1:18" ht="14.5" thickBot="1" x14ac:dyDescent="0.35">
      <c r="A114" s="1366"/>
      <c r="B114" s="379">
        <v>3</v>
      </c>
      <c r="C114" s="389">
        <v>99</v>
      </c>
      <c r="D114" s="374">
        <f>O14</f>
        <v>1E-3</v>
      </c>
      <c r="E114" s="374">
        <f>P14</f>
        <v>9.9999999999999995E-7</v>
      </c>
      <c r="F114" s="379">
        <f>Q14</f>
        <v>9.9999999999999995E-7</v>
      </c>
      <c r="G114" s="385">
        <f>R14</f>
        <v>1E-4</v>
      </c>
      <c r="H114" s="382"/>
      <c r="I114" s="382"/>
      <c r="J114" s="382"/>
      <c r="K114" s="382"/>
      <c r="L114" s="382"/>
      <c r="M114" s="382"/>
      <c r="N114" s="382"/>
      <c r="O114" s="382"/>
      <c r="P114" s="382"/>
      <c r="Q114" s="382"/>
      <c r="R114" s="382"/>
    </row>
    <row r="115" spans="1:18" ht="14.5" thickBot="1" x14ac:dyDescent="0.35">
      <c r="A115" s="1366"/>
      <c r="B115" s="379">
        <v>4</v>
      </c>
      <c r="C115" s="389">
        <v>99</v>
      </c>
      <c r="D115" s="374">
        <f>C27</f>
        <v>9.9999999999999995E-7</v>
      </c>
      <c r="E115" s="374">
        <f>D27</f>
        <v>9.9999999999999995E-7</v>
      </c>
      <c r="F115" s="379">
        <f>E27</f>
        <v>9.9999999999999995E-7</v>
      </c>
      <c r="G115" s="385">
        <f>F27</f>
        <v>1E-4</v>
      </c>
      <c r="H115" s="382"/>
      <c r="I115" s="382"/>
      <c r="J115" s="382"/>
      <c r="K115" s="382"/>
      <c r="L115" s="382"/>
      <c r="M115" s="382"/>
      <c r="N115" s="382"/>
      <c r="O115" s="382"/>
      <c r="P115" s="382"/>
      <c r="Q115" s="382"/>
      <c r="R115" s="382"/>
    </row>
    <row r="116" spans="1:18" ht="14.5" thickBot="1" x14ac:dyDescent="0.35">
      <c r="A116" s="1366"/>
      <c r="B116" s="379">
        <v>5</v>
      </c>
      <c r="C116" s="389">
        <v>99</v>
      </c>
      <c r="D116" s="374">
        <f>I27</f>
        <v>9.9999999999999995E-7</v>
      </c>
      <c r="E116" s="374">
        <f>J27</f>
        <v>9.9999999999999995E-7</v>
      </c>
      <c r="F116" s="379">
        <f>K27</f>
        <v>9.9999999999999995E-7</v>
      </c>
      <c r="G116" s="385">
        <f>L27</f>
        <v>1E-4</v>
      </c>
      <c r="H116" s="382"/>
      <c r="I116" s="382"/>
      <c r="J116" s="382"/>
      <c r="K116" s="382"/>
      <c r="L116" s="382"/>
      <c r="M116" s="382"/>
      <c r="N116" s="382"/>
      <c r="O116" s="382"/>
      <c r="P116" s="382"/>
      <c r="Q116" s="382"/>
      <c r="R116" s="382"/>
    </row>
    <row r="117" spans="1:18" ht="14.5" thickBot="1" x14ac:dyDescent="0.35">
      <c r="A117" s="1366"/>
      <c r="B117" s="379">
        <v>6</v>
      </c>
      <c r="C117" s="389">
        <v>99</v>
      </c>
      <c r="D117" s="374">
        <f>O27</f>
        <v>9.9999999999999995E-7</v>
      </c>
      <c r="E117" s="374">
        <f>P27</f>
        <v>9.9999999999999995E-7</v>
      </c>
      <c r="F117" s="379">
        <f>Q27</f>
        <v>9.9999999999999995E-7</v>
      </c>
      <c r="G117" s="385">
        <f>R27</f>
        <v>1E-4</v>
      </c>
      <c r="H117" s="382"/>
      <c r="I117" s="382"/>
      <c r="J117" s="382"/>
      <c r="K117" s="382"/>
      <c r="L117" s="382"/>
      <c r="M117" s="382"/>
      <c r="N117" s="382"/>
      <c r="O117" s="382"/>
      <c r="P117" s="382"/>
      <c r="Q117" s="382"/>
      <c r="R117" s="382"/>
    </row>
    <row r="118" spans="1:18" ht="14.5" thickBot="1" x14ac:dyDescent="0.35">
      <c r="A118" s="1366"/>
      <c r="B118" s="379">
        <v>7</v>
      </c>
      <c r="C118" s="389">
        <v>99</v>
      </c>
      <c r="D118" s="374">
        <f>C41</f>
        <v>9.9999999999999995E-7</v>
      </c>
      <c r="E118" s="374">
        <f>D41</f>
        <v>9.9999999999999995E-7</v>
      </c>
      <c r="F118" s="379">
        <f>E41</f>
        <v>9.9999999999999995E-7</v>
      </c>
      <c r="G118" s="385">
        <f>F41</f>
        <v>1E-4</v>
      </c>
      <c r="H118" s="382"/>
      <c r="I118" s="382"/>
      <c r="J118" s="382"/>
      <c r="K118" s="382"/>
      <c r="L118" s="382"/>
      <c r="M118" s="382"/>
      <c r="N118" s="382"/>
      <c r="O118" s="382"/>
      <c r="P118" s="382"/>
      <c r="Q118" s="382"/>
      <c r="R118" s="382"/>
    </row>
    <row r="119" spans="1:18" ht="14.5" thickBot="1" x14ac:dyDescent="0.35">
      <c r="A119" s="1366"/>
      <c r="B119" s="379">
        <v>8</v>
      </c>
      <c r="C119" s="389">
        <v>99</v>
      </c>
      <c r="D119" s="374">
        <f>I41</f>
        <v>9.9999999999999995E-7</v>
      </c>
      <c r="E119" s="374">
        <f>J41</f>
        <v>9.9999999999999995E-7</v>
      </c>
      <c r="F119" s="379">
        <f>K41</f>
        <v>9.9999999999999995E-7</v>
      </c>
      <c r="G119" s="385">
        <f>L41</f>
        <v>1E-4</v>
      </c>
      <c r="H119" s="382"/>
      <c r="I119" s="382"/>
      <c r="J119" s="382"/>
      <c r="K119" s="382"/>
      <c r="L119" s="382"/>
      <c r="M119" s="382"/>
      <c r="N119" s="382"/>
      <c r="O119" s="382"/>
      <c r="P119" s="382"/>
      <c r="Q119" s="382"/>
      <c r="R119" s="382"/>
    </row>
    <row r="120" spans="1:18" ht="14.5" thickBot="1" x14ac:dyDescent="0.35">
      <c r="A120" s="1366"/>
      <c r="B120" s="379">
        <v>9</v>
      </c>
      <c r="C120" s="389">
        <v>99</v>
      </c>
      <c r="D120" s="374">
        <f>O41</f>
        <v>9.9999999999999995E-7</v>
      </c>
      <c r="E120" s="374">
        <f>P41</f>
        <v>9.9999999999999995E-7</v>
      </c>
      <c r="F120" s="379">
        <f>Q41</f>
        <v>9.9999999999999995E-7</v>
      </c>
      <c r="G120" s="385">
        <f>R41</f>
        <v>1E-4</v>
      </c>
      <c r="H120" s="382"/>
      <c r="I120" s="382"/>
      <c r="J120" s="382"/>
      <c r="K120" s="382"/>
      <c r="L120" s="382"/>
      <c r="M120" s="382"/>
      <c r="N120" s="382"/>
      <c r="O120" s="382"/>
      <c r="P120" s="382"/>
      <c r="Q120" s="382"/>
      <c r="R120" s="382"/>
    </row>
    <row r="121" spans="1:18" ht="14.5" thickBot="1" x14ac:dyDescent="0.35">
      <c r="A121" s="1367"/>
      <c r="B121" s="380">
        <v>10</v>
      </c>
      <c r="C121" s="389">
        <v>99</v>
      </c>
      <c r="D121" s="374">
        <f>C54</f>
        <v>9.9999999999999995E-7</v>
      </c>
      <c r="E121" s="374">
        <f>D54</f>
        <v>9.9999999999999995E-7</v>
      </c>
      <c r="F121" s="379">
        <f>E54</f>
        <v>9.9999999999999995E-7</v>
      </c>
      <c r="G121" s="385">
        <f>F54</f>
        <v>1E-4</v>
      </c>
      <c r="H121" s="382"/>
      <c r="I121" s="382"/>
      <c r="J121" s="382"/>
      <c r="K121" s="382"/>
      <c r="L121" s="382"/>
      <c r="M121" s="382"/>
      <c r="N121" s="382"/>
      <c r="O121" s="382"/>
      <c r="P121" s="382"/>
      <c r="Q121" s="382"/>
      <c r="R121" s="382"/>
    </row>
    <row r="122" spans="1:18" ht="14.5" thickBot="1" x14ac:dyDescent="0.35">
      <c r="A122" s="1365">
        <v>100</v>
      </c>
      <c r="B122" s="378">
        <v>1</v>
      </c>
      <c r="C122" s="388">
        <v>100</v>
      </c>
      <c r="D122" s="374">
        <f>C15</f>
        <v>9.9999999999999995E-7</v>
      </c>
      <c r="E122" s="374">
        <f>D15</f>
        <v>9.9999999999999995E-7</v>
      </c>
      <c r="F122" s="379">
        <f>E15</f>
        <v>9.9999999999999995E-7</v>
      </c>
      <c r="G122" s="385">
        <f>F15</f>
        <v>1E-4</v>
      </c>
      <c r="H122" s="382"/>
      <c r="I122" s="382"/>
      <c r="J122" s="382"/>
      <c r="K122" s="382"/>
      <c r="L122" s="382"/>
      <c r="M122" s="382"/>
      <c r="N122" s="382"/>
      <c r="O122" s="382"/>
      <c r="P122" s="382"/>
      <c r="Q122" s="382"/>
      <c r="R122" s="382"/>
    </row>
    <row r="123" spans="1:18" ht="14.5" thickBot="1" x14ac:dyDescent="0.35">
      <c r="A123" s="1366"/>
      <c r="B123" s="379">
        <v>2</v>
      </c>
      <c r="C123" s="389">
        <v>100</v>
      </c>
      <c r="D123" s="374">
        <f>I15</f>
        <v>9.9999999999999995E-7</v>
      </c>
      <c r="E123" s="374">
        <f>J15</f>
        <v>9.9999999999999995E-7</v>
      </c>
      <c r="F123" s="379">
        <f>K15</f>
        <v>9.9999999999999995E-7</v>
      </c>
      <c r="G123" s="385">
        <f>L15</f>
        <v>1E-4</v>
      </c>
      <c r="H123" s="382"/>
      <c r="I123" s="382"/>
      <c r="J123" s="382"/>
      <c r="K123" s="382"/>
      <c r="L123" s="382"/>
      <c r="M123" s="382"/>
      <c r="N123" s="382"/>
      <c r="O123" s="382"/>
      <c r="P123" s="382"/>
      <c r="Q123" s="382"/>
      <c r="R123" s="382"/>
    </row>
    <row r="124" spans="1:18" ht="14.5" thickBot="1" x14ac:dyDescent="0.35">
      <c r="A124" s="1366"/>
      <c r="B124" s="379">
        <v>3</v>
      </c>
      <c r="C124" s="389">
        <v>100</v>
      </c>
      <c r="D124" s="374">
        <f>O15</f>
        <v>1E-3</v>
      </c>
      <c r="E124" s="374">
        <f>P15</f>
        <v>9.9999999999999995E-7</v>
      </c>
      <c r="F124" s="379">
        <f>Q15</f>
        <v>9.9999999999999995E-7</v>
      </c>
      <c r="G124" s="385">
        <f>R15</f>
        <v>1E-4</v>
      </c>
      <c r="H124" s="382"/>
      <c r="I124" s="382"/>
      <c r="J124" s="382"/>
      <c r="K124" s="382"/>
      <c r="L124" s="382"/>
      <c r="M124" s="382"/>
      <c r="N124" s="382"/>
      <c r="O124" s="382"/>
      <c r="P124" s="382"/>
      <c r="Q124" s="382"/>
      <c r="R124" s="382"/>
    </row>
    <row r="125" spans="1:18" ht="14.5" thickBot="1" x14ac:dyDescent="0.35">
      <c r="A125" s="1366"/>
      <c r="B125" s="379">
        <v>4</v>
      </c>
      <c r="C125" s="389">
        <v>100</v>
      </c>
      <c r="D125" s="374">
        <f>C28</f>
        <v>9.9999999999999995E-7</v>
      </c>
      <c r="E125" s="374">
        <f>D28</f>
        <v>9.9999999999999995E-7</v>
      </c>
      <c r="F125" s="379">
        <f>E28</f>
        <v>9.9999999999999995E-7</v>
      </c>
      <c r="G125" s="385">
        <f>F28</f>
        <v>1E-4</v>
      </c>
      <c r="H125" s="382"/>
      <c r="I125" s="382"/>
      <c r="J125" s="382"/>
      <c r="K125" s="382"/>
      <c r="L125" s="382"/>
      <c r="M125" s="382"/>
      <c r="N125" s="382"/>
      <c r="O125" s="382"/>
      <c r="P125" s="382"/>
      <c r="Q125" s="382"/>
      <c r="R125" s="382"/>
    </row>
    <row r="126" spans="1:18" ht="14.5" thickBot="1" x14ac:dyDescent="0.35">
      <c r="A126" s="1366"/>
      <c r="B126" s="379">
        <v>5</v>
      </c>
      <c r="C126" s="389">
        <v>100</v>
      </c>
      <c r="D126" s="374">
        <f>I28</f>
        <v>9.9999999999999995E-7</v>
      </c>
      <c r="E126" s="374">
        <f>J28</f>
        <v>9.9999999999999995E-7</v>
      </c>
      <c r="F126" s="379">
        <f>K28</f>
        <v>9.9999999999999995E-7</v>
      </c>
      <c r="G126" s="385">
        <f>L28</f>
        <v>1E-4</v>
      </c>
      <c r="H126" s="382"/>
      <c r="I126" s="382"/>
      <c r="J126" s="382"/>
      <c r="K126" s="382"/>
      <c r="L126" s="382"/>
      <c r="M126" s="382"/>
      <c r="N126" s="382"/>
      <c r="O126" s="382"/>
      <c r="P126" s="382"/>
      <c r="Q126" s="382"/>
      <c r="R126" s="382"/>
    </row>
    <row r="127" spans="1:18" ht="14.5" thickBot="1" x14ac:dyDescent="0.35">
      <c r="A127" s="1366"/>
      <c r="B127" s="379">
        <v>6</v>
      </c>
      <c r="C127" s="389">
        <v>100</v>
      </c>
      <c r="D127" s="374">
        <f>O28</f>
        <v>9.9999999999999995E-7</v>
      </c>
      <c r="E127" s="374">
        <f>P28</f>
        <v>9.9999999999999995E-7</v>
      </c>
      <c r="F127" s="379">
        <f>Q28</f>
        <v>9.9999999999999995E-7</v>
      </c>
      <c r="G127" s="385">
        <f>R28</f>
        <v>1E-4</v>
      </c>
      <c r="H127" s="382"/>
      <c r="I127" s="382"/>
      <c r="J127" s="382"/>
      <c r="K127" s="382"/>
      <c r="L127" s="382"/>
      <c r="M127" s="382"/>
      <c r="N127" s="382"/>
      <c r="O127" s="382"/>
      <c r="P127" s="382"/>
      <c r="Q127" s="382"/>
      <c r="R127" s="382"/>
    </row>
    <row r="128" spans="1:18" ht="14.5" thickBot="1" x14ac:dyDescent="0.35">
      <c r="A128" s="1366"/>
      <c r="B128" s="379">
        <v>7</v>
      </c>
      <c r="C128" s="389">
        <v>100</v>
      </c>
      <c r="D128" s="374">
        <f>C42</f>
        <v>9.9999999999999995E-7</v>
      </c>
      <c r="E128" s="374">
        <f>D42</f>
        <v>9.9999999999999995E-7</v>
      </c>
      <c r="F128" s="379">
        <f>E42</f>
        <v>9.9999999999999995E-7</v>
      </c>
      <c r="G128" s="385">
        <f>F42</f>
        <v>1E-4</v>
      </c>
      <c r="H128" s="382"/>
      <c r="I128" s="382"/>
      <c r="J128" s="382"/>
      <c r="K128" s="382"/>
      <c r="L128" s="382"/>
      <c r="M128" s="382"/>
      <c r="N128" s="382"/>
      <c r="O128" s="382"/>
      <c r="P128" s="382"/>
      <c r="Q128" s="382"/>
      <c r="R128" s="382"/>
    </row>
    <row r="129" spans="1:18" ht="14.5" thickBot="1" x14ac:dyDescent="0.35">
      <c r="A129" s="1366"/>
      <c r="B129" s="379">
        <v>8</v>
      </c>
      <c r="C129" s="389">
        <v>100</v>
      </c>
      <c r="D129" s="374">
        <f>I42</f>
        <v>9.9999999999999995E-7</v>
      </c>
      <c r="E129" s="374">
        <f>J42</f>
        <v>9.9999999999999995E-7</v>
      </c>
      <c r="F129" s="379">
        <f>K42</f>
        <v>9.9999999999999995E-7</v>
      </c>
      <c r="G129" s="385">
        <f>L42</f>
        <v>1E-4</v>
      </c>
      <c r="H129" s="382"/>
      <c r="I129" s="382"/>
      <c r="J129" s="382"/>
      <c r="K129" s="382"/>
      <c r="L129" s="382"/>
      <c r="M129" s="382"/>
      <c r="N129" s="382"/>
      <c r="O129" s="382"/>
      <c r="P129" s="382"/>
      <c r="Q129" s="382"/>
      <c r="R129" s="382"/>
    </row>
    <row r="130" spans="1:18" ht="14.5" thickBot="1" x14ac:dyDescent="0.35">
      <c r="A130" s="1366"/>
      <c r="B130" s="379">
        <v>9</v>
      </c>
      <c r="C130" s="389">
        <v>100</v>
      </c>
      <c r="D130" s="374">
        <f>O42</f>
        <v>9.9999999999999995E-7</v>
      </c>
      <c r="E130" s="374">
        <f>P42</f>
        <v>9.9999999999999995E-7</v>
      </c>
      <c r="F130" s="379">
        <f>Q42</f>
        <v>9.9999999999999995E-7</v>
      </c>
      <c r="G130" s="385">
        <f>R42</f>
        <v>1E-4</v>
      </c>
      <c r="H130" s="382"/>
      <c r="I130" s="382"/>
      <c r="J130" s="382"/>
      <c r="K130" s="382"/>
      <c r="L130" s="382"/>
      <c r="M130" s="382"/>
      <c r="N130" s="382"/>
      <c r="O130" s="382"/>
      <c r="P130" s="382"/>
      <c r="Q130" s="382"/>
      <c r="R130" s="382"/>
    </row>
    <row r="131" spans="1:18" ht="14.5" thickBot="1" x14ac:dyDescent="0.35">
      <c r="A131" s="1377"/>
      <c r="B131" s="379">
        <v>10</v>
      </c>
      <c r="C131" s="389">
        <v>100</v>
      </c>
      <c r="D131" s="374">
        <f>C55</f>
        <v>9.9999999999999995E-7</v>
      </c>
      <c r="E131" s="374">
        <f>D55</f>
        <v>9.9999999999999995E-7</v>
      </c>
      <c r="F131" s="379">
        <f>E55</f>
        <v>9.9999999999999995E-7</v>
      </c>
      <c r="G131" s="385">
        <f>F55</f>
        <v>1E-4</v>
      </c>
      <c r="H131" s="382"/>
      <c r="I131" s="382"/>
      <c r="J131" s="382"/>
      <c r="K131" s="382"/>
      <c r="L131" s="382"/>
      <c r="M131" s="382"/>
      <c r="N131" s="382"/>
      <c r="O131" s="382"/>
      <c r="P131" s="382"/>
      <c r="Q131" s="382"/>
      <c r="R131" s="382"/>
    </row>
    <row r="132" spans="1:18" x14ac:dyDescent="0.3">
      <c r="A132" s="390"/>
      <c r="B132" s="381"/>
      <c r="C132" s="390"/>
      <c r="D132" s="381"/>
      <c r="E132" s="381"/>
      <c r="F132" s="381"/>
      <c r="G132" s="381"/>
      <c r="H132" s="382"/>
      <c r="I132" s="382"/>
      <c r="J132" s="382"/>
      <c r="K132" s="382"/>
      <c r="L132" s="382"/>
      <c r="M132" s="382"/>
      <c r="N132" s="382"/>
      <c r="O132" s="382"/>
      <c r="P132" s="382"/>
      <c r="Q132" s="382"/>
      <c r="R132" s="382"/>
    </row>
    <row r="133" spans="1:18" x14ac:dyDescent="0.3">
      <c r="A133" s="390"/>
      <c r="B133" s="381"/>
      <c r="C133" s="390"/>
      <c r="D133" s="381"/>
      <c r="E133" s="381"/>
      <c r="F133" s="381"/>
      <c r="G133" s="381"/>
      <c r="H133" s="382"/>
      <c r="I133" s="382"/>
      <c r="J133" s="382"/>
      <c r="K133" s="382"/>
      <c r="L133" s="382"/>
      <c r="M133" s="382"/>
      <c r="N133" s="382"/>
      <c r="O133" s="382"/>
      <c r="P133" s="382"/>
      <c r="Q133" s="382"/>
      <c r="R133" s="382"/>
    </row>
    <row r="134" spans="1:18" s="371" customFormat="1" ht="42" customHeight="1" x14ac:dyDescent="0.3">
      <c r="A134" s="372">
        <f>cetik!C1</f>
        <v>5</v>
      </c>
      <c r="B134" s="1368" t="str">
        <f>cetik!B1</f>
        <v>SPO₂ Simulator, Merek : Fluke, Model : SPOT LIGHT, SN : 4404040</v>
      </c>
      <c r="C134" s="1369"/>
      <c r="D134" s="1369"/>
      <c r="E134" s="1370"/>
      <c r="F134" s="391"/>
      <c r="G134" s="391"/>
      <c r="H134" s="391"/>
      <c r="I134" s="391"/>
      <c r="J134" s="391"/>
      <c r="K134" s="391"/>
      <c r="L134" s="391"/>
      <c r="M134" s="391"/>
      <c r="N134" s="391"/>
      <c r="O134" s="391"/>
      <c r="P134" s="391"/>
      <c r="Q134" s="391"/>
      <c r="R134" s="391"/>
    </row>
    <row r="135" spans="1:18" x14ac:dyDescent="0.3">
      <c r="A135" s="1371" t="s">
        <v>381</v>
      </c>
      <c r="B135" s="1371"/>
      <c r="C135" s="1371"/>
      <c r="D135" s="1371"/>
      <c r="E135" s="1371"/>
      <c r="F135" s="382"/>
      <c r="G135" s="382"/>
      <c r="H135" s="382"/>
      <c r="I135" s="382"/>
      <c r="J135" s="382"/>
      <c r="K135" s="382"/>
      <c r="L135" s="382"/>
      <c r="M135" s="382"/>
      <c r="N135" s="382"/>
      <c r="O135" s="382"/>
      <c r="P135" s="382"/>
      <c r="Q135" s="382"/>
      <c r="R135" s="382"/>
    </row>
    <row r="136" spans="1:18" x14ac:dyDescent="0.3">
      <c r="A136" s="1372" t="str">
        <f>C60</f>
        <v>Setting O2%</v>
      </c>
      <c r="B136" s="1373"/>
      <c r="C136" s="1374"/>
      <c r="D136" s="1375" t="s">
        <v>274</v>
      </c>
      <c r="E136" s="1375" t="s">
        <v>167</v>
      </c>
      <c r="F136" s="382"/>
      <c r="G136" s="382"/>
      <c r="H136" s="382"/>
      <c r="I136" s="382"/>
      <c r="J136" s="382"/>
      <c r="K136" s="382"/>
      <c r="L136" s="382"/>
      <c r="M136" s="382"/>
      <c r="N136" s="382"/>
      <c r="O136" s="382"/>
      <c r="P136" s="382"/>
      <c r="Q136" s="382"/>
      <c r="R136" s="382"/>
    </row>
    <row r="137" spans="1:18" x14ac:dyDescent="0.3">
      <c r="A137" s="372" t="s">
        <v>392</v>
      </c>
      <c r="B137" s="372">
        <v>2018</v>
      </c>
      <c r="C137" s="372">
        <v>2019</v>
      </c>
      <c r="D137" s="1376"/>
      <c r="E137" s="1376"/>
      <c r="F137" s="382"/>
      <c r="G137" s="382"/>
      <c r="H137" s="382"/>
      <c r="I137" s="382"/>
      <c r="J137" s="382"/>
      <c r="K137" s="382"/>
      <c r="L137" s="382"/>
      <c r="M137" s="382"/>
      <c r="N137" s="382"/>
      <c r="O137" s="382"/>
      <c r="P137" s="382"/>
      <c r="Q137" s="382"/>
      <c r="R137" s="382"/>
    </row>
    <row r="138" spans="1:18" x14ac:dyDescent="0.3">
      <c r="A138" s="372">
        <v>85</v>
      </c>
      <c r="B138" s="372">
        <f>VLOOKUP($A$134,$B$62:$G$71,3,FALSE)</f>
        <v>9.9999999999999995E-7</v>
      </c>
      <c r="C138" s="372">
        <f>VLOOKUP($A$134,B62:G71,4,FALSE)</f>
        <v>9.9999999999999995E-7</v>
      </c>
      <c r="D138" s="392">
        <f>1/3*E138</f>
        <v>3.3333333333333335E-5</v>
      </c>
      <c r="E138" s="372">
        <f>VLOOKUP($A$134,B62:G71,6,(FALSE))</f>
        <v>1E-4</v>
      </c>
      <c r="F138" s="382"/>
      <c r="G138" s="382"/>
      <c r="H138" s="382"/>
      <c r="I138" s="382"/>
      <c r="J138" s="382"/>
      <c r="K138" s="382"/>
      <c r="L138" s="382"/>
      <c r="M138" s="382"/>
      <c r="N138" s="382"/>
      <c r="O138" s="382"/>
      <c r="P138" s="382"/>
      <c r="Q138" s="382"/>
      <c r="R138" s="382"/>
    </row>
    <row r="139" spans="1:18" x14ac:dyDescent="0.3">
      <c r="A139" s="372">
        <v>90</v>
      </c>
      <c r="B139" s="372">
        <f>VLOOKUP($A$134,B72:G81,3,FALSE)</f>
        <v>9.9999999999999995E-7</v>
      </c>
      <c r="C139" s="372">
        <f>VLOOKUP($A$134,B72:G81,4,FALSE)</f>
        <v>9.9999999999999995E-7</v>
      </c>
      <c r="D139" s="392">
        <f t="shared" ref="D139:D144" si="0">1/3*E139</f>
        <v>3.3333333333333335E-5</v>
      </c>
      <c r="E139" s="372">
        <f>VLOOKUP($A$134,B72:G81,6,(FALSE))</f>
        <v>1E-4</v>
      </c>
      <c r="F139" s="382"/>
      <c r="G139" s="382"/>
      <c r="H139" s="382"/>
      <c r="I139" s="382"/>
      <c r="J139" s="382"/>
      <c r="K139" s="382"/>
      <c r="L139" s="382"/>
      <c r="M139" s="382"/>
      <c r="N139" s="382"/>
      <c r="O139" s="382"/>
      <c r="P139" s="382"/>
      <c r="Q139" s="382"/>
      <c r="R139" s="382"/>
    </row>
    <row r="140" spans="1:18" x14ac:dyDescent="0.3">
      <c r="A140" s="372">
        <v>95</v>
      </c>
      <c r="B140" s="372">
        <f>VLOOKUP($A$134,B82:G91,3,FALSE)</f>
        <v>9.9999999999999995E-7</v>
      </c>
      <c r="C140" s="372">
        <f>VLOOKUP($A$134,B82:G91,4,FALSE)</f>
        <v>9.9999999999999995E-7</v>
      </c>
      <c r="D140" s="392">
        <f t="shared" si="0"/>
        <v>3.3333333333333335E-5</v>
      </c>
      <c r="E140" s="372">
        <f>VLOOKUP($A$134,B82:G91,6,(FALSE))</f>
        <v>1E-4</v>
      </c>
      <c r="F140" s="382"/>
      <c r="G140" s="382"/>
      <c r="H140" s="382"/>
      <c r="I140" s="382"/>
      <c r="J140" s="382"/>
      <c r="K140" s="382"/>
      <c r="L140" s="382"/>
      <c r="M140" s="382"/>
      <c r="N140" s="382"/>
      <c r="O140" s="382"/>
      <c r="P140" s="382"/>
      <c r="Q140" s="382"/>
      <c r="R140" s="382"/>
    </row>
    <row r="141" spans="1:18" x14ac:dyDescent="0.3">
      <c r="A141" s="372">
        <v>97</v>
      </c>
      <c r="B141" s="372">
        <f>VLOOKUP($A$134,B92:G101,3,FALSE)</f>
        <v>9.9999999999999995E-7</v>
      </c>
      <c r="C141" s="372">
        <f>VLOOKUP($A$134,B92:G101,4,FALSE)</f>
        <v>9.9999999999999995E-7</v>
      </c>
      <c r="D141" s="392">
        <f t="shared" si="0"/>
        <v>3.3333333333333335E-5</v>
      </c>
      <c r="E141" s="372">
        <f>VLOOKUP($A$134,B92:G101,6,(FALSE))</f>
        <v>1E-4</v>
      </c>
      <c r="F141" s="382"/>
      <c r="G141" s="382"/>
      <c r="H141" s="382"/>
      <c r="I141" s="382"/>
      <c r="J141" s="382"/>
      <c r="K141" s="382"/>
      <c r="L141" s="382"/>
      <c r="M141" s="382"/>
      <c r="N141" s="382"/>
      <c r="O141" s="382"/>
      <c r="P141" s="382"/>
      <c r="Q141" s="382"/>
      <c r="R141" s="382"/>
    </row>
    <row r="142" spans="1:18" x14ac:dyDescent="0.3">
      <c r="A142" s="372">
        <v>98</v>
      </c>
      <c r="B142" s="372">
        <f>VLOOKUP($A$134,B102:G111,3,FALSE)</f>
        <v>9.9999999999999995E-7</v>
      </c>
      <c r="C142" s="372">
        <f>VLOOKUP($A$134,B102:G111,4,FALSE)</f>
        <v>9.9999999999999995E-7</v>
      </c>
      <c r="D142" s="392">
        <f t="shared" si="0"/>
        <v>3.3333333333333335E-5</v>
      </c>
      <c r="E142" s="372">
        <f>VLOOKUP($A$134,B102:G111,6,(FALSE))</f>
        <v>1E-4</v>
      </c>
      <c r="F142" s="382"/>
      <c r="G142" s="382"/>
      <c r="H142" s="382"/>
      <c r="I142" s="382"/>
      <c r="J142" s="382"/>
      <c r="K142" s="382"/>
      <c r="L142" s="382"/>
      <c r="M142" s="382"/>
      <c r="N142" s="382"/>
      <c r="O142" s="382"/>
      <c r="P142" s="382"/>
      <c r="Q142" s="382"/>
      <c r="R142" s="382"/>
    </row>
    <row r="143" spans="1:18" x14ac:dyDescent="0.3">
      <c r="A143" s="372">
        <v>99</v>
      </c>
      <c r="B143" s="372">
        <f>VLOOKUP($A$134,B112:G121,3,FALSE)</f>
        <v>9.9999999999999995E-7</v>
      </c>
      <c r="C143" s="372">
        <f>VLOOKUP($A$134,B112:G121,4,FALSE)</f>
        <v>9.9999999999999995E-7</v>
      </c>
      <c r="D143" s="392">
        <f t="shared" si="0"/>
        <v>3.3333333333333335E-5</v>
      </c>
      <c r="E143" s="372">
        <f>VLOOKUP($A$134,B112:G121,6,(FALSE))</f>
        <v>1E-4</v>
      </c>
      <c r="F143" s="382"/>
      <c r="G143" s="382"/>
      <c r="H143" s="382"/>
      <c r="I143" s="382"/>
      <c r="J143" s="382"/>
      <c r="K143" s="382"/>
      <c r="L143" s="382"/>
      <c r="M143" s="382"/>
      <c r="N143" s="382"/>
      <c r="O143" s="382"/>
      <c r="P143" s="382"/>
      <c r="Q143" s="382"/>
      <c r="R143" s="382"/>
    </row>
    <row r="144" spans="1:18" x14ac:dyDescent="0.3">
      <c r="A144" s="372">
        <v>100</v>
      </c>
      <c r="B144" s="372">
        <f>VLOOKUP($A$134,B122:G131,3,FALSE)</f>
        <v>9.9999999999999995E-7</v>
      </c>
      <c r="C144" s="372">
        <f>VLOOKUP($A$134,B122:G131,4,FALSE)</f>
        <v>9.9999999999999995E-7</v>
      </c>
      <c r="D144" s="392">
        <f t="shared" si="0"/>
        <v>3.3333333333333335E-5</v>
      </c>
      <c r="E144" s="372">
        <f>VLOOKUP($A$134,B122:G131,6,(FALSE))</f>
        <v>1E-4</v>
      </c>
      <c r="F144" s="382"/>
      <c r="G144" s="382"/>
      <c r="H144" s="382"/>
      <c r="I144" s="382"/>
      <c r="J144" s="382"/>
      <c r="K144" s="382"/>
      <c r="L144" s="382"/>
      <c r="M144" s="382"/>
      <c r="N144" s="382"/>
      <c r="O144" s="382"/>
      <c r="P144" s="382"/>
      <c r="Q144" s="382"/>
      <c r="R144" s="382"/>
    </row>
    <row r="145" spans="1:18" x14ac:dyDescent="0.3">
      <c r="A145" s="382"/>
      <c r="B145" s="382"/>
      <c r="C145" s="382"/>
      <c r="D145" s="382"/>
      <c r="E145" s="382"/>
      <c r="F145" s="382"/>
      <c r="G145" s="382"/>
      <c r="H145" s="382"/>
      <c r="I145" s="382"/>
      <c r="J145" s="382"/>
      <c r="K145" s="382"/>
      <c r="L145" s="382"/>
      <c r="M145" s="382"/>
      <c r="N145" s="382"/>
      <c r="O145" s="382"/>
      <c r="P145" s="382"/>
      <c r="Q145" s="382"/>
      <c r="R145" s="382"/>
    </row>
  </sheetData>
  <mergeCells count="67">
    <mergeCell ref="B4:F4"/>
    <mergeCell ref="H4:L4"/>
    <mergeCell ref="N4:R4"/>
    <mergeCell ref="B5:F5"/>
    <mergeCell ref="H5:L5"/>
    <mergeCell ref="N5:R5"/>
    <mergeCell ref="N6:P6"/>
    <mergeCell ref="Q6:Q7"/>
    <mergeCell ref="R6:R7"/>
    <mergeCell ref="B17:F17"/>
    <mergeCell ref="H17:L17"/>
    <mergeCell ref="N17:R17"/>
    <mergeCell ref="B6:D6"/>
    <mergeCell ref="E6:E7"/>
    <mergeCell ref="F6:F7"/>
    <mergeCell ref="H6:J6"/>
    <mergeCell ref="K6:K7"/>
    <mergeCell ref="L6:L7"/>
    <mergeCell ref="B32:F32"/>
    <mergeCell ref="H32:L32"/>
    <mergeCell ref="N32:R32"/>
    <mergeCell ref="B18:F18"/>
    <mergeCell ref="H18:L18"/>
    <mergeCell ref="N18:R18"/>
    <mergeCell ref="B19:D19"/>
    <mergeCell ref="E19:E20"/>
    <mergeCell ref="F19:F20"/>
    <mergeCell ref="H19:J19"/>
    <mergeCell ref="K19:K20"/>
    <mergeCell ref="L19:L20"/>
    <mergeCell ref="N19:P19"/>
    <mergeCell ref="Q19:Q20"/>
    <mergeCell ref="R19:R20"/>
    <mergeCell ref="B31:F31"/>
    <mergeCell ref="H31:L31"/>
    <mergeCell ref="N31:R31"/>
    <mergeCell ref="B46:D46"/>
    <mergeCell ref="E46:E47"/>
    <mergeCell ref="F46:F47"/>
    <mergeCell ref="B33:D33"/>
    <mergeCell ref="E33:E34"/>
    <mergeCell ref="F33:F34"/>
    <mergeCell ref="N33:P33"/>
    <mergeCell ref="Q33:Q34"/>
    <mergeCell ref="R33:R34"/>
    <mergeCell ref="B44:F44"/>
    <mergeCell ref="B45:F45"/>
    <mergeCell ref="H33:J33"/>
    <mergeCell ref="K33:K34"/>
    <mergeCell ref="L33:L34"/>
    <mergeCell ref="A59:A71"/>
    <mergeCell ref="B59:B61"/>
    <mergeCell ref="C59:G59"/>
    <mergeCell ref="C60:E60"/>
    <mergeCell ref="F60:F61"/>
    <mergeCell ref="G60:G61"/>
    <mergeCell ref="A136:C136"/>
    <mergeCell ref="D136:D137"/>
    <mergeCell ref="E136:E137"/>
    <mergeCell ref="A102:A111"/>
    <mergeCell ref="A112:A121"/>
    <mergeCell ref="A122:A131"/>
    <mergeCell ref="A72:A81"/>
    <mergeCell ref="A82:A91"/>
    <mergeCell ref="A92:A101"/>
    <mergeCell ref="B134:E134"/>
    <mergeCell ref="A135:E135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"/>
  <dimension ref="A1:AT124"/>
  <sheetViews>
    <sheetView view="pageBreakPreview" topLeftCell="D9" zoomScaleNormal="100" zoomScaleSheetLayoutView="100" workbookViewId="0">
      <selection activeCell="K26" sqref="K26"/>
    </sheetView>
  </sheetViews>
  <sheetFormatPr defaultRowHeight="12.5" x14ac:dyDescent="0.25"/>
  <cols>
    <col min="1" max="1" width="4.90625" style="21" customWidth="1"/>
    <col min="2" max="2" width="3.54296875" style="21" customWidth="1"/>
    <col min="3" max="3" width="20.90625" style="21" customWidth="1"/>
    <col min="4" max="4" width="9.36328125" style="21" customWidth="1"/>
    <col min="5" max="5" width="11.90625" style="830" customWidth="1"/>
    <col min="6" max="6" width="7.453125" style="21" customWidth="1"/>
    <col min="7" max="7" width="8.54296875" style="21" customWidth="1"/>
    <col min="8" max="8" width="8.453125" style="21" customWidth="1"/>
    <col min="9" max="9" width="8.36328125" style="21" customWidth="1"/>
    <col min="10" max="10" width="7.90625" style="21" customWidth="1"/>
    <col min="11" max="11" width="8.36328125" style="21" customWidth="1"/>
    <col min="12" max="12" width="10.54296875" style="21" customWidth="1"/>
    <col min="13" max="13" width="15.54296875" style="21" customWidth="1"/>
    <col min="14" max="14" width="9.453125" style="21" customWidth="1"/>
    <col min="15" max="15" width="9.54296875" style="831" bestFit="1" customWidth="1"/>
    <col min="16" max="16" width="48.90625" style="831" customWidth="1"/>
    <col min="17" max="17" width="44.7265625" style="21" customWidth="1"/>
    <col min="18" max="18" width="9.08984375" style="21" customWidth="1"/>
    <col min="19" max="19" width="15.453125" style="21" customWidth="1"/>
    <col min="20" max="16384" width="8.7265625" style="21"/>
  </cols>
  <sheetData>
    <row r="1" spans="1:46" ht="15.5" x14ac:dyDescent="0.35">
      <c r="A1" s="1025" t="s">
        <v>129</v>
      </c>
      <c r="B1" s="1025"/>
      <c r="C1" s="1025"/>
      <c r="D1" s="1025"/>
      <c r="E1" s="1025"/>
      <c r="F1" s="1025"/>
      <c r="G1" s="1025"/>
      <c r="H1" s="1025"/>
      <c r="I1" s="1025"/>
      <c r="J1" s="1025"/>
      <c r="K1" s="1025"/>
      <c r="L1" s="1025"/>
      <c r="M1" s="1025"/>
      <c r="N1" s="1025"/>
      <c r="O1" s="168"/>
      <c r="P1" s="168"/>
      <c r="Q1" s="289"/>
      <c r="R1" s="290"/>
      <c r="S1" s="290"/>
      <c r="T1" s="290"/>
      <c r="U1" s="290"/>
      <c r="V1" s="290"/>
      <c r="W1" s="290"/>
      <c r="X1" s="290"/>
      <c r="Y1" s="290"/>
      <c r="Z1" s="290"/>
      <c r="AA1" s="290"/>
      <c r="AB1" s="290"/>
      <c r="AC1" s="290"/>
      <c r="AD1" s="290"/>
      <c r="AE1" s="290"/>
      <c r="AF1" s="290"/>
      <c r="AG1" s="290"/>
      <c r="AH1" s="290"/>
      <c r="AI1" s="290"/>
      <c r="AJ1" s="290"/>
      <c r="AK1" s="290"/>
      <c r="AL1" s="290"/>
      <c r="AM1" s="290"/>
      <c r="AN1" s="290"/>
      <c r="AO1" s="290"/>
      <c r="AP1" s="290"/>
      <c r="AQ1" s="290"/>
      <c r="AR1" s="290"/>
      <c r="AS1" s="290"/>
      <c r="AT1" s="290"/>
    </row>
    <row r="2" spans="1:46" ht="15.5" x14ac:dyDescent="0.35">
      <c r="A2" s="171"/>
      <c r="B2" s="171"/>
      <c r="C2" s="171"/>
      <c r="D2" s="171"/>
      <c r="E2" s="171"/>
      <c r="F2" s="171"/>
      <c r="G2" s="172"/>
      <c r="H2" s="176" t="str">
        <f>IF(Penyelia!I69&gt;=70,P5,P6)</f>
        <v>Nomor Sertifikat : 42 /</v>
      </c>
      <c r="I2" s="283" t="s">
        <v>430</v>
      </c>
      <c r="J2" s="311"/>
      <c r="K2" s="311"/>
      <c r="L2" s="311"/>
      <c r="M2" s="171"/>
      <c r="N2" s="171"/>
      <c r="O2" s="168"/>
      <c r="P2" s="168"/>
      <c r="Q2" s="289"/>
      <c r="R2" s="290"/>
      <c r="S2" s="290"/>
      <c r="T2" s="290"/>
      <c r="U2" s="290"/>
      <c r="V2" s="290"/>
      <c r="W2" s="290"/>
      <c r="X2" s="290"/>
      <c r="Y2" s="290"/>
      <c r="Z2" s="290"/>
      <c r="AA2" s="290"/>
      <c r="AB2" s="290"/>
      <c r="AC2" s="290"/>
      <c r="AD2" s="290"/>
      <c r="AE2" s="290"/>
      <c r="AF2" s="290"/>
      <c r="AG2" s="290"/>
      <c r="AH2" s="290"/>
      <c r="AI2" s="290"/>
      <c r="AJ2" s="290"/>
      <c r="AK2" s="290"/>
      <c r="AL2" s="290"/>
      <c r="AM2" s="290"/>
      <c r="AN2" s="290"/>
      <c r="AO2" s="290"/>
      <c r="AP2" s="290"/>
      <c r="AQ2" s="290"/>
      <c r="AR2" s="290"/>
      <c r="AS2" s="290"/>
      <c r="AT2" s="290"/>
    </row>
    <row r="3" spans="1:46" ht="15.5" x14ac:dyDescent="0.35">
      <c r="A3" s="280"/>
      <c r="B3" s="280"/>
      <c r="C3" s="280"/>
      <c r="D3" s="280"/>
      <c r="E3" s="280"/>
      <c r="F3" s="280"/>
      <c r="G3" s="280"/>
      <c r="H3" s="280"/>
      <c r="I3" s="280"/>
      <c r="J3" s="280"/>
      <c r="K3" s="280"/>
      <c r="L3" s="280"/>
      <c r="M3" s="280"/>
      <c r="N3" s="280"/>
      <c r="O3" s="168"/>
      <c r="P3" s="168"/>
      <c r="Q3" s="289"/>
      <c r="R3" s="290"/>
      <c r="S3" s="290"/>
      <c r="T3" s="290"/>
      <c r="U3" s="290"/>
      <c r="V3" s="290"/>
      <c r="W3" s="290"/>
      <c r="X3" s="290"/>
      <c r="Y3" s="290"/>
      <c r="Z3" s="290"/>
      <c r="AA3" s="290"/>
      <c r="AB3" s="290"/>
      <c r="AC3" s="290"/>
      <c r="AD3" s="290"/>
      <c r="AE3" s="290"/>
      <c r="AF3" s="290"/>
      <c r="AG3" s="290"/>
      <c r="AH3" s="290"/>
      <c r="AI3" s="290"/>
      <c r="AJ3" s="290"/>
      <c r="AK3" s="290"/>
      <c r="AL3" s="290"/>
      <c r="AM3" s="290"/>
      <c r="AN3" s="290"/>
      <c r="AO3" s="290"/>
      <c r="AP3" s="290"/>
      <c r="AQ3" s="290"/>
      <c r="AR3" s="290"/>
      <c r="AS3" s="290"/>
      <c r="AT3" s="290"/>
    </row>
    <row r="4" spans="1:46" ht="15.5" x14ac:dyDescent="0.35">
      <c r="A4" s="169" t="str">
        <f>'Lembar Kerja'!A4</f>
        <v>Merek</v>
      </c>
      <c r="B4" s="170"/>
      <c r="C4" s="171"/>
      <c r="D4" s="172" t="s">
        <v>23</v>
      </c>
      <c r="E4" s="283" t="s">
        <v>130</v>
      </c>
      <c r="F4" s="173"/>
      <c r="G4" s="173"/>
      <c r="H4" s="173"/>
      <c r="I4" s="173"/>
      <c r="J4" s="171"/>
      <c r="K4" s="171"/>
      <c r="L4" s="171"/>
      <c r="M4" s="171"/>
      <c r="N4" s="171"/>
      <c r="O4" s="168"/>
      <c r="P4" s="812" t="s">
        <v>372</v>
      </c>
      <c r="Q4" s="812" t="s">
        <v>373</v>
      </c>
      <c r="R4" s="290"/>
      <c r="S4" s="290"/>
      <c r="T4" s="290"/>
      <c r="U4" s="290"/>
      <c r="V4" s="290"/>
      <c r="W4" s="290"/>
      <c r="X4" s="290"/>
      <c r="Y4" s="290"/>
      <c r="Z4" s="290"/>
      <c r="AA4" s="290"/>
      <c r="AB4" s="290"/>
      <c r="AC4" s="290"/>
      <c r="AD4" s="290"/>
      <c r="AE4" s="290"/>
      <c r="AF4" s="290"/>
      <c r="AG4" s="290"/>
      <c r="AH4" s="290"/>
      <c r="AI4" s="290"/>
      <c r="AJ4" s="290"/>
      <c r="AK4" s="290"/>
      <c r="AL4" s="290"/>
      <c r="AM4" s="290"/>
      <c r="AN4" s="290"/>
      <c r="AO4" s="290"/>
      <c r="AP4" s="290"/>
      <c r="AQ4" s="290"/>
      <c r="AR4" s="290"/>
      <c r="AS4" s="290"/>
      <c r="AT4" s="290"/>
    </row>
    <row r="5" spans="1:46" ht="15.5" x14ac:dyDescent="0.35">
      <c r="A5" s="169" t="str">
        <f>'Lembar Kerja'!A5</f>
        <v>Model/Tipe</v>
      </c>
      <c r="B5" s="170"/>
      <c r="C5" s="171"/>
      <c r="D5" s="172" t="s">
        <v>23</v>
      </c>
      <c r="E5" s="174" t="s">
        <v>100</v>
      </c>
      <c r="F5" s="173"/>
      <c r="G5" s="173"/>
      <c r="H5" s="173"/>
      <c r="I5" s="173"/>
      <c r="J5" s="171"/>
      <c r="K5" s="171"/>
      <c r="L5" s="171"/>
      <c r="M5" s="171"/>
      <c r="N5" s="171"/>
      <c r="O5" s="168"/>
      <c r="P5" s="813" t="s">
        <v>374</v>
      </c>
      <c r="Q5" s="814" t="s">
        <v>375</v>
      </c>
      <c r="R5" s="290"/>
      <c r="S5" s="290"/>
      <c r="T5" s="290"/>
      <c r="U5" s="290"/>
      <c r="V5" s="290"/>
      <c r="W5" s="290"/>
      <c r="X5" s="290"/>
      <c r="Y5" s="290"/>
      <c r="Z5" s="290"/>
      <c r="AA5" s="290"/>
      <c r="AB5" s="290"/>
      <c r="AC5" s="290"/>
      <c r="AD5" s="290"/>
      <c r="AE5" s="290"/>
      <c r="AF5" s="290"/>
      <c r="AG5" s="290"/>
      <c r="AH5" s="290"/>
      <c r="AI5" s="290"/>
      <c r="AJ5" s="290"/>
      <c r="AK5" s="290"/>
      <c r="AL5" s="290"/>
      <c r="AM5" s="290"/>
      <c r="AN5" s="290"/>
      <c r="AO5" s="290"/>
      <c r="AP5" s="290"/>
      <c r="AQ5" s="290"/>
      <c r="AR5" s="290"/>
      <c r="AS5" s="290"/>
      <c r="AT5" s="290"/>
    </row>
    <row r="6" spans="1:46" ht="15.5" x14ac:dyDescent="0.35">
      <c r="A6" s="169" t="str">
        <f>'Lembar Kerja'!A6</f>
        <v>No. Seri</v>
      </c>
      <c r="B6" s="170"/>
      <c r="C6" s="171"/>
      <c r="D6" s="172" t="s">
        <v>23</v>
      </c>
      <c r="E6" s="174" t="s">
        <v>100</v>
      </c>
      <c r="F6" s="173"/>
      <c r="G6" s="173"/>
      <c r="H6" s="173"/>
      <c r="I6" s="173"/>
      <c r="J6" s="171"/>
      <c r="K6" s="171"/>
      <c r="L6" s="171"/>
      <c r="M6" s="171"/>
      <c r="N6" s="171"/>
      <c r="O6" s="168"/>
      <c r="P6" s="28" t="s">
        <v>376</v>
      </c>
      <c r="Q6" s="814" t="s">
        <v>377</v>
      </c>
      <c r="R6" s="290"/>
      <c r="S6" s="290"/>
      <c r="T6" s="290"/>
      <c r="U6" s="290"/>
      <c r="V6" s="290"/>
      <c r="W6" s="290"/>
      <c r="X6" s="290"/>
      <c r="Y6" s="290"/>
      <c r="Z6" s="290"/>
      <c r="AA6" s="290"/>
      <c r="AB6" s="290"/>
      <c r="AC6" s="290"/>
      <c r="AD6" s="290"/>
      <c r="AE6" s="290"/>
      <c r="AF6" s="290"/>
      <c r="AG6" s="290"/>
      <c r="AH6" s="290"/>
      <c r="AI6" s="290"/>
      <c r="AJ6" s="290"/>
      <c r="AK6" s="290"/>
      <c r="AL6" s="290"/>
      <c r="AM6" s="290"/>
      <c r="AN6" s="290"/>
      <c r="AO6" s="290"/>
      <c r="AP6" s="290"/>
      <c r="AQ6" s="290"/>
      <c r="AR6" s="290"/>
      <c r="AS6" s="290"/>
      <c r="AT6" s="290"/>
    </row>
    <row r="7" spans="1:46" ht="15.5" x14ac:dyDescent="0.35">
      <c r="A7" s="169" t="str">
        <f>'Lembar Kerja'!A8</f>
        <v>Tanggal Penerimaan Alat</v>
      </c>
      <c r="B7" s="170"/>
      <c r="C7" s="171"/>
      <c r="D7" s="172" t="s">
        <v>23</v>
      </c>
      <c r="E7" s="1042">
        <v>43630</v>
      </c>
      <c r="F7" s="1042"/>
      <c r="G7" s="173"/>
      <c r="H7" s="173"/>
      <c r="I7" s="173"/>
      <c r="J7" s="171"/>
      <c r="K7" s="171"/>
      <c r="L7" s="171"/>
      <c r="M7" s="171"/>
      <c r="N7" s="171"/>
      <c r="O7" s="168"/>
      <c r="P7" s="168"/>
      <c r="Q7" s="289"/>
      <c r="R7" s="290"/>
      <c r="S7" s="290"/>
      <c r="T7" s="290"/>
      <c r="U7" s="290"/>
      <c r="V7" s="290"/>
      <c r="W7" s="290"/>
      <c r="X7" s="290"/>
      <c r="Y7" s="290"/>
      <c r="Z7" s="290"/>
      <c r="AA7" s="290"/>
      <c r="AB7" s="290"/>
      <c r="AC7" s="290"/>
      <c r="AD7" s="290"/>
      <c r="AE7" s="290"/>
      <c r="AF7" s="290"/>
      <c r="AG7" s="290"/>
      <c r="AH7" s="290"/>
      <c r="AI7" s="290"/>
      <c r="AJ7" s="290"/>
      <c r="AK7" s="290"/>
      <c r="AL7" s="290"/>
      <c r="AM7" s="290"/>
      <c r="AN7" s="290"/>
      <c r="AO7" s="290"/>
      <c r="AP7" s="290"/>
      <c r="AQ7" s="290"/>
      <c r="AR7" s="290"/>
      <c r="AS7" s="290"/>
      <c r="AT7" s="290"/>
    </row>
    <row r="8" spans="1:46" ht="15.5" x14ac:dyDescent="0.35">
      <c r="A8" s="169" t="str">
        <f>'Lembar Kerja'!A9</f>
        <v>Tanggal Kalibrasi</v>
      </c>
      <c r="B8" s="170"/>
      <c r="C8" s="170"/>
      <c r="D8" s="172" t="s">
        <v>23</v>
      </c>
      <c r="E8" s="353" t="s">
        <v>465</v>
      </c>
      <c r="F8" s="173"/>
      <c r="G8" s="175"/>
      <c r="H8" s="175"/>
      <c r="I8" s="175"/>
      <c r="J8" s="171"/>
      <c r="K8" s="171"/>
      <c r="L8" s="171"/>
      <c r="M8" s="171"/>
      <c r="N8" s="171"/>
      <c r="O8" s="168"/>
      <c r="P8" s="168"/>
      <c r="Q8" s="289"/>
      <c r="R8" s="290"/>
      <c r="S8" s="290"/>
      <c r="T8" s="290"/>
      <c r="U8" s="290"/>
      <c r="V8" s="290"/>
      <c r="W8" s="290"/>
      <c r="X8" s="290"/>
      <c r="Y8" s="290"/>
      <c r="Z8" s="290"/>
      <c r="AA8" s="290"/>
      <c r="AB8" s="290"/>
      <c r="AC8" s="290"/>
      <c r="AD8" s="290"/>
      <c r="AE8" s="290"/>
      <c r="AF8" s="290"/>
      <c r="AG8" s="290"/>
      <c r="AH8" s="290"/>
      <c r="AI8" s="290"/>
      <c r="AJ8" s="290"/>
      <c r="AK8" s="290"/>
      <c r="AL8" s="290"/>
      <c r="AM8" s="290"/>
      <c r="AN8" s="290"/>
      <c r="AO8" s="290"/>
      <c r="AP8" s="290"/>
      <c r="AQ8" s="290"/>
      <c r="AR8" s="290"/>
      <c r="AS8" s="290"/>
      <c r="AT8" s="290"/>
    </row>
    <row r="9" spans="1:46" ht="15.5" x14ac:dyDescent="0.35">
      <c r="A9" s="169" t="str">
        <f>'Lembar Kerja'!A10</f>
        <v>Tempat Kalibrasi</v>
      </c>
      <c r="B9" s="170"/>
      <c r="C9" s="171"/>
      <c r="D9" s="172" t="s">
        <v>23</v>
      </c>
      <c r="E9" s="283" t="s">
        <v>131</v>
      </c>
      <c r="F9" s="176"/>
      <c r="G9" s="175"/>
      <c r="H9" s="175"/>
      <c r="I9" s="175"/>
      <c r="J9" s="171"/>
      <c r="K9" s="171"/>
      <c r="L9" s="171"/>
      <c r="M9" s="171"/>
      <c r="N9" s="171"/>
      <c r="O9" s="168"/>
      <c r="P9" s="168"/>
      <c r="Q9" s="289"/>
      <c r="R9" s="290"/>
      <c r="S9" s="290"/>
      <c r="T9" s="290"/>
      <c r="U9" s="290"/>
      <c r="V9" s="290"/>
      <c r="W9" s="290"/>
      <c r="X9" s="290"/>
      <c r="Y9" s="290"/>
      <c r="Z9" s="290"/>
      <c r="AA9" s="290"/>
      <c r="AB9" s="290"/>
      <c r="AC9" s="290"/>
      <c r="AD9" s="290"/>
      <c r="AE9" s="290"/>
      <c r="AF9" s="290"/>
      <c r="AG9" s="290"/>
      <c r="AH9" s="290"/>
      <c r="AI9" s="290"/>
      <c r="AJ9" s="290"/>
      <c r="AK9" s="290"/>
      <c r="AL9" s="290"/>
      <c r="AM9" s="290"/>
      <c r="AN9" s="290"/>
      <c r="AO9" s="290"/>
      <c r="AP9" s="290"/>
      <c r="AQ9" s="290"/>
      <c r="AR9" s="290"/>
      <c r="AS9" s="290"/>
      <c r="AT9" s="290"/>
    </row>
    <row r="10" spans="1:46" ht="15.5" x14ac:dyDescent="0.35">
      <c r="A10" s="169" t="str">
        <f>'Lembar Kerja'!A11</f>
        <v>Nama Ruang</v>
      </c>
      <c r="B10" s="170"/>
      <c r="C10" s="171"/>
      <c r="D10" s="172" t="s">
        <v>23</v>
      </c>
      <c r="E10" s="173" t="s">
        <v>131</v>
      </c>
      <c r="F10" s="173"/>
      <c r="G10" s="173"/>
      <c r="H10" s="173"/>
      <c r="I10" s="173"/>
      <c r="J10" s="171"/>
      <c r="K10" s="171"/>
      <c r="L10" s="171"/>
      <c r="M10" s="171"/>
      <c r="N10" s="171"/>
      <c r="O10" s="168"/>
      <c r="P10" s="168"/>
      <c r="Q10" s="289"/>
      <c r="R10" s="290"/>
      <c r="S10" s="290"/>
      <c r="T10" s="290"/>
      <c r="U10" s="290"/>
      <c r="V10" s="290"/>
      <c r="W10" s="290"/>
      <c r="X10" s="290"/>
      <c r="Y10" s="290"/>
      <c r="Z10" s="290"/>
      <c r="AA10" s="290"/>
      <c r="AB10" s="290"/>
      <c r="AC10" s="290"/>
      <c r="AD10" s="290"/>
      <c r="AE10" s="290"/>
      <c r="AF10" s="290"/>
      <c r="AG10" s="290"/>
      <c r="AH10" s="290"/>
      <c r="AI10" s="290"/>
      <c r="AJ10" s="290"/>
      <c r="AK10" s="290"/>
      <c r="AL10" s="290"/>
      <c r="AM10" s="290"/>
      <c r="AN10" s="290"/>
      <c r="AO10" s="290"/>
      <c r="AP10" s="290"/>
      <c r="AQ10" s="290"/>
      <c r="AR10" s="290"/>
      <c r="AS10" s="290"/>
      <c r="AT10" s="290"/>
    </row>
    <row r="11" spans="1:46" ht="15.5" x14ac:dyDescent="0.35">
      <c r="A11" s="169" t="s">
        <v>132</v>
      </c>
      <c r="B11" s="170"/>
      <c r="C11" s="171"/>
      <c r="D11" s="172" t="s">
        <v>23</v>
      </c>
      <c r="E11" s="177" t="s">
        <v>133</v>
      </c>
      <c r="F11" s="178"/>
      <c r="G11" s="178"/>
      <c r="H11" s="178"/>
      <c r="I11" s="178"/>
      <c r="J11" s="171"/>
      <c r="K11" s="171"/>
      <c r="L11" s="171"/>
      <c r="M11" s="171"/>
      <c r="N11" s="171"/>
      <c r="O11" s="168"/>
      <c r="P11" s="168"/>
      <c r="Q11" s="289"/>
      <c r="R11" s="290"/>
      <c r="S11" s="290"/>
      <c r="T11" s="290"/>
      <c r="U11" s="290"/>
      <c r="V11" s="290"/>
      <c r="W11" s="290"/>
      <c r="X11" s="290"/>
      <c r="Y11" s="290"/>
      <c r="Z11" s="290"/>
      <c r="AA11" s="290"/>
      <c r="AB11" s="290"/>
      <c r="AC11" s="290"/>
      <c r="AD11" s="290"/>
      <c r="AE11" s="290"/>
      <c r="AF11" s="290"/>
      <c r="AG11" s="290"/>
      <c r="AH11" s="290"/>
      <c r="AI11" s="290"/>
      <c r="AJ11" s="290"/>
      <c r="AK11" s="290"/>
      <c r="AL11" s="290"/>
      <c r="AM11" s="290"/>
      <c r="AN11" s="290"/>
      <c r="AO11" s="290"/>
      <c r="AP11" s="290"/>
      <c r="AQ11" s="290"/>
      <c r="AR11" s="290"/>
      <c r="AS11" s="290"/>
      <c r="AT11" s="290"/>
    </row>
    <row r="12" spans="1:46" ht="6.75" customHeight="1" x14ac:dyDescent="0.35">
      <c r="A12" s="171"/>
      <c r="B12" s="171"/>
      <c r="C12" s="171"/>
      <c r="D12" s="171"/>
      <c r="E12" s="178"/>
      <c r="F12" s="171"/>
      <c r="G12" s="171"/>
      <c r="H12" s="171"/>
      <c r="I12" s="171"/>
      <c r="J12" s="171"/>
      <c r="K12" s="171"/>
      <c r="L12" s="171"/>
      <c r="M12" s="171"/>
      <c r="N12" s="171"/>
      <c r="O12" s="168"/>
      <c r="P12" s="168"/>
      <c r="Q12" s="289"/>
      <c r="R12" s="290"/>
      <c r="S12" s="290"/>
      <c r="T12" s="290"/>
      <c r="U12" s="290"/>
      <c r="V12" s="290"/>
      <c r="W12" s="290"/>
      <c r="X12" s="290"/>
      <c r="Y12" s="290"/>
      <c r="Z12" s="290"/>
      <c r="AA12" s="290"/>
      <c r="AB12" s="290"/>
      <c r="AC12" s="290"/>
      <c r="AD12" s="290"/>
      <c r="AE12" s="290"/>
      <c r="AF12" s="290"/>
      <c r="AG12" s="290"/>
      <c r="AH12" s="290"/>
      <c r="AI12" s="290"/>
      <c r="AJ12" s="290"/>
      <c r="AK12" s="290"/>
      <c r="AL12" s="290"/>
      <c r="AM12" s="290"/>
      <c r="AN12" s="290"/>
      <c r="AO12" s="290"/>
      <c r="AP12" s="290"/>
      <c r="AQ12" s="290"/>
      <c r="AR12" s="290"/>
      <c r="AS12" s="290"/>
      <c r="AT12" s="290"/>
    </row>
    <row r="13" spans="1:46" ht="15.5" x14ac:dyDescent="0.35">
      <c r="A13" s="179" t="s">
        <v>134</v>
      </c>
      <c r="B13" s="180" t="s">
        <v>15</v>
      </c>
      <c r="C13" s="171"/>
      <c r="D13" s="180"/>
      <c r="E13" s="312"/>
      <c r="F13" s="170"/>
      <c r="G13" s="171"/>
      <c r="H13" s="171"/>
      <c r="I13" s="171"/>
      <c r="J13" s="171"/>
      <c r="K13" s="180"/>
      <c r="L13" s="180"/>
      <c r="M13" s="180"/>
      <c r="N13" s="171"/>
      <c r="O13" s="816" t="s">
        <v>135</v>
      </c>
      <c r="P13" s="1060" t="s">
        <v>136</v>
      </c>
      <c r="Q13" s="1060"/>
      <c r="R13" s="290"/>
      <c r="S13" s="290"/>
      <c r="T13" s="290"/>
      <c r="U13" s="290"/>
      <c r="V13" s="290"/>
      <c r="W13" s="290"/>
      <c r="X13" s="290"/>
      <c r="Y13" s="290"/>
      <c r="Z13" s="290"/>
      <c r="AA13" s="290"/>
      <c r="AB13" s="290"/>
      <c r="AC13" s="290"/>
      <c r="AD13" s="290"/>
      <c r="AE13" s="290"/>
      <c r="AF13" s="290"/>
      <c r="AG13" s="290"/>
      <c r="AH13" s="290"/>
      <c r="AI13" s="290"/>
      <c r="AJ13" s="290"/>
      <c r="AK13" s="290"/>
      <c r="AL13" s="290"/>
      <c r="AM13" s="290"/>
      <c r="AN13" s="290"/>
      <c r="AO13" s="290"/>
      <c r="AP13" s="290"/>
      <c r="AQ13" s="290"/>
      <c r="AR13" s="290"/>
      <c r="AS13" s="290"/>
      <c r="AT13" s="290"/>
    </row>
    <row r="14" spans="1:46" ht="15.5" x14ac:dyDescent="0.35">
      <c r="A14" s="179"/>
      <c r="B14" s="180"/>
      <c r="C14" s="171"/>
      <c r="D14" s="180"/>
      <c r="E14" s="181" t="s">
        <v>16</v>
      </c>
      <c r="F14" s="281" t="s">
        <v>17</v>
      </c>
      <c r="G14" s="171"/>
      <c r="H14" s="171"/>
      <c r="I14" s="171"/>
      <c r="J14" s="171"/>
      <c r="K14" s="180"/>
      <c r="L14" s="180"/>
      <c r="M14" s="180"/>
      <c r="N14" s="171"/>
      <c r="O14" s="816"/>
      <c r="P14" s="816"/>
      <c r="Q14" s="816"/>
      <c r="R14" s="290"/>
      <c r="S14" s="290"/>
      <c r="T14" s="290"/>
      <c r="U14" s="290"/>
      <c r="V14" s="290"/>
      <c r="W14" s="290"/>
      <c r="X14" s="290"/>
      <c r="Y14" s="290"/>
      <c r="Z14" s="290"/>
      <c r="AA14" s="290"/>
      <c r="AB14" s="290"/>
      <c r="AC14" s="290"/>
      <c r="AD14" s="290"/>
      <c r="AE14" s="290"/>
      <c r="AF14" s="290"/>
      <c r="AG14" s="290"/>
      <c r="AH14" s="290"/>
      <c r="AI14" s="290"/>
      <c r="AJ14" s="290"/>
      <c r="AK14" s="290"/>
      <c r="AL14" s="290"/>
      <c r="AM14" s="290"/>
      <c r="AN14" s="290"/>
      <c r="AO14" s="290"/>
      <c r="AP14" s="290"/>
      <c r="AQ14" s="290"/>
      <c r="AR14" s="290"/>
      <c r="AS14" s="290"/>
      <c r="AT14" s="290"/>
    </row>
    <row r="15" spans="1:46" ht="17" x14ac:dyDescent="0.35">
      <c r="A15" s="171"/>
      <c r="B15" s="171" t="s">
        <v>137</v>
      </c>
      <c r="C15" s="171"/>
      <c r="D15" s="172" t="s">
        <v>23</v>
      </c>
      <c r="E15" s="832">
        <v>36.6</v>
      </c>
      <c r="F15" s="832">
        <v>36.700000000000003</v>
      </c>
      <c r="G15" s="171" t="s">
        <v>138</v>
      </c>
      <c r="H15" s="171"/>
      <c r="I15" s="171"/>
      <c r="J15" s="171"/>
      <c r="K15" s="817" t="s">
        <v>19</v>
      </c>
      <c r="L15" s="171"/>
      <c r="M15" s="171"/>
      <c r="N15" s="171"/>
      <c r="O15" s="818">
        <f>AVERAGE(E15:F15)</f>
        <v>36.650000000000006</v>
      </c>
      <c r="P15" s="819"/>
      <c r="Q15" s="819"/>
      <c r="R15" s="290"/>
      <c r="S15" s="290"/>
      <c r="T15" s="290"/>
      <c r="U15" s="290"/>
      <c r="V15" s="290"/>
      <c r="W15" s="290"/>
      <c r="X15" s="290"/>
      <c r="Y15" s="290"/>
      <c r="Z15" s="290"/>
      <c r="AA15" s="290"/>
      <c r="AB15" s="290"/>
      <c r="AC15" s="290"/>
      <c r="AD15" s="290"/>
      <c r="AE15" s="290"/>
      <c r="AF15" s="290"/>
      <c r="AG15" s="290"/>
      <c r="AH15" s="290"/>
      <c r="AI15" s="290"/>
      <c r="AJ15" s="290"/>
      <c r="AK15" s="290"/>
      <c r="AL15" s="290"/>
      <c r="AM15" s="290"/>
      <c r="AN15" s="290"/>
      <c r="AO15" s="290"/>
      <c r="AP15" s="290"/>
      <c r="AQ15" s="290"/>
      <c r="AR15" s="290"/>
      <c r="AS15" s="290"/>
      <c r="AT15" s="290"/>
    </row>
    <row r="16" spans="1:46" ht="15.5" x14ac:dyDescent="0.35">
      <c r="A16" s="171"/>
      <c r="B16" s="171" t="s">
        <v>139</v>
      </c>
      <c r="C16" s="171"/>
      <c r="D16" s="172" t="s">
        <v>23</v>
      </c>
      <c r="E16" s="832">
        <v>60</v>
      </c>
      <c r="F16" s="832">
        <v>59</v>
      </c>
      <c r="G16" s="171" t="s">
        <v>140</v>
      </c>
      <c r="H16" s="171"/>
      <c r="I16" s="171"/>
      <c r="J16" s="171"/>
      <c r="K16" s="171" t="s">
        <v>21</v>
      </c>
      <c r="L16" s="171"/>
      <c r="M16" s="171"/>
      <c r="N16" s="171"/>
      <c r="O16" s="818">
        <f>AVERAGE(E16:F16)</f>
        <v>59.5</v>
      </c>
      <c r="P16" s="819"/>
      <c r="Q16" s="819"/>
      <c r="R16" s="290"/>
      <c r="S16" s="290"/>
      <c r="T16" s="290"/>
      <c r="U16" s="290"/>
      <c r="V16" s="290"/>
      <c r="W16" s="290"/>
      <c r="X16" s="290"/>
      <c r="Y16" s="290"/>
      <c r="Z16" s="290"/>
      <c r="AA16" s="290"/>
      <c r="AB16" s="290"/>
      <c r="AC16" s="290"/>
      <c r="AD16" s="290"/>
      <c r="AE16" s="290"/>
      <c r="AF16" s="290"/>
      <c r="AG16" s="290"/>
      <c r="AH16" s="290"/>
      <c r="AI16" s="290"/>
      <c r="AJ16" s="290"/>
      <c r="AK16" s="290"/>
      <c r="AL16" s="290"/>
      <c r="AM16" s="290"/>
      <c r="AN16" s="290"/>
      <c r="AO16" s="290"/>
      <c r="AP16" s="290"/>
      <c r="AQ16" s="290"/>
      <c r="AR16" s="290"/>
      <c r="AS16" s="290"/>
      <c r="AT16" s="290"/>
    </row>
    <row r="17" spans="1:46" ht="15.5" x14ac:dyDescent="0.35">
      <c r="A17" s="171"/>
      <c r="B17" s="171" t="s">
        <v>141</v>
      </c>
      <c r="C17" s="171"/>
      <c r="D17" s="172" t="s">
        <v>23</v>
      </c>
      <c r="E17" s="832">
        <v>220.5</v>
      </c>
      <c r="F17" s="182" t="s">
        <v>24</v>
      </c>
      <c r="G17" s="820"/>
      <c r="H17" s="821"/>
      <c r="I17" s="821"/>
      <c r="J17" s="821"/>
      <c r="K17" s="171"/>
      <c r="L17" s="171"/>
      <c r="M17" s="171"/>
      <c r="N17" s="171"/>
      <c r="O17" s="168"/>
      <c r="P17" s="168"/>
      <c r="Q17" s="289"/>
      <c r="R17" s="290"/>
      <c r="S17" s="290"/>
      <c r="T17" s="290"/>
      <c r="U17" s="290"/>
      <c r="V17" s="290"/>
      <c r="W17" s="290"/>
      <c r="X17" s="290"/>
      <c r="Y17" s="290"/>
      <c r="Z17" s="290"/>
      <c r="AA17" s="290"/>
      <c r="AB17" s="290"/>
      <c r="AC17" s="290"/>
      <c r="AD17" s="290"/>
      <c r="AE17" s="290"/>
      <c r="AF17" s="290"/>
      <c r="AG17" s="290"/>
      <c r="AH17" s="290"/>
      <c r="AI17" s="290"/>
      <c r="AJ17" s="290"/>
      <c r="AK17" s="290"/>
      <c r="AL17" s="290"/>
      <c r="AM17" s="290"/>
      <c r="AN17" s="290"/>
      <c r="AO17" s="290"/>
      <c r="AP17" s="290"/>
      <c r="AQ17" s="290"/>
      <c r="AR17" s="290"/>
      <c r="AS17" s="290"/>
      <c r="AT17" s="290"/>
    </row>
    <row r="18" spans="1:46" ht="6" customHeight="1" x14ac:dyDescent="0.35">
      <c r="A18" s="171"/>
      <c r="B18" s="171"/>
      <c r="C18" s="171"/>
      <c r="D18" s="171"/>
      <c r="E18" s="178" t="s">
        <v>461</v>
      </c>
      <c r="F18" s="171"/>
      <c r="G18" s="171"/>
      <c r="H18" s="171"/>
      <c r="I18" s="171"/>
      <c r="J18" s="171"/>
      <c r="K18" s="171"/>
      <c r="L18" s="171"/>
      <c r="M18" s="171"/>
      <c r="N18" s="171"/>
      <c r="O18" s="168"/>
      <c r="P18" s="168"/>
      <c r="Q18" s="289"/>
      <c r="R18" s="290"/>
      <c r="S18" s="290"/>
      <c r="T18" s="290"/>
      <c r="U18" s="290"/>
      <c r="V18" s="290"/>
      <c r="W18" s="290"/>
      <c r="X18" s="290"/>
      <c r="Y18" s="290"/>
      <c r="Z18" s="290"/>
      <c r="AA18" s="290"/>
      <c r="AB18" s="290"/>
      <c r="AC18" s="290"/>
      <c r="AD18" s="290"/>
      <c r="AE18" s="290"/>
      <c r="AF18" s="290"/>
      <c r="AG18" s="290"/>
      <c r="AH18" s="290"/>
      <c r="AI18" s="290"/>
      <c r="AJ18" s="290"/>
      <c r="AK18" s="290"/>
      <c r="AL18" s="290"/>
      <c r="AM18" s="290"/>
      <c r="AN18" s="290"/>
      <c r="AO18" s="290"/>
      <c r="AP18" s="290"/>
      <c r="AQ18" s="290"/>
      <c r="AR18" s="290"/>
      <c r="AS18" s="290"/>
      <c r="AT18" s="290"/>
    </row>
    <row r="19" spans="1:46" ht="15.5" x14ac:dyDescent="0.35">
      <c r="A19" s="179" t="s">
        <v>142</v>
      </c>
      <c r="B19" s="180" t="s">
        <v>26</v>
      </c>
      <c r="C19" s="171"/>
      <c r="D19" s="180"/>
      <c r="E19" s="183"/>
      <c r="F19" s="180"/>
      <c r="G19" s="180"/>
      <c r="H19" s="180"/>
      <c r="I19" s="180"/>
      <c r="J19" s="180"/>
      <c r="K19" s="180"/>
      <c r="L19" s="171"/>
      <c r="M19" s="171"/>
      <c r="N19" s="171"/>
      <c r="O19" s="168"/>
      <c r="P19" s="168"/>
      <c r="Q19" s="289"/>
      <c r="R19" s="290"/>
      <c r="S19" s="290"/>
      <c r="T19" s="290"/>
      <c r="U19" s="290"/>
      <c r="V19" s="290"/>
      <c r="W19" s="290"/>
      <c r="X19" s="290"/>
      <c r="Y19" s="290"/>
      <c r="Z19" s="290"/>
      <c r="AA19" s="290"/>
      <c r="AB19" s="290"/>
      <c r="AC19" s="290"/>
      <c r="AD19" s="290"/>
      <c r="AE19" s="290"/>
      <c r="AF19" s="290"/>
      <c r="AG19" s="290"/>
      <c r="AH19" s="290"/>
      <c r="AI19" s="290"/>
      <c r="AJ19" s="290"/>
      <c r="AK19" s="290"/>
      <c r="AL19" s="290"/>
      <c r="AM19" s="290"/>
      <c r="AN19" s="290"/>
      <c r="AO19" s="290"/>
      <c r="AP19" s="290"/>
      <c r="AQ19" s="290"/>
      <c r="AR19" s="290"/>
      <c r="AS19" s="290"/>
      <c r="AT19" s="290"/>
    </row>
    <row r="20" spans="1:46" ht="15.5" x14ac:dyDescent="0.35">
      <c r="A20" s="171"/>
      <c r="B20" s="171" t="str">
        <f>'Lembar Kerja'!B20</f>
        <v>1. Fisik</v>
      </c>
      <c r="C20" s="171"/>
      <c r="D20" s="172" t="s">
        <v>23</v>
      </c>
      <c r="E20" s="283" t="s">
        <v>143</v>
      </c>
      <c r="F20" s="171"/>
      <c r="G20" s="171"/>
      <c r="H20" s="171"/>
      <c r="I20" s="171"/>
      <c r="J20" s="171"/>
      <c r="K20" s="171"/>
      <c r="L20" s="171"/>
      <c r="M20" s="171"/>
      <c r="N20" s="171"/>
      <c r="O20" s="168"/>
      <c r="P20" s="168"/>
      <c r="Q20" s="289"/>
      <c r="R20" s="290"/>
      <c r="S20" s="290"/>
      <c r="T20" s="290"/>
      <c r="U20" s="290"/>
      <c r="V20" s="290"/>
      <c r="W20" s="290"/>
      <c r="X20" s="290"/>
      <c r="Y20" s="290"/>
      <c r="Z20" s="290"/>
      <c r="AA20" s="290"/>
      <c r="AB20" s="290"/>
      <c r="AC20" s="290"/>
      <c r="AD20" s="290"/>
      <c r="AE20" s="290"/>
      <c r="AF20" s="290"/>
      <c r="AG20" s="290"/>
      <c r="AH20" s="290"/>
      <c r="AI20" s="290"/>
      <c r="AJ20" s="290"/>
      <c r="AK20" s="290"/>
      <c r="AL20" s="290"/>
      <c r="AM20" s="290"/>
      <c r="AN20" s="290"/>
      <c r="AO20" s="290"/>
      <c r="AP20" s="290"/>
      <c r="AQ20" s="290"/>
      <c r="AR20" s="290"/>
      <c r="AS20" s="290"/>
      <c r="AT20" s="290"/>
    </row>
    <row r="21" spans="1:46" ht="15.5" x14ac:dyDescent="0.35">
      <c r="A21" s="171"/>
      <c r="B21" s="171" t="str">
        <f>'Lembar Kerja'!B21</f>
        <v>2. Fungsi</v>
      </c>
      <c r="C21" s="171"/>
      <c r="D21" s="172" t="s">
        <v>23</v>
      </c>
      <c r="E21" s="283" t="s">
        <v>143</v>
      </c>
      <c r="F21" s="171"/>
      <c r="G21" s="171"/>
      <c r="H21" s="171"/>
      <c r="I21" s="171"/>
      <c r="J21" s="171"/>
      <c r="K21" s="171"/>
      <c r="L21" s="171"/>
      <c r="M21" s="171"/>
      <c r="N21" s="171"/>
      <c r="O21" s="168"/>
      <c r="P21" s="168"/>
      <c r="Q21" s="289"/>
      <c r="R21" s="290"/>
      <c r="S21" s="290"/>
      <c r="T21" s="290"/>
      <c r="U21" s="290"/>
      <c r="V21" s="290"/>
      <c r="W21" s="290"/>
      <c r="X21" s="290"/>
      <c r="Y21" s="290"/>
      <c r="Z21" s="290"/>
      <c r="AA21" s="290"/>
      <c r="AB21" s="290"/>
      <c r="AC21" s="290"/>
      <c r="AD21" s="290"/>
      <c r="AE21" s="290"/>
      <c r="AF21" s="290"/>
      <c r="AG21" s="290"/>
      <c r="AH21" s="290"/>
      <c r="AI21" s="290"/>
      <c r="AJ21" s="290"/>
      <c r="AK21" s="290"/>
      <c r="AL21" s="290"/>
      <c r="AM21" s="290"/>
      <c r="AN21" s="290"/>
      <c r="AO21" s="290"/>
      <c r="AP21" s="290"/>
      <c r="AQ21" s="290"/>
      <c r="AR21" s="290"/>
      <c r="AS21" s="290"/>
      <c r="AT21" s="290"/>
    </row>
    <row r="22" spans="1:46" s="1" customFormat="1" ht="8.25" customHeight="1" x14ac:dyDescent="0.35">
      <c r="A22" s="1059"/>
      <c r="B22" s="1059"/>
      <c r="C22" s="1059"/>
      <c r="D22" s="1059"/>
      <c r="E22" s="1059"/>
      <c r="F22" s="1059"/>
      <c r="G22" s="1059"/>
      <c r="H22" s="1059"/>
      <c r="I22" s="1059"/>
      <c r="J22" s="1059"/>
      <c r="K22" s="171"/>
      <c r="L22" s="171"/>
      <c r="M22" s="171"/>
      <c r="N22" s="171"/>
      <c r="O22" s="168"/>
      <c r="P22" s="168"/>
      <c r="Q22" s="289"/>
      <c r="R22" s="290"/>
      <c r="S22" s="290"/>
      <c r="T22" s="290"/>
      <c r="U22" s="290"/>
      <c r="V22" s="290"/>
      <c r="W22" s="290"/>
      <c r="X22" s="290"/>
      <c r="Y22" s="290"/>
      <c r="Z22" s="290"/>
      <c r="AA22" s="290"/>
      <c r="AB22" s="290"/>
      <c r="AC22" s="290"/>
      <c r="AD22" s="290"/>
      <c r="AE22" s="290"/>
      <c r="AF22" s="290"/>
      <c r="AG22" s="290"/>
      <c r="AH22" s="290"/>
      <c r="AI22" s="290"/>
      <c r="AJ22" s="290"/>
      <c r="AK22" s="290"/>
      <c r="AL22" s="290"/>
      <c r="AM22" s="290"/>
      <c r="AN22" s="290"/>
      <c r="AO22" s="290"/>
      <c r="AP22" s="290"/>
      <c r="AQ22" s="290"/>
      <c r="AR22" s="290"/>
      <c r="AS22" s="290"/>
      <c r="AT22" s="290"/>
    </row>
    <row r="23" spans="1:46" s="1" customFormat="1" ht="18" customHeight="1" x14ac:dyDescent="0.35">
      <c r="A23" s="179" t="s">
        <v>31</v>
      </c>
      <c r="B23" s="184" t="s">
        <v>32</v>
      </c>
      <c r="C23" s="169"/>
      <c r="D23" s="169"/>
      <c r="E23" s="169"/>
      <c r="F23" s="185"/>
      <c r="G23" s="186"/>
      <c r="H23" s="187"/>
      <c r="I23" s="187"/>
      <c r="J23" s="169"/>
      <c r="K23" s="169"/>
      <c r="L23" s="169"/>
      <c r="M23" s="171"/>
      <c r="N23" s="171"/>
      <c r="O23" s="168"/>
      <c r="P23" s="168"/>
      <c r="Q23" s="289"/>
      <c r="R23" s="290"/>
      <c r="S23" s="290"/>
      <c r="T23" s="290"/>
      <c r="U23" s="290"/>
      <c r="V23" s="290"/>
      <c r="W23" s="290"/>
      <c r="X23" s="290"/>
      <c r="Y23" s="290"/>
      <c r="Z23" s="290"/>
      <c r="AA23" s="290"/>
      <c r="AB23" s="290"/>
      <c r="AC23" s="290"/>
      <c r="AD23" s="290"/>
      <c r="AE23" s="290"/>
      <c r="AF23" s="290"/>
      <c r="AG23" s="290"/>
      <c r="AH23" s="290"/>
      <c r="AI23" s="290"/>
      <c r="AJ23" s="290"/>
      <c r="AK23" s="290"/>
      <c r="AL23" s="290"/>
      <c r="AM23" s="290"/>
      <c r="AN23" s="290"/>
      <c r="AO23" s="290"/>
      <c r="AP23" s="290"/>
      <c r="AQ23" s="290"/>
      <c r="AR23" s="290"/>
      <c r="AS23" s="290"/>
      <c r="AT23" s="290"/>
    </row>
    <row r="24" spans="1:46" s="1" customFormat="1" ht="16.5" customHeight="1" x14ac:dyDescent="0.35">
      <c r="A24" s="171"/>
      <c r="B24" s="1061" t="s">
        <v>33</v>
      </c>
      <c r="C24" s="1030" t="s">
        <v>34</v>
      </c>
      <c r="D24" s="1031"/>
      <c r="E24" s="1031"/>
      <c r="F24" s="1031"/>
      <c r="G24" s="1031"/>
      <c r="H24" s="1031"/>
      <c r="I24" s="1031"/>
      <c r="J24" s="1032"/>
      <c r="K24" s="1026" t="s">
        <v>35</v>
      </c>
      <c r="L24" s="1027"/>
      <c r="M24" s="188" t="s">
        <v>36</v>
      </c>
      <c r="N24" s="171"/>
      <c r="O24" s="168"/>
      <c r="P24" s="168"/>
      <c r="Q24" s="289"/>
      <c r="R24" s="290"/>
      <c r="S24" s="290"/>
      <c r="T24" s="290"/>
      <c r="U24" s="290"/>
      <c r="V24" s="290"/>
      <c r="W24" s="290"/>
      <c r="X24" s="290"/>
      <c r="Y24" s="290"/>
      <c r="Z24" s="290"/>
      <c r="AA24" s="290"/>
      <c r="AB24" s="290"/>
      <c r="AC24" s="290"/>
      <c r="AD24" s="290"/>
      <c r="AE24" s="290"/>
      <c r="AF24" s="290"/>
      <c r="AG24" s="290"/>
      <c r="AH24" s="290"/>
      <c r="AI24" s="290"/>
      <c r="AJ24" s="290"/>
      <c r="AK24" s="290"/>
      <c r="AL24" s="290"/>
      <c r="AM24" s="290"/>
      <c r="AN24" s="290"/>
      <c r="AO24" s="290"/>
      <c r="AP24" s="290"/>
      <c r="AQ24" s="290"/>
      <c r="AR24" s="290"/>
      <c r="AS24" s="290"/>
      <c r="AT24" s="290"/>
    </row>
    <row r="25" spans="1:46" s="1" customFormat="1" ht="15.75" customHeight="1" x14ac:dyDescent="0.35">
      <c r="A25" s="171"/>
      <c r="B25" s="1061"/>
      <c r="C25" s="1033"/>
      <c r="D25" s="1034"/>
      <c r="E25" s="1034"/>
      <c r="F25" s="1034"/>
      <c r="G25" s="1034"/>
      <c r="H25" s="1034"/>
      <c r="I25" s="1034"/>
      <c r="J25" s="1035"/>
      <c r="K25" s="1028"/>
      <c r="L25" s="1029"/>
      <c r="M25" s="189" t="s">
        <v>37</v>
      </c>
      <c r="N25" s="171"/>
      <c r="O25" s="168"/>
      <c r="P25" s="168"/>
      <c r="Q25" s="289"/>
      <c r="R25" s="290"/>
      <c r="S25" s="290"/>
      <c r="T25" s="290"/>
      <c r="U25" s="290"/>
      <c r="V25" s="290"/>
      <c r="W25" s="290"/>
      <c r="X25" s="290"/>
      <c r="Y25" s="290"/>
      <c r="Z25" s="290"/>
      <c r="AA25" s="290"/>
      <c r="AB25" s="290"/>
      <c r="AC25" s="290"/>
      <c r="AD25" s="290"/>
      <c r="AE25" s="290"/>
      <c r="AF25" s="290"/>
      <c r="AG25" s="290"/>
      <c r="AH25" s="290"/>
      <c r="AI25" s="290"/>
      <c r="AJ25" s="290"/>
      <c r="AK25" s="290"/>
      <c r="AL25" s="290"/>
      <c r="AM25" s="290"/>
      <c r="AN25" s="290"/>
      <c r="AO25" s="290"/>
      <c r="AP25" s="290"/>
      <c r="AQ25" s="290"/>
      <c r="AR25" s="290"/>
      <c r="AS25" s="290"/>
      <c r="AT25" s="290"/>
    </row>
    <row r="26" spans="1:46" s="1" customFormat="1" ht="15.75" customHeight="1" x14ac:dyDescent="0.35">
      <c r="A26" s="171"/>
      <c r="B26" s="279">
        <v>1</v>
      </c>
      <c r="C26" s="190" t="str">
        <f>'Lembar Kerja'!C26</f>
        <v>Resistansi isolasi</v>
      </c>
      <c r="D26" s="285"/>
      <c r="E26" s="285"/>
      <c r="F26" s="285"/>
      <c r="G26" s="285"/>
      <c r="H26" s="285"/>
      <c r="I26" s="285"/>
      <c r="J26" s="286"/>
      <c r="K26" s="832" t="s">
        <v>469</v>
      </c>
      <c r="L26" s="288" t="s">
        <v>39</v>
      </c>
      <c r="M26" s="44" t="s">
        <v>40</v>
      </c>
      <c r="N26" s="171"/>
      <c r="O26" s="168"/>
      <c r="P26" s="168"/>
      <c r="Q26" s="289"/>
      <c r="R26" s="290"/>
      <c r="S26" s="290"/>
      <c r="T26" s="290"/>
      <c r="U26" s="290"/>
      <c r="V26" s="290"/>
      <c r="W26" s="290"/>
      <c r="X26" s="290"/>
      <c r="Y26" s="290"/>
      <c r="Z26" s="290"/>
      <c r="AA26" s="290"/>
      <c r="AB26" s="290"/>
      <c r="AC26" s="290"/>
      <c r="AD26" s="290"/>
      <c r="AE26" s="290"/>
      <c r="AF26" s="290"/>
      <c r="AG26" s="290"/>
      <c r="AH26" s="290"/>
      <c r="AI26" s="290"/>
      <c r="AJ26" s="290"/>
      <c r="AK26" s="290"/>
      <c r="AL26" s="290"/>
      <c r="AM26" s="290"/>
      <c r="AN26" s="290"/>
      <c r="AO26" s="290"/>
      <c r="AP26" s="290"/>
      <c r="AQ26" s="290"/>
      <c r="AR26" s="290"/>
      <c r="AS26" s="290"/>
      <c r="AT26" s="290"/>
    </row>
    <row r="27" spans="1:46" s="1" customFormat="1" ht="15.75" customHeight="1" x14ac:dyDescent="0.35">
      <c r="A27" s="171"/>
      <c r="B27" s="279">
        <v>2</v>
      </c>
      <c r="C27" s="190" t="str">
        <f>'Lembar Kerja'!C27</f>
        <v>Resistansi Pembumian Protektif</v>
      </c>
      <c r="D27" s="285"/>
      <c r="E27" s="285"/>
      <c r="F27" s="285"/>
      <c r="G27" s="285"/>
      <c r="H27" s="285"/>
      <c r="I27" s="285"/>
      <c r="J27" s="286"/>
      <c r="K27" s="1390">
        <v>0.123</v>
      </c>
      <c r="L27" s="288" t="s">
        <v>42</v>
      </c>
      <c r="M27" s="45" t="s">
        <v>43</v>
      </c>
      <c r="N27" s="171"/>
      <c r="O27" s="168"/>
      <c r="P27" s="168"/>
      <c r="Q27" s="289"/>
      <c r="R27" s="290"/>
      <c r="S27" s="290"/>
      <c r="T27" s="290"/>
      <c r="U27" s="290"/>
      <c r="V27" s="290"/>
      <c r="W27" s="290"/>
      <c r="X27" s="290"/>
      <c r="Y27" s="290"/>
      <c r="Z27" s="290"/>
      <c r="AA27" s="290"/>
      <c r="AB27" s="290"/>
      <c r="AC27" s="290"/>
      <c r="AD27" s="290"/>
      <c r="AE27" s="290"/>
      <c r="AF27" s="290"/>
      <c r="AG27" s="290"/>
      <c r="AH27" s="290"/>
      <c r="AI27" s="290"/>
      <c r="AJ27" s="290"/>
      <c r="AK27" s="290"/>
      <c r="AL27" s="290"/>
      <c r="AM27" s="290"/>
      <c r="AN27" s="290"/>
      <c r="AO27" s="290"/>
      <c r="AP27" s="290"/>
      <c r="AQ27" s="290"/>
      <c r="AR27" s="290"/>
      <c r="AS27" s="290"/>
      <c r="AT27" s="290"/>
    </row>
    <row r="28" spans="1:46" s="1" customFormat="1" ht="15.75" customHeight="1" x14ac:dyDescent="0.35">
      <c r="A28" s="171"/>
      <c r="B28" s="279">
        <v>3</v>
      </c>
      <c r="C28" s="1040" t="s">
        <v>466</v>
      </c>
      <c r="D28" s="1041"/>
      <c r="E28" s="1041"/>
      <c r="F28" s="1041"/>
      <c r="G28" s="1041"/>
      <c r="H28" s="1041"/>
      <c r="I28" s="285"/>
      <c r="J28" s="286"/>
      <c r="K28" s="832">
        <v>120</v>
      </c>
      <c r="L28" s="288" t="s">
        <v>45</v>
      </c>
      <c r="M28" s="45" t="str">
        <f>VLOOKUP(C28,cetik!I1:J2,2,TRUE)</f>
        <v>≤ 100 µA</v>
      </c>
      <c r="N28" s="171"/>
      <c r="O28" s="168"/>
      <c r="P28" s="289" t="s">
        <v>466</v>
      </c>
      <c r="Q28" s="289">
        <v>500</v>
      </c>
      <c r="R28" s="290"/>
      <c r="S28" s="290"/>
      <c r="T28" s="290"/>
      <c r="U28" s="290"/>
      <c r="V28" s="290"/>
      <c r="W28" s="290"/>
      <c r="X28" s="290"/>
      <c r="Y28" s="290"/>
      <c r="Z28" s="290"/>
      <c r="AA28" s="290"/>
      <c r="AB28" s="290"/>
      <c r="AC28" s="290"/>
      <c r="AD28" s="290"/>
      <c r="AE28" s="290"/>
      <c r="AF28" s="290"/>
      <c r="AG28" s="290"/>
      <c r="AH28" s="290"/>
      <c r="AI28" s="290"/>
      <c r="AJ28" s="290"/>
      <c r="AK28" s="290"/>
      <c r="AL28" s="290"/>
      <c r="AM28" s="290"/>
      <c r="AN28" s="290"/>
      <c r="AO28" s="290"/>
      <c r="AP28" s="290"/>
      <c r="AQ28" s="290"/>
      <c r="AR28" s="290"/>
      <c r="AS28" s="290"/>
      <c r="AT28" s="290"/>
    </row>
    <row r="29" spans="1:46" s="1" customFormat="1" ht="15.75" customHeight="1" x14ac:dyDescent="0.35">
      <c r="A29" s="171"/>
      <c r="B29" s="191"/>
      <c r="C29" s="169"/>
      <c r="D29" s="284"/>
      <c r="E29" s="284"/>
      <c r="F29" s="284"/>
      <c r="G29" s="284"/>
      <c r="H29" s="284"/>
      <c r="I29" s="284"/>
      <c r="J29" s="284"/>
      <c r="K29" s="822"/>
      <c r="L29" s="192"/>
      <c r="M29" s="191"/>
      <c r="N29" s="171"/>
      <c r="O29" s="168"/>
      <c r="P29" s="289" t="s">
        <v>467</v>
      </c>
      <c r="Q29" s="289">
        <v>100</v>
      </c>
      <c r="R29" s="290"/>
      <c r="S29" s="290"/>
      <c r="T29" s="290"/>
      <c r="U29" s="290"/>
      <c r="V29" s="290"/>
      <c r="W29" s="290"/>
      <c r="X29" s="290"/>
      <c r="Y29" s="290"/>
      <c r="Z29" s="290"/>
      <c r="AA29" s="290"/>
      <c r="AB29" s="290"/>
      <c r="AC29" s="290"/>
      <c r="AD29" s="290"/>
      <c r="AE29" s="290"/>
      <c r="AF29" s="290"/>
      <c r="AG29" s="290"/>
      <c r="AH29" s="290"/>
      <c r="AI29" s="290"/>
      <c r="AJ29" s="290"/>
      <c r="AK29" s="290"/>
      <c r="AL29" s="290"/>
      <c r="AM29" s="290"/>
      <c r="AN29" s="290"/>
      <c r="AO29" s="290"/>
      <c r="AP29" s="290"/>
      <c r="AQ29" s="290"/>
      <c r="AR29" s="290"/>
      <c r="AS29" s="290"/>
      <c r="AT29" s="290"/>
    </row>
    <row r="30" spans="1:46" ht="15.5" x14ac:dyDescent="0.35">
      <c r="A30" s="179" t="s">
        <v>49</v>
      </c>
      <c r="B30" s="180" t="s">
        <v>145</v>
      </c>
      <c r="C30" s="171"/>
      <c r="D30" s="171"/>
      <c r="E30" s="178"/>
      <c r="F30" s="171"/>
      <c r="G30" s="171"/>
      <c r="H30" s="171"/>
      <c r="I30" s="171"/>
      <c r="J30" s="171"/>
      <c r="K30" s="171"/>
      <c r="L30" s="171"/>
      <c r="M30" s="171"/>
      <c r="N30" s="171"/>
      <c r="O30" s="291"/>
      <c r="P30" s="168">
        <f>VLOOKUP(C28,P28:Q29,2,0)</f>
        <v>500</v>
      </c>
      <c r="Q30" s="289"/>
      <c r="R30" s="290"/>
      <c r="S30" s="290"/>
      <c r="T30" s="290"/>
      <c r="U30" s="290"/>
      <c r="V30" s="290"/>
      <c r="W30" s="290"/>
      <c r="X30" s="290"/>
      <c r="Y30" s="290"/>
      <c r="Z30" s="290"/>
      <c r="AA30" s="290"/>
      <c r="AB30" s="290"/>
      <c r="AC30" s="290"/>
      <c r="AD30" s="290"/>
      <c r="AE30" s="290"/>
      <c r="AF30" s="290"/>
      <c r="AG30" s="290"/>
      <c r="AH30" s="290"/>
      <c r="AI30" s="290"/>
      <c r="AJ30" s="290"/>
      <c r="AK30" s="290"/>
      <c r="AL30" s="290"/>
      <c r="AM30" s="290"/>
      <c r="AN30" s="290"/>
      <c r="AO30" s="290"/>
      <c r="AP30" s="290"/>
      <c r="AQ30" s="290"/>
      <c r="AR30" s="290"/>
      <c r="AS30" s="290"/>
      <c r="AT30" s="290"/>
    </row>
    <row r="31" spans="1:46" ht="15.5" x14ac:dyDescent="0.35">
      <c r="A31" s="179"/>
      <c r="B31" s="180" t="s">
        <v>146</v>
      </c>
      <c r="C31" s="171"/>
      <c r="D31" s="171"/>
      <c r="E31" s="178"/>
      <c r="F31" s="171"/>
      <c r="G31" s="171"/>
      <c r="H31" s="171"/>
      <c r="I31" s="171"/>
      <c r="J31" s="171"/>
      <c r="K31" s="171"/>
      <c r="L31" s="171"/>
      <c r="M31" s="171"/>
      <c r="N31" s="171"/>
      <c r="O31" s="291"/>
      <c r="P31" s="168"/>
      <c r="Q31" s="289"/>
      <c r="R31" s="290"/>
      <c r="S31" s="290"/>
      <c r="T31" s="290"/>
      <c r="U31" s="290"/>
      <c r="V31" s="290"/>
      <c r="W31" s="290"/>
      <c r="X31" s="290"/>
      <c r="Y31" s="290"/>
      <c r="Z31" s="290"/>
      <c r="AA31" s="290"/>
      <c r="AB31" s="290"/>
      <c r="AC31" s="290"/>
      <c r="AD31" s="290"/>
      <c r="AE31" s="290"/>
      <c r="AF31" s="290"/>
      <c r="AG31" s="290"/>
      <c r="AH31" s="290"/>
      <c r="AI31" s="290"/>
      <c r="AJ31" s="290"/>
      <c r="AK31" s="290"/>
      <c r="AL31" s="290"/>
      <c r="AM31" s="290"/>
      <c r="AN31" s="290"/>
      <c r="AO31" s="290"/>
      <c r="AP31" s="290"/>
      <c r="AQ31" s="290"/>
      <c r="AR31" s="290"/>
      <c r="AS31" s="290"/>
      <c r="AT31" s="290"/>
    </row>
    <row r="32" spans="1:46" ht="18.75" customHeight="1" x14ac:dyDescent="0.35">
      <c r="A32" s="171"/>
      <c r="B32" s="1039" t="s">
        <v>33</v>
      </c>
      <c r="C32" s="1055" t="s">
        <v>34</v>
      </c>
      <c r="D32" s="1055" t="s">
        <v>51</v>
      </c>
      <c r="E32" s="1036" t="s">
        <v>147</v>
      </c>
      <c r="F32" s="1037"/>
      <c r="G32" s="1037"/>
      <c r="H32" s="1037"/>
      <c r="I32" s="1037"/>
      <c r="J32" s="1038"/>
      <c r="K32" s="280"/>
      <c r="L32" s="823"/>
      <c r="M32" s="823"/>
      <c r="N32" s="823"/>
      <c r="O32" s="824"/>
      <c r="P32" s="825" t="s">
        <v>148</v>
      </c>
      <c r="Q32" s="297">
        <v>0</v>
      </c>
      <c r="R32" s="298"/>
      <c r="S32" s="290"/>
      <c r="T32" s="290"/>
      <c r="U32" s="290"/>
      <c r="V32" s="290"/>
      <c r="W32" s="290"/>
      <c r="X32" s="290"/>
      <c r="Y32" s="290"/>
      <c r="Z32" s="290"/>
      <c r="AA32" s="290"/>
      <c r="AB32" s="290"/>
      <c r="AC32" s="290"/>
      <c r="AD32" s="290"/>
      <c r="AE32" s="290"/>
      <c r="AF32" s="290"/>
      <c r="AG32" s="290"/>
      <c r="AH32" s="290"/>
      <c r="AI32" s="290"/>
      <c r="AJ32" s="290"/>
      <c r="AK32" s="290"/>
      <c r="AL32" s="290"/>
      <c r="AM32" s="290"/>
      <c r="AN32" s="290"/>
      <c r="AO32" s="290"/>
      <c r="AP32" s="290"/>
      <c r="AQ32" s="290"/>
      <c r="AR32" s="290"/>
      <c r="AS32" s="290"/>
      <c r="AT32" s="290"/>
    </row>
    <row r="33" spans="1:46" ht="32.25" customHeight="1" x14ac:dyDescent="0.35">
      <c r="A33" s="171"/>
      <c r="B33" s="1039"/>
      <c r="C33" s="1057"/>
      <c r="D33" s="1057"/>
      <c r="E33" s="288" t="s">
        <v>54</v>
      </c>
      <c r="F33" s="193" t="s">
        <v>55</v>
      </c>
      <c r="G33" s="287" t="s">
        <v>56</v>
      </c>
      <c r="H33" s="193" t="s">
        <v>57</v>
      </c>
      <c r="I33" s="193" t="s">
        <v>58</v>
      </c>
      <c r="J33" s="193" t="s">
        <v>59</v>
      </c>
      <c r="K33" s="191"/>
      <c r="L33" s="823"/>
      <c r="M33" s="823"/>
      <c r="N33" s="823"/>
      <c r="O33" s="826"/>
      <c r="P33" s="826"/>
      <c r="Q33" s="299"/>
      <c r="R33" s="300"/>
      <c r="S33" s="290"/>
      <c r="T33" s="290"/>
      <c r="U33" s="290"/>
      <c r="V33" s="290"/>
      <c r="W33" s="290"/>
      <c r="X33" s="290"/>
      <c r="Y33" s="290"/>
      <c r="Z33" s="290"/>
      <c r="AA33" s="290"/>
      <c r="AB33" s="290"/>
      <c r="AC33" s="290"/>
      <c r="AD33" s="290"/>
      <c r="AE33" s="290"/>
      <c r="AF33" s="290"/>
      <c r="AG33" s="290"/>
      <c r="AH33" s="290"/>
      <c r="AI33" s="290"/>
      <c r="AJ33" s="290"/>
      <c r="AK33" s="290"/>
      <c r="AL33" s="290"/>
      <c r="AM33" s="290"/>
      <c r="AN33" s="290"/>
      <c r="AO33" s="290"/>
      <c r="AP33" s="290"/>
      <c r="AQ33" s="290"/>
      <c r="AR33" s="290"/>
      <c r="AS33" s="290"/>
      <c r="AT33" s="290"/>
    </row>
    <row r="34" spans="1:46" ht="15" customHeight="1" x14ac:dyDescent="0.35">
      <c r="A34" s="171"/>
      <c r="B34" s="194" t="s">
        <v>149</v>
      </c>
      <c r="C34" s="1055" t="str">
        <f>'Lembar Kerja'!C34</f>
        <v>Saturasi O₂ (%)</v>
      </c>
      <c r="D34" s="337">
        <v>100</v>
      </c>
      <c r="E34" s="833">
        <v>99</v>
      </c>
      <c r="F34" s="833">
        <v>99</v>
      </c>
      <c r="G34" s="833">
        <v>99</v>
      </c>
      <c r="H34" s="833">
        <v>99</v>
      </c>
      <c r="I34" s="833">
        <v>99</v>
      </c>
      <c r="J34" s="833">
        <v>99</v>
      </c>
      <c r="K34" s="191"/>
      <c r="L34" s="823"/>
      <c r="M34" s="823"/>
      <c r="N34" s="823"/>
      <c r="O34" s="826"/>
      <c r="P34" s="826"/>
      <c r="Q34" s="299"/>
      <c r="R34" s="300"/>
      <c r="S34" s="290"/>
      <c r="T34" s="290"/>
      <c r="U34" s="290"/>
      <c r="V34" s="290"/>
      <c r="W34" s="290"/>
      <c r="X34" s="290"/>
      <c r="Y34" s="290"/>
      <c r="Z34" s="290"/>
      <c r="AA34" s="290"/>
      <c r="AB34" s="290"/>
      <c r="AC34" s="290"/>
      <c r="AD34" s="290"/>
      <c r="AE34" s="290"/>
      <c r="AF34" s="290"/>
      <c r="AG34" s="290"/>
      <c r="AH34" s="290"/>
      <c r="AI34" s="290"/>
      <c r="AJ34" s="290"/>
      <c r="AK34" s="290"/>
      <c r="AL34" s="290"/>
      <c r="AM34" s="290"/>
      <c r="AN34" s="290"/>
      <c r="AO34" s="290"/>
      <c r="AP34" s="290"/>
      <c r="AQ34" s="290"/>
      <c r="AR34" s="290"/>
      <c r="AS34" s="290"/>
      <c r="AT34" s="290"/>
    </row>
    <row r="35" spans="1:46" ht="15" customHeight="1" x14ac:dyDescent="0.35">
      <c r="A35" s="171"/>
      <c r="B35" s="194" t="s">
        <v>64</v>
      </c>
      <c r="C35" s="1056"/>
      <c r="D35" s="337">
        <v>99</v>
      </c>
      <c r="E35" s="834">
        <v>99</v>
      </c>
      <c r="F35" s="834">
        <v>99</v>
      </c>
      <c r="G35" s="834">
        <v>99</v>
      </c>
      <c r="H35" s="834">
        <v>99</v>
      </c>
      <c r="I35" s="834">
        <v>99</v>
      </c>
      <c r="J35" s="834">
        <v>99</v>
      </c>
      <c r="K35" s="280"/>
      <c r="L35" s="823"/>
      <c r="M35" s="823"/>
      <c r="N35" s="823"/>
      <c r="O35" s="827"/>
      <c r="P35" s="827"/>
      <c r="Q35" s="299"/>
      <c r="R35" s="300"/>
      <c r="S35" s="290"/>
      <c r="T35" s="290"/>
      <c r="U35" s="290"/>
      <c r="V35" s="290"/>
      <c r="W35" s="290"/>
      <c r="X35" s="290"/>
      <c r="Y35" s="290"/>
      <c r="Z35" s="290"/>
      <c r="AA35" s="290"/>
      <c r="AB35" s="290"/>
      <c r="AC35" s="290"/>
      <c r="AD35" s="290"/>
      <c r="AE35" s="290"/>
      <c r="AF35" s="290"/>
      <c r="AG35" s="290"/>
      <c r="AH35" s="290"/>
      <c r="AI35" s="290"/>
      <c r="AJ35" s="290"/>
      <c r="AK35" s="290"/>
      <c r="AL35" s="290"/>
      <c r="AM35" s="290"/>
      <c r="AN35" s="290"/>
      <c r="AO35" s="290"/>
      <c r="AP35" s="290"/>
      <c r="AQ35" s="290"/>
      <c r="AR35" s="290"/>
      <c r="AS35" s="290"/>
      <c r="AT35" s="290"/>
    </row>
    <row r="36" spans="1:46" ht="15" customHeight="1" x14ac:dyDescent="0.35">
      <c r="A36" s="171"/>
      <c r="B36" s="194" t="s">
        <v>65</v>
      </c>
      <c r="C36" s="1056"/>
      <c r="D36" s="195">
        <v>98</v>
      </c>
      <c r="E36" s="835">
        <v>98</v>
      </c>
      <c r="F36" s="835">
        <v>98</v>
      </c>
      <c r="G36" s="835">
        <v>98</v>
      </c>
      <c r="H36" s="835">
        <v>98</v>
      </c>
      <c r="I36" s="835">
        <v>98</v>
      </c>
      <c r="J36" s="835">
        <v>98</v>
      </c>
      <c r="K36" s="196"/>
      <c r="L36" s="823"/>
      <c r="M36" s="823"/>
      <c r="N36" s="823"/>
      <c r="O36" s="827"/>
      <c r="P36" s="827"/>
      <c r="Q36" s="301"/>
      <c r="R36" s="302"/>
      <c r="S36" s="290"/>
      <c r="T36" s="290"/>
      <c r="U36" s="290"/>
      <c r="V36" s="290"/>
      <c r="W36" s="290"/>
      <c r="X36" s="290"/>
      <c r="Y36" s="290"/>
      <c r="Z36" s="290"/>
      <c r="AA36" s="290"/>
      <c r="AB36" s="290"/>
      <c r="AC36" s="290"/>
      <c r="AD36" s="290"/>
      <c r="AE36" s="290"/>
      <c r="AF36" s="290"/>
      <c r="AG36" s="290"/>
      <c r="AH36" s="290"/>
      <c r="AI36" s="290"/>
      <c r="AJ36" s="290"/>
      <c r="AK36" s="290"/>
      <c r="AL36" s="290"/>
      <c r="AM36" s="290"/>
      <c r="AN36" s="290"/>
      <c r="AO36" s="290"/>
      <c r="AP36" s="290"/>
      <c r="AQ36" s="290"/>
      <c r="AR36" s="290"/>
      <c r="AS36" s="290"/>
      <c r="AT36" s="290"/>
    </row>
    <row r="37" spans="1:46" ht="15" customHeight="1" x14ac:dyDescent="0.35">
      <c r="A37" s="171"/>
      <c r="B37" s="194" t="s">
        <v>66</v>
      </c>
      <c r="C37" s="1056"/>
      <c r="D37" s="195">
        <v>97</v>
      </c>
      <c r="E37" s="835">
        <v>97</v>
      </c>
      <c r="F37" s="835">
        <v>97</v>
      </c>
      <c r="G37" s="835">
        <v>97</v>
      </c>
      <c r="H37" s="835">
        <v>97</v>
      </c>
      <c r="I37" s="835">
        <v>97</v>
      </c>
      <c r="J37" s="835">
        <v>97</v>
      </c>
      <c r="K37" s="196"/>
      <c r="L37" s="823"/>
      <c r="M37" s="823"/>
      <c r="N37" s="823"/>
      <c r="O37" s="827"/>
      <c r="P37" s="827"/>
      <c r="Q37" s="301"/>
      <c r="R37" s="302"/>
      <c r="S37" s="290"/>
      <c r="T37" s="290"/>
      <c r="U37" s="290"/>
      <c r="V37" s="290"/>
      <c r="W37" s="290"/>
      <c r="X37" s="290"/>
      <c r="Y37" s="290"/>
      <c r="Z37" s="290"/>
      <c r="AA37" s="290"/>
      <c r="AB37" s="290"/>
      <c r="AC37" s="290"/>
      <c r="AD37" s="290"/>
      <c r="AE37" s="290"/>
      <c r="AF37" s="290"/>
      <c r="AG37" s="290"/>
      <c r="AH37" s="290"/>
      <c r="AI37" s="290"/>
      <c r="AJ37" s="290"/>
      <c r="AK37" s="290"/>
      <c r="AL37" s="290"/>
      <c r="AM37" s="290"/>
      <c r="AN37" s="290"/>
      <c r="AO37" s="290"/>
      <c r="AP37" s="290"/>
      <c r="AQ37" s="290"/>
      <c r="AR37" s="290"/>
      <c r="AS37" s="290"/>
      <c r="AT37" s="290"/>
    </row>
    <row r="38" spans="1:46" ht="15" customHeight="1" x14ac:dyDescent="0.35">
      <c r="A38" s="171"/>
      <c r="B38" s="194" t="s">
        <v>67</v>
      </c>
      <c r="C38" s="1056"/>
      <c r="D38" s="195">
        <v>95</v>
      </c>
      <c r="E38" s="835">
        <v>95</v>
      </c>
      <c r="F38" s="835">
        <v>95</v>
      </c>
      <c r="G38" s="835">
        <v>95</v>
      </c>
      <c r="H38" s="835">
        <v>95</v>
      </c>
      <c r="I38" s="835">
        <v>95</v>
      </c>
      <c r="J38" s="835">
        <v>95</v>
      </c>
      <c r="K38" s="196"/>
      <c r="L38" s="823"/>
      <c r="M38" s="823"/>
      <c r="N38" s="823"/>
      <c r="O38" s="827"/>
      <c r="P38" s="827"/>
      <c r="Q38" s="301"/>
      <c r="R38" s="302"/>
      <c r="S38" s="290"/>
      <c r="T38" s="290"/>
      <c r="U38" s="290"/>
      <c r="V38" s="290"/>
      <c r="W38" s="290"/>
      <c r="X38" s="290"/>
      <c r="Y38" s="290"/>
      <c r="Z38" s="290"/>
      <c r="AA38" s="290"/>
      <c r="AB38" s="290"/>
      <c r="AC38" s="290"/>
      <c r="AD38" s="290"/>
      <c r="AE38" s="290"/>
      <c r="AF38" s="290"/>
      <c r="AG38" s="290"/>
      <c r="AH38" s="290"/>
      <c r="AI38" s="290"/>
      <c r="AJ38" s="290"/>
      <c r="AK38" s="290"/>
      <c r="AL38" s="290"/>
      <c r="AM38" s="290"/>
      <c r="AN38" s="290"/>
      <c r="AO38" s="290"/>
      <c r="AP38" s="290"/>
      <c r="AQ38" s="290"/>
      <c r="AR38" s="290"/>
      <c r="AS38" s="290"/>
      <c r="AT38" s="290"/>
    </row>
    <row r="39" spans="1:46" ht="15" customHeight="1" x14ac:dyDescent="0.35">
      <c r="A39" s="171"/>
      <c r="B39" s="194" t="s">
        <v>68</v>
      </c>
      <c r="C39" s="1056"/>
      <c r="D39" s="195">
        <v>90</v>
      </c>
      <c r="E39" s="835">
        <v>90</v>
      </c>
      <c r="F39" s="835">
        <v>90</v>
      </c>
      <c r="G39" s="835">
        <v>90</v>
      </c>
      <c r="H39" s="835">
        <v>90</v>
      </c>
      <c r="I39" s="835">
        <v>90</v>
      </c>
      <c r="J39" s="835">
        <v>90</v>
      </c>
      <c r="K39" s="196"/>
      <c r="L39" s="823"/>
      <c r="M39" s="823"/>
      <c r="N39" s="823"/>
      <c r="O39" s="827"/>
      <c r="P39" s="827"/>
      <c r="Q39" s="301"/>
      <c r="R39" s="302"/>
      <c r="S39" s="290"/>
      <c r="T39" s="290"/>
      <c r="U39" s="290"/>
      <c r="V39" s="290"/>
      <c r="W39" s="290"/>
      <c r="X39" s="290"/>
      <c r="Y39" s="290"/>
      <c r="Z39" s="290"/>
      <c r="AA39" s="290"/>
      <c r="AB39" s="290"/>
      <c r="AC39" s="290"/>
      <c r="AD39" s="290"/>
      <c r="AE39" s="290"/>
      <c r="AF39" s="290"/>
      <c r="AG39" s="290"/>
      <c r="AH39" s="290"/>
      <c r="AI39" s="290"/>
      <c r="AJ39" s="290"/>
      <c r="AK39" s="290"/>
      <c r="AL39" s="290"/>
      <c r="AM39" s="290"/>
      <c r="AN39" s="290"/>
      <c r="AO39" s="290"/>
      <c r="AP39" s="290"/>
      <c r="AQ39" s="290"/>
      <c r="AR39" s="290"/>
      <c r="AS39" s="290"/>
      <c r="AT39" s="290"/>
    </row>
    <row r="40" spans="1:46" ht="15" customHeight="1" x14ac:dyDescent="0.35">
      <c r="A40" s="171"/>
      <c r="B40" s="194" t="s">
        <v>69</v>
      </c>
      <c r="C40" s="1057"/>
      <c r="D40" s="195">
        <v>85</v>
      </c>
      <c r="E40" s="835">
        <v>85</v>
      </c>
      <c r="F40" s="835">
        <v>85</v>
      </c>
      <c r="G40" s="835">
        <v>85</v>
      </c>
      <c r="H40" s="835">
        <v>85</v>
      </c>
      <c r="I40" s="835">
        <v>85</v>
      </c>
      <c r="J40" s="835">
        <v>85</v>
      </c>
      <c r="K40" s="196"/>
      <c r="L40" s="823"/>
      <c r="M40" s="823"/>
      <c r="N40" s="823"/>
      <c r="O40" s="827"/>
      <c r="P40" s="827"/>
      <c r="Q40" s="301"/>
      <c r="R40" s="302"/>
      <c r="S40" s="290"/>
      <c r="T40" s="290"/>
      <c r="U40" s="290"/>
      <c r="V40" s="290"/>
      <c r="W40" s="290"/>
      <c r="X40" s="290"/>
      <c r="Y40" s="290"/>
      <c r="Z40" s="290"/>
      <c r="AA40" s="290"/>
      <c r="AB40" s="290"/>
      <c r="AC40" s="290"/>
      <c r="AD40" s="290"/>
      <c r="AE40" s="290"/>
      <c r="AF40" s="290"/>
      <c r="AG40" s="290"/>
      <c r="AH40" s="290"/>
      <c r="AI40" s="290"/>
      <c r="AJ40" s="290"/>
      <c r="AK40" s="290"/>
      <c r="AL40" s="290"/>
      <c r="AM40" s="290"/>
      <c r="AN40" s="290"/>
      <c r="AO40" s="290"/>
      <c r="AP40" s="290"/>
      <c r="AQ40" s="290"/>
      <c r="AR40" s="290"/>
      <c r="AS40" s="290"/>
      <c r="AT40" s="290"/>
    </row>
    <row r="41" spans="1:46" ht="15" customHeight="1" x14ac:dyDescent="0.35">
      <c r="A41" s="171"/>
      <c r="B41" s="197"/>
      <c r="C41" s="198"/>
      <c r="D41" s="196"/>
      <c r="E41" s="199"/>
      <c r="F41" s="199"/>
      <c r="G41" s="199"/>
      <c r="H41" s="199"/>
      <c r="I41" s="199"/>
      <c r="J41" s="199"/>
      <c r="K41" s="196"/>
      <c r="L41" s="823"/>
      <c r="M41" s="823"/>
      <c r="N41" s="823"/>
      <c r="O41" s="827"/>
      <c r="P41" s="827"/>
      <c r="Q41" s="301"/>
      <c r="R41" s="302"/>
      <c r="S41" s="290"/>
      <c r="T41" s="290"/>
      <c r="U41" s="290"/>
      <c r="V41" s="290"/>
      <c r="W41" s="290"/>
      <c r="X41" s="290"/>
      <c r="Y41" s="290"/>
      <c r="Z41" s="290"/>
      <c r="AA41" s="290"/>
      <c r="AB41" s="290"/>
      <c r="AC41" s="290"/>
      <c r="AD41" s="290"/>
      <c r="AE41" s="290"/>
      <c r="AF41" s="290"/>
      <c r="AG41" s="290"/>
      <c r="AH41" s="290"/>
      <c r="AI41" s="290"/>
      <c r="AJ41" s="290"/>
      <c r="AK41" s="290"/>
      <c r="AL41" s="290"/>
      <c r="AM41" s="290"/>
      <c r="AN41" s="290"/>
      <c r="AO41" s="290"/>
      <c r="AP41" s="290"/>
      <c r="AQ41" s="290"/>
      <c r="AR41" s="290"/>
      <c r="AS41" s="290"/>
      <c r="AT41" s="290"/>
    </row>
    <row r="42" spans="1:46" ht="17.25" customHeight="1" x14ac:dyDescent="0.35">
      <c r="A42" s="179"/>
      <c r="B42" s="180" t="s">
        <v>70</v>
      </c>
      <c r="C42" s="171"/>
      <c r="D42" s="196"/>
      <c r="E42" s="200"/>
      <c r="F42" s="196"/>
      <c r="G42" s="196"/>
      <c r="H42" s="196"/>
      <c r="I42" s="196"/>
      <c r="J42" s="196"/>
      <c r="K42" s="196"/>
      <c r="L42" s="823"/>
      <c r="M42" s="823"/>
      <c r="N42" s="823"/>
      <c r="O42" s="827"/>
      <c r="P42" s="827"/>
      <c r="Q42" s="301"/>
      <c r="R42" s="302"/>
      <c r="S42" s="290"/>
      <c r="T42" s="290"/>
      <c r="U42" s="290"/>
      <c r="V42" s="290"/>
      <c r="W42" s="290"/>
      <c r="X42" s="290"/>
      <c r="Y42" s="290"/>
      <c r="Z42" s="290"/>
      <c r="AA42" s="290"/>
      <c r="AB42" s="290"/>
      <c r="AC42" s="290"/>
      <c r="AD42" s="290"/>
      <c r="AE42" s="290"/>
      <c r="AF42" s="290"/>
      <c r="AG42" s="290"/>
      <c r="AH42" s="290"/>
      <c r="AI42" s="290"/>
      <c r="AJ42" s="290"/>
      <c r="AK42" s="290"/>
      <c r="AL42" s="290"/>
      <c r="AM42" s="290"/>
      <c r="AN42" s="290"/>
      <c r="AO42" s="290"/>
      <c r="AP42" s="290"/>
      <c r="AQ42" s="290"/>
      <c r="AR42" s="290"/>
      <c r="AS42" s="290"/>
      <c r="AT42" s="290"/>
    </row>
    <row r="43" spans="1:46" ht="16.5" customHeight="1" x14ac:dyDescent="0.35">
      <c r="A43" s="171"/>
      <c r="B43" s="1039" t="s">
        <v>33</v>
      </c>
      <c r="C43" s="1039" t="s">
        <v>34</v>
      </c>
      <c r="D43" s="1039" t="s">
        <v>51</v>
      </c>
      <c r="E43" s="1058" t="s">
        <v>147</v>
      </c>
      <c r="F43" s="1058"/>
      <c r="G43" s="1058"/>
      <c r="H43" s="1058"/>
      <c r="I43" s="1058"/>
      <c r="J43" s="1058"/>
      <c r="K43" s="196"/>
      <c r="L43" s="823"/>
      <c r="M43" s="823"/>
      <c r="N43" s="823"/>
      <c r="O43" s="827"/>
      <c r="P43" s="827"/>
      <c r="Q43" s="301"/>
      <c r="R43" s="302"/>
      <c r="S43" s="290"/>
      <c r="T43" s="290"/>
      <c r="U43" s="290"/>
      <c r="V43" s="290"/>
      <c r="W43" s="290"/>
      <c r="X43" s="290"/>
      <c r="Y43" s="290"/>
      <c r="Z43" s="290"/>
      <c r="AA43" s="290"/>
      <c r="AB43" s="290"/>
      <c r="AC43" s="290"/>
      <c r="AD43" s="290"/>
      <c r="AE43" s="290"/>
      <c r="AF43" s="290"/>
      <c r="AG43" s="290"/>
      <c r="AH43" s="290"/>
      <c r="AI43" s="290"/>
      <c r="AJ43" s="290"/>
      <c r="AK43" s="290"/>
      <c r="AL43" s="290"/>
      <c r="AM43" s="290"/>
      <c r="AN43" s="290"/>
      <c r="AO43" s="290"/>
      <c r="AP43" s="290"/>
      <c r="AQ43" s="290"/>
      <c r="AR43" s="290"/>
      <c r="AS43" s="290"/>
      <c r="AT43" s="290"/>
    </row>
    <row r="44" spans="1:46" ht="26.25" customHeight="1" x14ac:dyDescent="0.35">
      <c r="A44" s="171"/>
      <c r="B44" s="1039"/>
      <c r="C44" s="1039"/>
      <c r="D44" s="1039"/>
      <c r="E44" s="279" t="s">
        <v>54</v>
      </c>
      <c r="F44" s="279" t="s">
        <v>55</v>
      </c>
      <c r="G44" s="279" t="s">
        <v>56</v>
      </c>
      <c r="H44" s="279" t="s">
        <v>57</v>
      </c>
      <c r="I44" s="279" t="s">
        <v>58</v>
      </c>
      <c r="J44" s="282" t="s">
        <v>59</v>
      </c>
      <c r="K44" s="196"/>
      <c r="L44" s="823"/>
      <c r="M44" s="823"/>
      <c r="N44" s="823"/>
      <c r="O44" s="827"/>
      <c r="P44" s="827"/>
      <c r="Q44" s="301"/>
      <c r="R44" s="302"/>
      <c r="S44" s="290"/>
      <c r="T44" s="290"/>
      <c r="U44" s="290"/>
      <c r="V44" s="290"/>
      <c r="W44" s="290"/>
      <c r="X44" s="290"/>
      <c r="Y44" s="290"/>
      <c r="Z44" s="290"/>
      <c r="AA44" s="290"/>
      <c r="AB44" s="290"/>
      <c r="AC44" s="290"/>
      <c r="AD44" s="290"/>
      <c r="AE44" s="290"/>
      <c r="AF44" s="290"/>
      <c r="AG44" s="290"/>
      <c r="AH44" s="290"/>
      <c r="AI44" s="290"/>
      <c r="AJ44" s="290"/>
      <c r="AK44" s="290"/>
      <c r="AL44" s="290"/>
      <c r="AM44" s="290"/>
      <c r="AN44" s="290"/>
      <c r="AO44" s="290"/>
      <c r="AP44" s="290"/>
      <c r="AQ44" s="290"/>
      <c r="AR44" s="290"/>
      <c r="AS44" s="290"/>
      <c r="AT44" s="290"/>
    </row>
    <row r="45" spans="1:46" ht="15" customHeight="1" x14ac:dyDescent="0.35">
      <c r="A45" s="171"/>
      <c r="B45" s="194" t="s">
        <v>149</v>
      </c>
      <c r="C45" s="1039" t="s">
        <v>72</v>
      </c>
      <c r="D45" s="338">
        <v>30</v>
      </c>
      <c r="E45" s="836">
        <v>30</v>
      </c>
      <c r="F45" s="836">
        <v>30</v>
      </c>
      <c r="G45" s="836">
        <v>30</v>
      </c>
      <c r="H45" s="836">
        <v>30</v>
      </c>
      <c r="I45" s="836">
        <v>30</v>
      </c>
      <c r="J45" s="836">
        <v>30</v>
      </c>
      <c r="K45" s="196"/>
      <c r="L45" s="823"/>
      <c r="M45" s="823"/>
      <c r="N45" s="823"/>
      <c r="O45" s="827"/>
      <c r="P45" s="827"/>
      <c r="Q45" s="301"/>
      <c r="R45" s="302"/>
      <c r="S45" s="290"/>
      <c r="T45" s="290"/>
      <c r="U45" s="290"/>
      <c r="V45" s="290"/>
      <c r="W45" s="290"/>
      <c r="X45" s="290"/>
      <c r="Y45" s="290"/>
      <c r="Z45" s="290"/>
      <c r="AA45" s="290"/>
      <c r="AB45" s="290"/>
      <c r="AC45" s="290"/>
      <c r="AD45" s="290"/>
      <c r="AE45" s="290"/>
      <c r="AF45" s="290"/>
      <c r="AG45" s="290"/>
      <c r="AH45" s="290"/>
      <c r="AI45" s="290"/>
      <c r="AJ45" s="290"/>
      <c r="AK45" s="290"/>
      <c r="AL45" s="290"/>
      <c r="AM45" s="290"/>
      <c r="AN45" s="290"/>
      <c r="AO45" s="290"/>
      <c r="AP45" s="290"/>
      <c r="AQ45" s="290"/>
      <c r="AR45" s="290"/>
      <c r="AS45" s="290"/>
      <c r="AT45" s="290"/>
    </row>
    <row r="46" spans="1:46" ht="15" customHeight="1" x14ac:dyDescent="0.35">
      <c r="A46" s="171"/>
      <c r="B46" s="201" t="s">
        <v>64</v>
      </c>
      <c r="C46" s="1039"/>
      <c r="D46" s="202">
        <v>60</v>
      </c>
      <c r="E46" s="836">
        <v>60</v>
      </c>
      <c r="F46" s="836">
        <v>60</v>
      </c>
      <c r="G46" s="836">
        <v>60</v>
      </c>
      <c r="H46" s="836">
        <v>60</v>
      </c>
      <c r="I46" s="836">
        <v>60</v>
      </c>
      <c r="J46" s="836">
        <v>60</v>
      </c>
      <c r="K46" s="196"/>
      <c r="L46" s="823"/>
      <c r="M46" s="823"/>
      <c r="N46" s="823"/>
      <c r="O46" s="827"/>
      <c r="P46" s="827"/>
      <c r="Q46" s="301"/>
      <c r="R46" s="302"/>
      <c r="S46" s="290"/>
      <c r="T46" s="290"/>
      <c r="U46" s="290"/>
      <c r="V46" s="290"/>
      <c r="W46" s="290"/>
      <c r="X46" s="290"/>
      <c r="Y46" s="290"/>
      <c r="Z46" s="290"/>
      <c r="AA46" s="290"/>
      <c r="AB46" s="290"/>
      <c r="AC46" s="290"/>
      <c r="AD46" s="290"/>
      <c r="AE46" s="290"/>
      <c r="AF46" s="290"/>
      <c r="AG46" s="290"/>
      <c r="AH46" s="290"/>
      <c r="AI46" s="290"/>
      <c r="AJ46" s="290"/>
      <c r="AK46" s="290"/>
      <c r="AL46" s="290"/>
      <c r="AM46" s="290"/>
      <c r="AN46" s="290"/>
      <c r="AO46" s="290"/>
      <c r="AP46" s="290"/>
      <c r="AQ46" s="290"/>
      <c r="AR46" s="290"/>
      <c r="AS46" s="290"/>
      <c r="AT46" s="290"/>
    </row>
    <row r="47" spans="1:46" ht="15" customHeight="1" x14ac:dyDescent="0.35">
      <c r="A47" s="171"/>
      <c r="B47" s="201" t="s">
        <v>65</v>
      </c>
      <c r="C47" s="1039"/>
      <c r="D47" s="202">
        <v>120</v>
      </c>
      <c r="E47" s="837">
        <v>120</v>
      </c>
      <c r="F47" s="837">
        <v>120</v>
      </c>
      <c r="G47" s="837">
        <v>120</v>
      </c>
      <c r="H47" s="837">
        <v>120</v>
      </c>
      <c r="I47" s="837">
        <v>120</v>
      </c>
      <c r="J47" s="837">
        <v>120</v>
      </c>
      <c r="K47" s="196"/>
      <c r="L47" s="823"/>
      <c r="M47" s="823"/>
      <c r="N47" s="823"/>
      <c r="O47" s="827"/>
      <c r="P47" s="827"/>
      <c r="Q47" s="301"/>
      <c r="R47" s="302"/>
      <c r="S47" s="290"/>
      <c r="T47" s="290"/>
      <c r="U47" s="290"/>
      <c r="V47" s="290"/>
      <c r="W47" s="290"/>
      <c r="X47" s="290"/>
      <c r="Y47" s="290"/>
      <c r="Z47" s="290"/>
      <c r="AA47" s="290"/>
      <c r="AB47" s="290"/>
      <c r="AC47" s="290"/>
      <c r="AD47" s="290"/>
      <c r="AE47" s="290"/>
      <c r="AF47" s="290"/>
      <c r="AG47" s="290"/>
      <c r="AH47" s="290"/>
      <c r="AI47" s="290"/>
      <c r="AJ47" s="290"/>
      <c r="AK47" s="290"/>
      <c r="AL47" s="290"/>
      <c r="AM47" s="290"/>
      <c r="AN47" s="290"/>
      <c r="AO47" s="290"/>
      <c r="AP47" s="290"/>
      <c r="AQ47" s="290"/>
      <c r="AR47" s="290"/>
      <c r="AS47" s="290"/>
      <c r="AT47" s="290"/>
    </row>
    <row r="48" spans="1:46" ht="15" customHeight="1" x14ac:dyDescent="0.35">
      <c r="A48" s="171"/>
      <c r="B48" s="201" t="s">
        <v>66</v>
      </c>
      <c r="C48" s="1039"/>
      <c r="D48" s="202">
        <v>240</v>
      </c>
      <c r="E48" s="837">
        <v>240</v>
      </c>
      <c r="F48" s="837">
        <v>240</v>
      </c>
      <c r="G48" s="837">
        <v>240</v>
      </c>
      <c r="H48" s="837">
        <v>240</v>
      </c>
      <c r="I48" s="837">
        <v>240</v>
      </c>
      <c r="J48" s="837">
        <v>240</v>
      </c>
      <c r="K48" s="196"/>
      <c r="L48" s="823"/>
      <c r="M48" s="823"/>
      <c r="N48" s="823"/>
      <c r="O48" s="827"/>
      <c r="P48" s="827"/>
      <c r="Q48" s="301"/>
      <c r="R48" s="302"/>
      <c r="S48" s="290"/>
      <c r="T48" s="290"/>
      <c r="U48" s="290"/>
      <c r="V48" s="290"/>
      <c r="W48" s="290"/>
      <c r="X48" s="290"/>
      <c r="Y48" s="290"/>
      <c r="Z48" s="290"/>
      <c r="AA48" s="290"/>
      <c r="AB48" s="290"/>
      <c r="AC48" s="290"/>
      <c r="AD48" s="290"/>
      <c r="AE48" s="290"/>
      <c r="AF48" s="290"/>
      <c r="AG48" s="290"/>
      <c r="AH48" s="290"/>
      <c r="AI48" s="290"/>
      <c r="AJ48" s="290"/>
      <c r="AK48" s="290"/>
      <c r="AL48" s="290"/>
      <c r="AM48" s="290"/>
      <c r="AN48" s="290"/>
      <c r="AO48" s="290"/>
      <c r="AP48" s="290"/>
      <c r="AQ48" s="290"/>
      <c r="AR48" s="290"/>
      <c r="AS48" s="290"/>
      <c r="AT48" s="290"/>
    </row>
    <row r="49" spans="1:46" ht="15" customHeight="1" x14ac:dyDescent="0.35">
      <c r="A49" s="171"/>
      <c r="B49" s="198"/>
      <c r="C49" s="198"/>
      <c r="D49" s="196"/>
      <c r="E49" s="200"/>
      <c r="F49" s="196"/>
      <c r="G49" s="196"/>
      <c r="H49" s="196"/>
      <c r="I49" s="196"/>
      <c r="J49" s="196"/>
      <c r="K49" s="196"/>
      <c r="L49" s="823"/>
      <c r="M49" s="823"/>
      <c r="N49" s="823"/>
      <c r="O49" s="827"/>
      <c r="P49" s="827"/>
      <c r="Q49" s="301"/>
      <c r="R49" s="302"/>
      <c r="S49" s="290"/>
      <c r="T49" s="290"/>
      <c r="U49" s="290"/>
      <c r="V49" s="290"/>
      <c r="W49" s="290"/>
      <c r="X49" s="290"/>
      <c r="Y49" s="290"/>
      <c r="Z49" s="290"/>
      <c r="AA49" s="290"/>
      <c r="AB49" s="290"/>
      <c r="AC49" s="290"/>
      <c r="AD49" s="290"/>
      <c r="AE49" s="290"/>
      <c r="AF49" s="290"/>
      <c r="AG49" s="290"/>
      <c r="AH49" s="290"/>
      <c r="AI49" s="290"/>
      <c r="AJ49" s="290"/>
      <c r="AK49" s="290"/>
      <c r="AL49" s="290"/>
      <c r="AM49" s="290"/>
      <c r="AN49" s="290"/>
      <c r="AO49" s="290"/>
      <c r="AP49" s="290"/>
      <c r="AQ49" s="290"/>
      <c r="AR49" s="290"/>
      <c r="AS49" s="290"/>
      <c r="AT49" s="290"/>
    </row>
    <row r="50" spans="1:46" ht="13.5" customHeight="1" x14ac:dyDescent="0.35">
      <c r="A50" s="179" t="s">
        <v>74</v>
      </c>
      <c r="B50" s="180" t="s">
        <v>75</v>
      </c>
      <c r="C50" s="171"/>
      <c r="D50" s="171"/>
      <c r="E50" s="178"/>
      <c r="F50" s="171"/>
      <c r="G50" s="171"/>
      <c r="H50" s="171"/>
      <c r="I50" s="171"/>
      <c r="J50" s="171"/>
      <c r="K50" s="171"/>
      <c r="L50" s="171"/>
      <c r="M50" s="171"/>
      <c r="N50" s="171"/>
      <c r="O50" s="168"/>
      <c r="P50" s="168"/>
      <c r="Q50" s="289"/>
      <c r="R50" s="290"/>
      <c r="S50" s="290"/>
      <c r="T50" s="290"/>
      <c r="U50" s="290"/>
      <c r="V50" s="290"/>
      <c r="W50" s="290"/>
      <c r="X50" s="290"/>
      <c r="Y50" s="290"/>
      <c r="Z50" s="290"/>
      <c r="AA50" s="290"/>
      <c r="AB50" s="290"/>
      <c r="AC50" s="290"/>
      <c r="AD50" s="290"/>
      <c r="AE50" s="290"/>
      <c r="AF50" s="290"/>
      <c r="AG50" s="290"/>
      <c r="AH50" s="290"/>
      <c r="AI50" s="290"/>
      <c r="AJ50" s="290"/>
      <c r="AK50" s="290"/>
      <c r="AL50" s="290"/>
      <c r="AM50" s="290"/>
      <c r="AN50" s="290"/>
      <c r="AO50" s="290"/>
      <c r="AP50" s="290"/>
      <c r="AQ50" s="290"/>
      <c r="AR50" s="290"/>
      <c r="AS50" s="290"/>
      <c r="AT50" s="290"/>
    </row>
    <row r="51" spans="1:46" ht="15.5" x14ac:dyDescent="0.35">
      <c r="A51" s="180"/>
      <c r="B51" s="1051" t="s">
        <v>150</v>
      </c>
      <c r="C51" s="1051"/>
      <c r="D51" s="1051"/>
      <c r="E51" s="1051"/>
      <c r="F51" s="1051"/>
      <c r="G51" s="1051"/>
      <c r="H51" s="1051"/>
      <c r="I51" s="1051"/>
      <c r="J51" s="1051"/>
      <c r="K51" s="1051"/>
      <c r="L51" s="1051"/>
      <c r="M51" s="1051"/>
      <c r="N51" s="171"/>
      <c r="O51" s="168"/>
      <c r="P51" s="168"/>
      <c r="Q51" s="289"/>
      <c r="R51" s="290"/>
      <c r="S51" s="290"/>
      <c r="T51" s="290"/>
      <c r="U51" s="290"/>
      <c r="V51" s="290"/>
      <c r="W51" s="290"/>
      <c r="X51" s="290"/>
      <c r="Y51" s="290"/>
      <c r="Z51" s="290"/>
      <c r="AA51" s="290"/>
      <c r="AB51" s="290"/>
      <c r="AC51" s="290"/>
      <c r="AD51" s="290"/>
      <c r="AE51" s="290"/>
      <c r="AF51" s="290"/>
      <c r="AG51" s="290"/>
      <c r="AH51" s="290"/>
      <c r="AI51" s="290"/>
      <c r="AJ51" s="290"/>
      <c r="AK51" s="290"/>
      <c r="AL51" s="290"/>
      <c r="AM51" s="290"/>
      <c r="AN51" s="290"/>
      <c r="AO51" s="290"/>
      <c r="AP51" s="290"/>
      <c r="AQ51" s="290"/>
      <c r="AR51" s="290"/>
      <c r="AS51" s="290"/>
      <c r="AT51" s="290"/>
    </row>
    <row r="52" spans="1:46" ht="15.5" x14ac:dyDescent="0.35">
      <c r="A52" s="171"/>
      <c r="B52" s="838" t="str">
        <f>IF(E17="-","-",'DB ESA'!M244)</f>
        <v>Hasil pengujian Keselamatan Listrik tertelusur ke Satuan Internasional ( SI ) melalui PT. Kaliman (LK-032-IDN)</v>
      </c>
      <c r="C52" s="173"/>
      <c r="D52" s="173"/>
      <c r="E52" s="283"/>
      <c r="F52" s="173"/>
      <c r="G52" s="173"/>
      <c r="H52" s="173"/>
      <c r="I52" s="173"/>
      <c r="J52" s="173"/>
      <c r="K52" s="173"/>
      <c r="L52" s="173"/>
      <c r="M52" s="173"/>
      <c r="N52" s="173"/>
      <c r="O52" s="292"/>
      <c r="P52" s="168"/>
      <c r="Q52" s="289"/>
      <c r="R52" s="290"/>
      <c r="S52" s="290"/>
      <c r="T52" s="290"/>
      <c r="U52" s="290"/>
      <c r="V52" s="290"/>
      <c r="W52" s="290"/>
      <c r="X52" s="290"/>
      <c r="Y52" s="290"/>
      <c r="Z52" s="290"/>
      <c r="AA52" s="290"/>
      <c r="AB52" s="290"/>
      <c r="AC52" s="290"/>
      <c r="AD52" s="290"/>
      <c r="AE52" s="290"/>
      <c r="AF52" s="290"/>
      <c r="AG52" s="290"/>
      <c r="AH52" s="290"/>
      <c r="AI52" s="290"/>
      <c r="AJ52" s="290"/>
      <c r="AK52" s="290"/>
      <c r="AL52" s="290"/>
      <c r="AM52" s="290"/>
      <c r="AN52" s="290"/>
      <c r="AO52" s="290"/>
      <c r="AP52" s="290"/>
      <c r="AQ52" s="290"/>
      <c r="AR52" s="290"/>
      <c r="AS52" s="290"/>
      <c r="AT52" s="290"/>
    </row>
    <row r="53" spans="1:46" ht="15.5" x14ac:dyDescent="0.35">
      <c r="A53" s="171"/>
      <c r="B53" s="173" t="str">
        <f>cetik!O2</f>
        <v>Hasil Kalibrasi Saturasi Oksigen tertelusur ke Satuan Internasional ( SI ) melalui CALTEK PTE LTD</v>
      </c>
      <c r="C53" s="173"/>
      <c r="D53" s="173"/>
      <c r="E53" s="283"/>
      <c r="F53" s="173"/>
      <c r="G53" s="173"/>
      <c r="H53" s="173"/>
      <c r="I53" s="173"/>
      <c r="J53" s="173"/>
      <c r="K53" s="173"/>
      <c r="L53" s="173"/>
      <c r="M53" s="173"/>
      <c r="N53" s="173"/>
      <c r="O53" s="292"/>
      <c r="P53" s="168"/>
      <c r="Q53" s="289"/>
      <c r="R53" s="290"/>
      <c r="S53" s="290"/>
      <c r="T53" s="290"/>
      <c r="U53" s="290"/>
      <c r="V53" s="290"/>
      <c r="W53" s="290"/>
      <c r="X53" s="290"/>
      <c r="Y53" s="290"/>
      <c r="Z53" s="290"/>
      <c r="AA53" s="290"/>
      <c r="AB53" s="290"/>
      <c r="AC53" s="290"/>
      <c r="AD53" s="290"/>
      <c r="AE53" s="290"/>
      <c r="AF53" s="290"/>
      <c r="AG53" s="290"/>
      <c r="AH53" s="290"/>
      <c r="AI53" s="290"/>
      <c r="AJ53" s="290"/>
      <c r="AK53" s="290"/>
      <c r="AL53" s="290"/>
      <c r="AM53" s="290"/>
      <c r="AN53" s="290"/>
      <c r="AO53" s="290"/>
      <c r="AP53" s="290"/>
      <c r="AQ53" s="290"/>
      <c r="AR53" s="290"/>
      <c r="AS53" s="290"/>
      <c r="AT53" s="290"/>
    </row>
    <row r="54" spans="1:46" ht="15.5" x14ac:dyDescent="0.35">
      <c r="A54" s="171"/>
      <c r="B54" s="173" t="str">
        <f>cetik!O3</f>
        <v>Hasil Kalibrasi Frekuensi Heart Rate (BPM) tertelusur ke Satuan Internasional ( SI ) melalui CALTEK PTE LTD</v>
      </c>
      <c r="C54" s="173"/>
      <c r="D54" s="173"/>
      <c r="E54" s="283"/>
      <c r="F54" s="173"/>
      <c r="G54" s="173"/>
      <c r="H54" s="173"/>
      <c r="I54" s="173"/>
      <c r="J54" s="173"/>
      <c r="K54" s="173"/>
      <c r="L54" s="173"/>
      <c r="M54" s="173"/>
      <c r="N54" s="173"/>
      <c r="O54" s="292"/>
      <c r="P54" s="168"/>
      <c r="Q54" s="303" t="s">
        <v>400</v>
      </c>
      <c r="R54" s="296">
        <f>IF(E17="-",0,1)</f>
        <v>1</v>
      </c>
      <c r="S54" s="290">
        <v>0</v>
      </c>
      <c r="T54" s="290" t="s">
        <v>151</v>
      </c>
      <c r="U54" s="290"/>
      <c r="V54" s="290"/>
      <c r="W54" s="290"/>
      <c r="X54" s="290"/>
      <c r="Y54" s="290"/>
      <c r="Z54" s="290"/>
      <c r="AA54" s="290"/>
      <c r="AB54" s="290"/>
      <c r="AC54" s="290"/>
      <c r="AD54" s="290"/>
      <c r="AE54" s="290"/>
      <c r="AF54" s="290"/>
      <c r="AG54" s="290"/>
      <c r="AH54" s="290"/>
      <c r="AI54" s="290"/>
      <c r="AJ54" s="290"/>
      <c r="AK54" s="290"/>
      <c r="AL54" s="290"/>
      <c r="AM54" s="290"/>
      <c r="AN54" s="290"/>
      <c r="AO54" s="290"/>
      <c r="AP54" s="290"/>
      <c r="AQ54" s="290"/>
      <c r="AR54" s="290"/>
      <c r="AS54" s="290"/>
      <c r="AT54" s="290"/>
    </row>
    <row r="55" spans="1:46" ht="15.75" customHeight="1" x14ac:dyDescent="0.35">
      <c r="A55" s="171"/>
      <c r="B55" s="838" t="str">
        <f>S57</f>
        <v>-</v>
      </c>
      <c r="C55" s="173"/>
      <c r="D55" s="173"/>
      <c r="E55" s="173"/>
      <c r="F55" s="173"/>
      <c r="G55" s="173"/>
      <c r="H55" s="173"/>
      <c r="I55" s="173"/>
      <c r="J55" s="173"/>
      <c r="K55" s="173"/>
      <c r="L55" s="173"/>
      <c r="M55" s="173"/>
      <c r="N55" s="171"/>
      <c r="O55" s="168"/>
      <c r="P55" s="168"/>
      <c r="Q55" s="303" t="s">
        <v>404</v>
      </c>
      <c r="R55" s="296">
        <f>IF(K28="-",0,1)</f>
        <v>1</v>
      </c>
      <c r="S55" s="290">
        <v>1</v>
      </c>
      <c r="T55" s="290" t="s">
        <v>405</v>
      </c>
      <c r="U55" s="290"/>
      <c r="V55" s="290"/>
      <c r="W55" s="290"/>
      <c r="X55" s="290"/>
      <c r="Y55" s="290"/>
      <c r="Z55" s="290"/>
      <c r="AA55" s="290"/>
      <c r="AB55" s="290"/>
      <c r="AC55" s="290"/>
      <c r="AD55" s="290"/>
      <c r="AE55" s="290"/>
      <c r="AF55" s="290"/>
      <c r="AG55" s="290"/>
      <c r="AH55" s="290"/>
      <c r="AI55" s="290"/>
      <c r="AJ55" s="290"/>
      <c r="AK55" s="290"/>
      <c r="AL55" s="290"/>
      <c r="AM55" s="290"/>
      <c r="AN55" s="290"/>
      <c r="AO55" s="290"/>
      <c r="AP55" s="290"/>
      <c r="AQ55" s="290"/>
      <c r="AR55" s="290"/>
      <c r="AS55" s="290"/>
      <c r="AT55" s="290"/>
    </row>
    <row r="56" spans="1:46" s="1" customFormat="1" ht="15.5" x14ac:dyDescent="0.35">
      <c r="A56" s="183"/>
      <c r="B56" s="1059"/>
      <c r="C56" s="1059"/>
      <c r="D56" s="171"/>
      <c r="E56" s="171"/>
      <c r="F56" s="171"/>
      <c r="G56" s="171"/>
      <c r="H56" s="171"/>
      <c r="I56" s="171"/>
      <c r="J56" s="171"/>
      <c r="K56" s="171"/>
      <c r="L56" s="171"/>
      <c r="M56" s="171"/>
      <c r="N56" s="171"/>
      <c r="O56" s="168"/>
      <c r="P56" s="168"/>
      <c r="Q56" s="304" t="s">
        <v>406</v>
      </c>
      <c r="R56" s="304">
        <f>SUM(R54:R55)</f>
        <v>2</v>
      </c>
      <c r="S56" s="290">
        <v>2</v>
      </c>
      <c r="T56" s="305" t="s">
        <v>100</v>
      </c>
      <c r="U56" s="290"/>
      <c r="V56" s="290"/>
      <c r="W56" s="290"/>
      <c r="X56" s="290"/>
      <c r="Y56" s="290"/>
      <c r="Z56" s="290"/>
      <c r="AA56" s="290"/>
      <c r="AB56" s="290"/>
      <c r="AC56" s="290"/>
      <c r="AD56" s="290"/>
      <c r="AE56" s="290"/>
      <c r="AF56" s="290"/>
      <c r="AG56" s="290"/>
      <c r="AH56" s="290"/>
      <c r="AI56" s="290"/>
      <c r="AJ56" s="290"/>
      <c r="AK56" s="290"/>
      <c r="AL56" s="290"/>
      <c r="AM56" s="290"/>
      <c r="AN56" s="290"/>
      <c r="AO56" s="290"/>
      <c r="AP56" s="290"/>
      <c r="AQ56" s="290"/>
      <c r="AR56" s="290"/>
      <c r="AS56" s="290"/>
      <c r="AT56" s="290"/>
    </row>
    <row r="57" spans="1:46" ht="15.75" customHeight="1" x14ac:dyDescent="0.35">
      <c r="A57" s="179" t="s">
        <v>78</v>
      </c>
      <c r="B57" s="180" t="s">
        <v>152</v>
      </c>
      <c r="C57" s="171"/>
      <c r="D57" s="171"/>
      <c r="E57" s="178"/>
      <c r="F57" s="171"/>
      <c r="G57" s="171"/>
      <c r="H57" s="171"/>
      <c r="I57" s="171"/>
      <c r="J57" s="171"/>
      <c r="K57" s="171"/>
      <c r="L57" s="171"/>
      <c r="M57" s="171"/>
      <c r="N57" s="171"/>
      <c r="O57" s="168"/>
      <c r="P57" s="168"/>
      <c r="Q57" s="293"/>
      <c r="R57" s="293"/>
      <c r="S57" s="290" t="str">
        <f>VLOOKUP(R56,S54:T56,2,0)</f>
        <v>-</v>
      </c>
      <c r="T57" s="290"/>
      <c r="U57" s="290"/>
      <c r="V57" s="290"/>
      <c r="W57" s="290"/>
      <c r="X57" s="290"/>
      <c r="Y57" s="290"/>
      <c r="Z57" s="290"/>
      <c r="AA57" s="290"/>
      <c r="AB57" s="290"/>
      <c r="AC57" s="290"/>
      <c r="AD57" s="290"/>
      <c r="AE57" s="290"/>
      <c r="AF57" s="290"/>
      <c r="AG57" s="290"/>
      <c r="AH57" s="290"/>
      <c r="AI57" s="290"/>
      <c r="AJ57" s="290"/>
      <c r="AK57" s="290"/>
      <c r="AL57" s="290"/>
      <c r="AM57" s="290"/>
      <c r="AN57" s="290"/>
      <c r="AO57" s="290"/>
      <c r="AP57" s="290"/>
      <c r="AQ57" s="290"/>
      <c r="AR57" s="290"/>
      <c r="AS57" s="290"/>
      <c r="AT57" s="290"/>
    </row>
    <row r="58" spans="1:46" ht="15.5" x14ac:dyDescent="0.35">
      <c r="A58" s="180"/>
      <c r="B58" s="838" t="s">
        <v>431</v>
      </c>
      <c r="C58" s="173"/>
      <c r="D58" s="173"/>
      <c r="E58" s="173"/>
      <c r="F58" s="173"/>
      <c r="G58" s="173"/>
      <c r="H58" s="173"/>
      <c r="I58" s="173"/>
      <c r="J58" s="173"/>
      <c r="K58" s="173"/>
      <c r="L58" s="173"/>
      <c r="M58" s="173"/>
      <c r="N58" s="173"/>
      <c r="O58" s="168"/>
      <c r="P58" s="168"/>
      <c r="Q58" s="289"/>
      <c r="R58" s="290"/>
      <c r="S58" s="290"/>
      <c r="T58" s="290"/>
      <c r="U58" s="290"/>
      <c r="V58" s="290"/>
      <c r="W58" s="290"/>
      <c r="X58" s="290"/>
      <c r="Y58" s="290"/>
      <c r="Z58" s="290"/>
      <c r="AA58" s="290"/>
      <c r="AB58" s="290"/>
      <c r="AC58" s="290"/>
      <c r="AD58" s="290"/>
      <c r="AE58" s="290"/>
      <c r="AF58" s="290"/>
      <c r="AG58" s="290"/>
      <c r="AH58" s="290"/>
      <c r="AI58" s="290"/>
      <c r="AJ58" s="290"/>
      <c r="AK58" s="290"/>
      <c r="AL58" s="290"/>
      <c r="AM58" s="290"/>
      <c r="AN58" s="290"/>
      <c r="AO58" s="290"/>
      <c r="AP58" s="290"/>
      <c r="AQ58" s="290"/>
      <c r="AR58" s="290"/>
      <c r="AS58" s="290"/>
      <c r="AT58" s="290"/>
    </row>
    <row r="59" spans="1:46" ht="14.25" customHeight="1" x14ac:dyDescent="0.35">
      <c r="A59" s="171"/>
      <c r="B59" s="838" t="s">
        <v>424</v>
      </c>
      <c r="C59" s="173"/>
      <c r="D59" s="173"/>
      <c r="E59" s="173"/>
      <c r="F59" s="173"/>
      <c r="G59" s="173"/>
      <c r="H59" s="173"/>
      <c r="I59" s="173"/>
      <c r="J59" s="173"/>
      <c r="K59" s="173"/>
      <c r="L59" s="173"/>
      <c r="M59" s="173"/>
      <c r="N59" s="173"/>
      <c r="O59" s="168"/>
      <c r="P59" s="168"/>
      <c r="Q59" s="289"/>
      <c r="R59" s="290"/>
      <c r="S59" s="290"/>
      <c r="T59" s="290"/>
      <c r="U59" s="290"/>
      <c r="V59" s="290"/>
      <c r="W59" s="290"/>
      <c r="X59" s="290"/>
      <c r="Y59" s="290"/>
      <c r="Z59" s="290"/>
      <c r="AA59" s="290"/>
      <c r="AB59" s="290"/>
      <c r="AC59" s="290"/>
      <c r="AD59" s="290"/>
      <c r="AE59" s="290"/>
      <c r="AF59" s="290"/>
      <c r="AG59" s="290"/>
      <c r="AH59" s="290"/>
      <c r="AI59" s="290"/>
      <c r="AJ59" s="290"/>
      <c r="AK59" s="290"/>
      <c r="AL59" s="290"/>
      <c r="AM59" s="290"/>
      <c r="AN59" s="290"/>
      <c r="AO59" s="290"/>
      <c r="AP59" s="290"/>
      <c r="AQ59" s="290"/>
      <c r="AR59" s="290"/>
      <c r="AS59" s="290"/>
      <c r="AT59" s="290"/>
    </row>
    <row r="60" spans="1:46" ht="15.5" x14ac:dyDescent="0.35">
      <c r="A60" s="180"/>
      <c r="B60" s="838" t="s">
        <v>437</v>
      </c>
      <c r="C60" s="173"/>
      <c r="D60" s="173"/>
      <c r="E60" s="173"/>
      <c r="F60" s="173"/>
      <c r="G60" s="173"/>
      <c r="H60" s="173"/>
      <c r="I60" s="173"/>
      <c r="J60" s="173"/>
      <c r="K60" s="171"/>
      <c r="L60" s="171"/>
      <c r="M60" s="171"/>
      <c r="N60" s="171"/>
      <c r="O60" s="168"/>
      <c r="P60" s="168"/>
      <c r="Q60" s="289"/>
      <c r="R60" s="290"/>
      <c r="S60" s="290"/>
      <c r="T60" s="290"/>
      <c r="U60" s="290"/>
      <c r="V60" s="290"/>
      <c r="W60" s="290"/>
      <c r="X60" s="290"/>
      <c r="Y60" s="290"/>
      <c r="Z60" s="290"/>
      <c r="AA60" s="290"/>
      <c r="AB60" s="290"/>
      <c r="AC60" s="290"/>
      <c r="AD60" s="290"/>
      <c r="AE60" s="290"/>
      <c r="AF60" s="290"/>
      <c r="AG60" s="290"/>
      <c r="AH60" s="290"/>
      <c r="AI60" s="290"/>
      <c r="AJ60" s="290"/>
      <c r="AK60" s="290"/>
      <c r="AL60" s="290"/>
      <c r="AM60" s="290"/>
      <c r="AN60" s="290"/>
      <c r="AO60" s="290"/>
      <c r="AP60" s="290"/>
      <c r="AQ60" s="290"/>
      <c r="AR60" s="290"/>
      <c r="AS60" s="290"/>
      <c r="AT60" s="290"/>
    </row>
    <row r="61" spans="1:46" ht="8.25" customHeight="1" x14ac:dyDescent="0.35">
      <c r="A61" s="170"/>
      <c r="B61" s="170"/>
      <c r="C61" s="171"/>
      <c r="D61" s="280"/>
      <c r="E61" s="178"/>
      <c r="F61" s="280"/>
      <c r="G61" s="280"/>
      <c r="H61" s="203"/>
      <c r="I61" s="203"/>
      <c r="J61" s="203"/>
      <c r="K61" s="171"/>
      <c r="L61" s="171"/>
      <c r="M61" s="171"/>
      <c r="N61" s="171"/>
      <c r="O61" s="168"/>
      <c r="P61" s="168"/>
      <c r="Q61" s="289"/>
      <c r="R61" s="290"/>
      <c r="S61" s="290"/>
      <c r="T61" s="290"/>
      <c r="U61" s="290"/>
      <c r="V61" s="290"/>
      <c r="W61" s="290"/>
      <c r="X61" s="290"/>
      <c r="Y61" s="290"/>
      <c r="Z61" s="290"/>
      <c r="AA61" s="290"/>
      <c r="AB61" s="290"/>
      <c r="AC61" s="290"/>
      <c r="AD61" s="290"/>
      <c r="AE61" s="290"/>
      <c r="AF61" s="290"/>
      <c r="AG61" s="290"/>
      <c r="AH61" s="290"/>
      <c r="AI61" s="290"/>
      <c r="AJ61" s="290"/>
      <c r="AK61" s="290"/>
      <c r="AL61" s="290"/>
      <c r="AM61" s="290"/>
      <c r="AN61" s="290"/>
      <c r="AO61" s="290"/>
      <c r="AP61" s="290"/>
      <c r="AQ61" s="290"/>
      <c r="AR61" s="290"/>
      <c r="AS61" s="290"/>
      <c r="AT61" s="290"/>
    </row>
    <row r="62" spans="1:46" ht="15.5" x14ac:dyDescent="0.35">
      <c r="A62" s="179" t="s">
        <v>154</v>
      </c>
      <c r="B62" s="180" t="s">
        <v>91</v>
      </c>
      <c r="C62" s="171"/>
      <c r="D62" s="280"/>
      <c r="E62" s="178"/>
      <c r="F62" s="280"/>
      <c r="G62" s="280"/>
      <c r="H62" s="203"/>
      <c r="I62" s="203"/>
      <c r="J62" s="203"/>
      <c r="K62" s="171"/>
      <c r="L62" s="171"/>
      <c r="M62" s="171"/>
      <c r="N62" s="171"/>
      <c r="O62" s="168"/>
      <c r="P62" s="168"/>
      <c r="Q62" s="289"/>
      <c r="R62" s="290"/>
      <c r="S62" s="290"/>
      <c r="T62" s="290"/>
      <c r="U62" s="290"/>
      <c r="V62" s="290"/>
      <c r="W62" s="290"/>
      <c r="X62" s="290"/>
      <c r="Y62" s="290"/>
      <c r="Z62" s="290"/>
      <c r="AA62" s="290"/>
      <c r="AB62" s="290"/>
      <c r="AC62" s="290"/>
      <c r="AD62" s="290"/>
      <c r="AE62" s="290"/>
      <c r="AF62" s="290"/>
      <c r="AG62" s="290"/>
      <c r="AH62" s="290"/>
      <c r="AI62" s="290"/>
      <c r="AJ62" s="290"/>
      <c r="AK62" s="290"/>
      <c r="AL62" s="290"/>
      <c r="AM62" s="290"/>
      <c r="AN62" s="290"/>
      <c r="AO62" s="290"/>
      <c r="AP62" s="290"/>
      <c r="AQ62" s="290"/>
      <c r="AR62" s="290"/>
      <c r="AS62" s="290"/>
      <c r="AT62" s="290"/>
    </row>
    <row r="63" spans="1:46" ht="16.5" customHeight="1" x14ac:dyDescent="0.35">
      <c r="A63" s="171"/>
      <c r="B63" s="1046" t="str">
        <f>IF(Penyelia!I69&gt;=70,Q5,Q6)</f>
        <v>Alat yang dikalibrasi dalam batas toleransi dan dinyatakan LAIK PAKAI, dimana hasil atau skor akhir sama dengan atau melampaui 70 % berdasarkan Keputusan Direktur Jenderal Pelayanan Kesehatan No : HK.02.02/V/0412/2020</v>
      </c>
      <c r="C63" s="1046"/>
      <c r="D63" s="1046"/>
      <c r="E63" s="1046"/>
      <c r="F63" s="1046"/>
      <c r="G63" s="1046"/>
      <c r="H63" s="1046"/>
      <c r="I63" s="1046"/>
      <c r="J63" s="1046"/>
      <c r="K63" s="1046"/>
      <c r="L63" s="1046"/>
      <c r="M63" s="1046"/>
      <c r="N63" s="1046"/>
      <c r="O63" s="168"/>
      <c r="P63" s="168"/>
      <c r="Q63" s="289"/>
      <c r="R63" s="290"/>
      <c r="S63" s="290"/>
      <c r="T63" s="290"/>
      <c r="U63" s="290"/>
      <c r="V63" s="290"/>
      <c r="W63" s="290"/>
      <c r="X63" s="290"/>
      <c r="Y63" s="290"/>
      <c r="Z63" s="290"/>
      <c r="AA63" s="290"/>
      <c r="AB63" s="290"/>
      <c r="AC63" s="290"/>
      <c r="AD63" s="290"/>
      <c r="AE63" s="290"/>
      <c r="AF63" s="290"/>
      <c r="AG63" s="290"/>
      <c r="AH63" s="290"/>
      <c r="AI63" s="290"/>
      <c r="AJ63" s="290"/>
      <c r="AK63" s="290"/>
      <c r="AL63" s="290"/>
      <c r="AM63" s="290"/>
      <c r="AN63" s="290"/>
      <c r="AO63" s="290"/>
      <c r="AP63" s="290"/>
      <c r="AQ63" s="290"/>
      <c r="AR63" s="290"/>
      <c r="AS63" s="290"/>
      <c r="AT63" s="290"/>
    </row>
    <row r="64" spans="1:46" ht="21.75" customHeight="1" x14ac:dyDescent="0.35">
      <c r="A64" s="171"/>
      <c r="B64" s="1046"/>
      <c r="C64" s="1046"/>
      <c r="D64" s="1046"/>
      <c r="E64" s="1046"/>
      <c r="F64" s="1046"/>
      <c r="G64" s="1046"/>
      <c r="H64" s="1046"/>
      <c r="I64" s="1046"/>
      <c r="J64" s="1046"/>
      <c r="K64" s="1046"/>
      <c r="L64" s="1046"/>
      <c r="M64" s="1046"/>
      <c r="N64" s="1046"/>
      <c r="O64" s="168"/>
      <c r="P64" s="168"/>
      <c r="Q64" s="145" t="s">
        <v>155</v>
      </c>
      <c r="R64" s="290"/>
      <c r="S64" s="290"/>
      <c r="T64" s="290"/>
      <c r="U64" s="290"/>
      <c r="V64" s="290"/>
      <c r="W64" s="290"/>
      <c r="X64" s="290"/>
      <c r="Y64" s="290"/>
      <c r="Z64" s="290"/>
      <c r="AA64" s="290"/>
      <c r="AB64" s="290"/>
      <c r="AC64" s="290"/>
      <c r="AD64" s="290"/>
      <c r="AE64" s="290"/>
      <c r="AF64" s="290"/>
      <c r="AG64" s="290"/>
      <c r="AH64" s="290"/>
      <c r="AI64" s="290"/>
      <c r="AJ64" s="290"/>
      <c r="AK64" s="290"/>
      <c r="AL64" s="290"/>
      <c r="AM64" s="290"/>
      <c r="AN64" s="290"/>
      <c r="AO64" s="290"/>
      <c r="AP64" s="290"/>
      <c r="AQ64" s="290"/>
      <c r="AR64" s="290"/>
      <c r="AS64" s="290"/>
      <c r="AT64" s="290"/>
    </row>
    <row r="65" spans="1:46" ht="0.75" customHeight="1" x14ac:dyDescent="0.35">
      <c r="A65" s="171"/>
      <c r="B65" s="171"/>
      <c r="C65" s="280"/>
      <c r="D65" s="280"/>
      <c r="E65" s="178"/>
      <c r="F65" s="280"/>
      <c r="G65" s="280"/>
      <c r="H65" s="204"/>
      <c r="I65" s="204"/>
      <c r="J65" s="204"/>
      <c r="K65" s="171"/>
      <c r="L65" s="171"/>
      <c r="M65" s="171"/>
      <c r="N65" s="171"/>
      <c r="O65" s="168"/>
      <c r="P65" s="168"/>
      <c r="Q65" s="146" t="s">
        <v>100</v>
      </c>
      <c r="R65" s="290"/>
      <c r="S65" s="290"/>
      <c r="T65" s="290"/>
      <c r="U65" s="290"/>
      <c r="V65" s="290"/>
      <c r="W65" s="290"/>
      <c r="X65" s="290"/>
      <c r="Y65" s="290"/>
      <c r="Z65" s="290"/>
      <c r="AA65" s="290"/>
      <c r="AB65" s="290"/>
      <c r="AC65" s="290"/>
      <c r="AD65" s="290"/>
      <c r="AE65" s="290"/>
      <c r="AF65" s="290"/>
      <c r="AG65" s="290"/>
      <c r="AH65" s="290"/>
      <c r="AI65" s="290"/>
      <c r="AJ65" s="290"/>
      <c r="AK65" s="290"/>
      <c r="AL65" s="290"/>
      <c r="AM65" s="290"/>
      <c r="AN65" s="290"/>
      <c r="AO65" s="290"/>
      <c r="AP65" s="290"/>
      <c r="AQ65" s="290"/>
      <c r="AR65" s="290"/>
      <c r="AS65" s="290"/>
      <c r="AT65" s="290"/>
    </row>
    <row r="66" spans="1:46" ht="15.5" x14ac:dyDescent="0.35">
      <c r="A66" s="179" t="s">
        <v>93</v>
      </c>
      <c r="B66" s="180" t="s">
        <v>94</v>
      </c>
      <c r="C66" s="280"/>
      <c r="D66" s="280"/>
      <c r="E66" s="178"/>
      <c r="F66" s="280"/>
      <c r="G66" s="280"/>
      <c r="H66" s="204"/>
      <c r="I66" s="204"/>
      <c r="J66" s="204"/>
      <c r="K66" s="171"/>
      <c r="L66" s="171"/>
      <c r="M66" s="171"/>
      <c r="N66" s="171"/>
      <c r="O66" s="168"/>
      <c r="P66" s="168"/>
      <c r="Q66" s="168"/>
      <c r="R66" s="290"/>
      <c r="S66" s="290"/>
      <c r="T66" s="290"/>
      <c r="U66" s="290"/>
      <c r="V66" s="290"/>
      <c r="W66" s="290"/>
      <c r="X66" s="290"/>
      <c r="Y66" s="290"/>
      <c r="Z66" s="290"/>
      <c r="AA66" s="290"/>
      <c r="AB66" s="290"/>
      <c r="AC66" s="290"/>
      <c r="AD66" s="290"/>
      <c r="AE66" s="290"/>
      <c r="AF66" s="290"/>
      <c r="AG66" s="290"/>
      <c r="AH66" s="290"/>
      <c r="AI66" s="290"/>
      <c r="AJ66" s="290"/>
      <c r="AK66" s="290"/>
      <c r="AL66" s="290"/>
      <c r="AM66" s="290"/>
      <c r="AN66" s="290"/>
      <c r="AO66" s="290"/>
      <c r="AP66" s="290"/>
      <c r="AQ66" s="290"/>
      <c r="AR66" s="290"/>
      <c r="AS66" s="290"/>
      <c r="AT66" s="290"/>
    </row>
    <row r="67" spans="1:46" ht="15.5" x14ac:dyDescent="0.35">
      <c r="A67" s="171"/>
      <c r="B67" s="1051" t="s">
        <v>156</v>
      </c>
      <c r="C67" s="1051"/>
      <c r="D67" s="1051"/>
      <c r="E67" s="1051"/>
      <c r="F67" s="280"/>
      <c r="G67" s="280"/>
      <c r="H67" s="204"/>
      <c r="I67" s="204"/>
      <c r="J67" s="204"/>
      <c r="K67" s="171"/>
      <c r="L67" s="171"/>
      <c r="M67" s="171"/>
      <c r="N67" s="171"/>
      <c r="O67" s="168"/>
      <c r="P67" s="168"/>
      <c r="Q67" s="168"/>
      <c r="R67" s="290"/>
      <c r="S67" s="290"/>
      <c r="T67" s="290"/>
      <c r="U67" s="290"/>
      <c r="V67" s="290"/>
      <c r="W67" s="290"/>
      <c r="X67" s="290"/>
      <c r="Y67" s="290"/>
      <c r="Z67" s="290"/>
      <c r="AA67" s="290"/>
      <c r="AB67" s="290"/>
      <c r="AC67" s="290"/>
      <c r="AD67" s="290"/>
      <c r="AE67" s="290"/>
      <c r="AF67" s="290"/>
      <c r="AG67" s="290"/>
      <c r="AH67" s="290"/>
      <c r="AI67" s="290"/>
      <c r="AJ67" s="290"/>
      <c r="AK67" s="290"/>
      <c r="AL67" s="290"/>
      <c r="AM67" s="290"/>
      <c r="AN67" s="290"/>
      <c r="AO67" s="290"/>
      <c r="AP67" s="290"/>
      <c r="AQ67" s="290"/>
      <c r="AR67" s="290"/>
      <c r="AS67" s="290"/>
      <c r="AT67" s="290"/>
    </row>
    <row r="68" spans="1:46" ht="17.25" customHeight="1" x14ac:dyDescent="0.35">
      <c r="A68" s="179" t="s">
        <v>157</v>
      </c>
      <c r="B68" s="205" t="s">
        <v>158</v>
      </c>
      <c r="C68" s="283"/>
      <c r="D68" s="283"/>
      <c r="E68" s="283"/>
      <c r="F68" s="280"/>
      <c r="G68" s="280"/>
      <c r="H68" s="204"/>
      <c r="I68" s="204"/>
      <c r="J68" s="204"/>
      <c r="K68" s="171"/>
      <c r="L68" s="171"/>
      <c r="M68" s="171"/>
      <c r="N68" s="171"/>
      <c r="O68" s="168"/>
      <c r="P68" s="147"/>
      <c r="Q68" s="147"/>
      <c r="R68" s="147"/>
      <c r="S68" s="148" t="s">
        <v>159</v>
      </c>
      <c r="T68" s="290"/>
      <c r="U68" s="290"/>
      <c r="V68" s="290"/>
      <c r="W68" s="290"/>
      <c r="X68" s="290"/>
      <c r="Y68" s="290"/>
      <c r="Z68" s="290"/>
      <c r="AA68" s="290"/>
      <c r="AB68" s="290"/>
      <c r="AC68" s="290"/>
      <c r="AD68" s="290"/>
      <c r="AE68" s="290"/>
      <c r="AF68" s="290"/>
      <c r="AG68" s="290"/>
      <c r="AH68" s="290"/>
      <c r="AI68" s="290"/>
      <c r="AJ68" s="290"/>
      <c r="AK68" s="290"/>
      <c r="AL68" s="290"/>
      <c r="AM68" s="290"/>
      <c r="AN68" s="290"/>
      <c r="AO68" s="290"/>
      <c r="AP68" s="290"/>
      <c r="AQ68" s="290"/>
      <c r="AR68" s="290"/>
      <c r="AS68" s="290"/>
      <c r="AT68" s="290"/>
    </row>
    <row r="69" spans="1:46" ht="17.25" customHeight="1" x14ac:dyDescent="0.35">
      <c r="A69" s="179"/>
      <c r="B69" s="1042">
        <v>44631</v>
      </c>
      <c r="C69" s="1042"/>
      <c r="D69" s="283"/>
      <c r="E69" s="283"/>
      <c r="F69" s="280"/>
      <c r="G69" s="280"/>
      <c r="H69" s="204"/>
      <c r="I69" s="204"/>
      <c r="J69" s="204"/>
      <c r="K69" s="171"/>
      <c r="L69" s="171"/>
      <c r="M69" s="171"/>
      <c r="N69" s="171"/>
      <c r="O69" s="168"/>
      <c r="P69" s="147"/>
      <c r="Q69" s="145" t="s">
        <v>151</v>
      </c>
      <c r="R69" s="807">
        <f>IF(P73="-",40,IF(P73&lt;=P74,P77,IF(P73&gt;P74,0)))</f>
        <v>40</v>
      </c>
      <c r="S69" s="1047">
        <f>VLOOKUP(B55,Q69:R71,2,FALSE)</f>
        <v>40</v>
      </c>
      <c r="T69" s="290"/>
      <c r="U69" s="290"/>
      <c r="V69" s="290"/>
      <c r="W69" s="290"/>
      <c r="X69" s="290"/>
      <c r="Y69" s="290"/>
      <c r="Z69" s="290"/>
      <c r="AA69" s="290"/>
      <c r="AB69" s="290"/>
      <c r="AC69" s="290"/>
      <c r="AD69" s="290"/>
      <c r="AE69" s="290"/>
      <c r="AF69" s="290"/>
      <c r="AG69" s="290"/>
      <c r="AH69" s="290"/>
      <c r="AI69" s="290"/>
      <c r="AJ69" s="290"/>
      <c r="AK69" s="290"/>
      <c r="AL69" s="290"/>
      <c r="AM69" s="290"/>
      <c r="AN69" s="290"/>
      <c r="AO69" s="290"/>
      <c r="AP69" s="290"/>
      <c r="AQ69" s="290"/>
      <c r="AR69" s="290"/>
      <c r="AS69" s="290"/>
      <c r="AT69" s="290"/>
    </row>
    <row r="70" spans="1:46" ht="14.25" customHeight="1" x14ac:dyDescent="0.35">
      <c r="A70" s="290"/>
      <c r="B70" s="290"/>
      <c r="C70" s="306"/>
      <c r="D70" s="307"/>
      <c r="E70" s="307"/>
      <c r="F70" s="296"/>
      <c r="G70" s="296"/>
      <c r="H70" s="295"/>
      <c r="I70" s="295"/>
      <c r="J70" s="295"/>
      <c r="K70" s="293"/>
      <c r="L70" s="293"/>
      <c r="M70" s="293"/>
      <c r="N70" s="293"/>
      <c r="O70" s="293"/>
      <c r="P70" s="147"/>
      <c r="Q70" s="145" t="s">
        <v>405</v>
      </c>
      <c r="R70" s="808">
        <f>IF(P73="-",20,IF(P73&lt;=P74,P77,IF(P73&gt;P74,0)))</f>
        <v>40</v>
      </c>
      <c r="S70" s="1048"/>
      <c r="T70" s="290"/>
      <c r="U70" s="290"/>
      <c r="V70" s="290"/>
      <c r="W70" s="290"/>
      <c r="X70" s="290"/>
      <c r="Y70" s="290"/>
      <c r="Z70" s="290"/>
      <c r="AA70" s="290"/>
      <c r="AB70" s="290"/>
      <c r="AC70" s="290"/>
      <c r="AD70" s="290"/>
      <c r="AE70" s="290"/>
      <c r="AF70" s="290"/>
      <c r="AG70" s="290"/>
      <c r="AH70" s="290"/>
      <c r="AI70" s="290"/>
      <c r="AJ70" s="290"/>
      <c r="AK70" s="290"/>
      <c r="AL70" s="290"/>
      <c r="AM70" s="290"/>
      <c r="AN70" s="290"/>
      <c r="AO70" s="290"/>
      <c r="AP70" s="290"/>
      <c r="AQ70" s="290"/>
      <c r="AR70" s="290"/>
      <c r="AS70" s="290"/>
      <c r="AT70" s="290"/>
    </row>
    <row r="71" spans="1:46" ht="15.5" x14ac:dyDescent="0.35">
      <c r="A71" s="293"/>
      <c r="B71" s="293"/>
      <c r="C71" s="293"/>
      <c r="D71" s="293"/>
      <c r="E71" s="294"/>
      <c r="F71" s="293"/>
      <c r="G71" s="293"/>
      <c r="H71" s="295"/>
      <c r="I71" s="295"/>
      <c r="J71" s="295"/>
      <c r="K71" s="293"/>
      <c r="L71" s="293"/>
      <c r="M71" s="293"/>
      <c r="N71" s="293"/>
      <c r="O71" s="293"/>
      <c r="P71" s="147"/>
      <c r="Q71" s="146" t="s">
        <v>100</v>
      </c>
      <c r="R71" s="808">
        <f>P78</f>
        <v>40</v>
      </c>
      <c r="S71" s="1049"/>
      <c r="T71" s="290"/>
      <c r="U71" s="290"/>
      <c r="V71" s="290"/>
      <c r="W71" s="290"/>
      <c r="X71" s="290"/>
      <c r="Y71" s="290"/>
      <c r="Z71" s="290"/>
      <c r="AA71" s="290"/>
      <c r="AB71" s="290"/>
      <c r="AC71" s="290"/>
      <c r="AD71" s="290"/>
      <c r="AE71" s="290"/>
      <c r="AF71" s="290"/>
      <c r="AG71" s="290"/>
      <c r="AH71" s="290"/>
      <c r="AI71" s="290"/>
      <c r="AJ71" s="290"/>
      <c r="AK71" s="290"/>
      <c r="AL71" s="290"/>
      <c r="AM71" s="290"/>
      <c r="AN71" s="290"/>
      <c r="AO71" s="290"/>
      <c r="AP71" s="290"/>
      <c r="AQ71" s="290"/>
      <c r="AR71" s="290"/>
      <c r="AS71" s="290"/>
      <c r="AT71" s="290"/>
    </row>
    <row r="72" spans="1:46" ht="15.5" x14ac:dyDescent="0.35">
      <c r="A72" s="293"/>
      <c r="B72" s="293"/>
      <c r="C72" s="296"/>
      <c r="D72" s="293"/>
      <c r="E72" s="294"/>
      <c r="F72" s="296"/>
      <c r="G72" s="296"/>
      <c r="H72" s="295"/>
      <c r="I72" s="295"/>
      <c r="J72" s="295"/>
      <c r="K72" s="293"/>
      <c r="L72" s="293"/>
      <c r="M72" s="293"/>
      <c r="N72" s="293"/>
      <c r="O72" s="293"/>
      <c r="P72" s="147"/>
      <c r="Q72" s="147"/>
      <c r="R72" s="147"/>
      <c r="S72" s="147"/>
      <c r="T72" s="290"/>
      <c r="U72" s="290"/>
      <c r="V72" s="290"/>
      <c r="W72" s="290"/>
      <c r="X72" s="290"/>
      <c r="Y72" s="290"/>
      <c r="Z72" s="290"/>
      <c r="AA72" s="290"/>
      <c r="AB72" s="290"/>
      <c r="AC72" s="290"/>
      <c r="AD72" s="290"/>
      <c r="AE72" s="290"/>
      <c r="AF72" s="290"/>
      <c r="AG72" s="290"/>
      <c r="AH72" s="290"/>
      <c r="AI72" s="290"/>
      <c r="AJ72" s="290"/>
      <c r="AK72" s="290"/>
      <c r="AL72" s="290"/>
      <c r="AM72" s="290"/>
      <c r="AN72" s="290"/>
      <c r="AO72" s="290"/>
      <c r="AP72" s="290"/>
      <c r="AQ72" s="290"/>
      <c r="AR72" s="290"/>
      <c r="AS72" s="290"/>
      <c r="AT72" s="290"/>
    </row>
    <row r="73" spans="1:46" ht="15.5" x14ac:dyDescent="0.35">
      <c r="A73" s="293"/>
      <c r="B73" s="293"/>
      <c r="C73" s="293"/>
      <c r="D73" s="293"/>
      <c r="E73" s="294"/>
      <c r="F73" s="293"/>
      <c r="G73" s="293"/>
      <c r="H73" s="295"/>
      <c r="I73" s="295"/>
      <c r="J73" s="295"/>
      <c r="K73" s="293"/>
      <c r="L73" s="293"/>
      <c r="M73" s="293"/>
      <c r="N73" s="293"/>
      <c r="O73" s="293"/>
      <c r="P73" s="810">
        <f>K28</f>
        <v>120</v>
      </c>
      <c r="Q73" s="810">
        <f>IF(P73&gt;P74,P75,IF(P73&lt;=P74,P73))</f>
        <v>120</v>
      </c>
      <c r="R73" s="147"/>
      <c r="S73" s="147"/>
      <c r="T73" s="290"/>
      <c r="U73" s="290"/>
      <c r="V73" s="290"/>
      <c r="W73" s="290"/>
      <c r="X73" s="290"/>
      <c r="Y73" s="290"/>
      <c r="Z73" s="290"/>
      <c r="AA73" s="290"/>
      <c r="AB73" s="290"/>
      <c r="AC73" s="290"/>
      <c r="AD73" s="290"/>
      <c r="AE73" s="290"/>
      <c r="AF73" s="290"/>
      <c r="AG73" s="290"/>
      <c r="AH73" s="290"/>
      <c r="AI73" s="290"/>
      <c r="AJ73" s="290"/>
      <c r="AK73" s="290"/>
      <c r="AL73" s="290"/>
      <c r="AM73" s="290"/>
      <c r="AN73" s="290"/>
      <c r="AO73" s="290"/>
      <c r="AP73" s="290"/>
      <c r="AQ73" s="290"/>
      <c r="AR73" s="290"/>
      <c r="AS73" s="290"/>
      <c r="AT73" s="290"/>
    </row>
    <row r="74" spans="1:46" ht="15.5" x14ac:dyDescent="0.35">
      <c r="A74" s="293"/>
      <c r="B74" s="293"/>
      <c r="C74" s="293"/>
      <c r="D74" s="293"/>
      <c r="E74" s="294"/>
      <c r="F74" s="293"/>
      <c r="G74" s="293"/>
      <c r="H74" s="293"/>
      <c r="I74" s="293"/>
      <c r="J74" s="293"/>
      <c r="K74" s="293"/>
      <c r="L74" s="293"/>
      <c r="M74" s="293"/>
      <c r="N74" s="293"/>
      <c r="O74" s="293"/>
      <c r="P74" s="811">
        <f>P30</f>
        <v>500</v>
      </c>
      <c r="Q74" s="810">
        <f>Q73</f>
        <v>120</v>
      </c>
      <c r="R74" s="147"/>
      <c r="S74" s="147"/>
      <c r="T74" s="290"/>
      <c r="U74" s="290"/>
      <c r="V74" s="290"/>
      <c r="W74" s="290"/>
      <c r="X74" s="290"/>
      <c r="Y74" s="290"/>
      <c r="Z74" s="290"/>
      <c r="AA74" s="290"/>
      <c r="AB74" s="290"/>
      <c r="AC74" s="290"/>
      <c r="AD74" s="290"/>
      <c r="AE74" s="290"/>
      <c r="AF74" s="290"/>
      <c r="AG74" s="290"/>
      <c r="AH74" s="290"/>
      <c r="AI74" s="290"/>
      <c r="AJ74" s="290"/>
      <c r="AK74" s="290"/>
      <c r="AL74" s="290"/>
      <c r="AM74" s="290"/>
      <c r="AN74" s="290"/>
      <c r="AO74" s="290"/>
      <c r="AP74" s="290"/>
      <c r="AQ74" s="290"/>
      <c r="AR74" s="290"/>
      <c r="AS74" s="290"/>
      <c r="AT74" s="290"/>
    </row>
    <row r="75" spans="1:46" ht="15.5" x14ac:dyDescent="0.35">
      <c r="A75" s="293"/>
      <c r="B75" s="293"/>
      <c r="C75" s="293"/>
      <c r="D75" s="293"/>
      <c r="E75" s="294"/>
      <c r="F75" s="293"/>
      <c r="G75" s="293"/>
      <c r="H75" s="293"/>
      <c r="I75" s="293"/>
      <c r="J75" s="293"/>
      <c r="K75" s="293"/>
      <c r="L75" s="293"/>
      <c r="M75" s="293"/>
      <c r="N75" s="293"/>
      <c r="O75" s="293"/>
      <c r="P75" s="810">
        <f>IF(P30=100,200,Q32)</f>
        <v>0</v>
      </c>
      <c r="Q75" s="810">
        <f>IF(P73&lt;=P74,P77,IF(P75&lt;=100,P77,0))</f>
        <v>40</v>
      </c>
      <c r="R75" s="147"/>
      <c r="S75" s="147"/>
      <c r="T75" s="290"/>
      <c r="U75" s="290"/>
      <c r="V75" s="290"/>
      <c r="W75" s="290"/>
      <c r="X75" s="290"/>
      <c r="Y75" s="290"/>
      <c r="Z75" s="290"/>
      <c r="AA75" s="290"/>
      <c r="AB75" s="290"/>
      <c r="AC75" s="290"/>
      <c r="AD75" s="290"/>
      <c r="AE75" s="290"/>
      <c r="AF75" s="290"/>
      <c r="AG75" s="290"/>
      <c r="AH75" s="290"/>
      <c r="AI75" s="290"/>
      <c r="AJ75" s="290"/>
      <c r="AK75" s="290"/>
      <c r="AL75" s="290"/>
      <c r="AM75" s="290"/>
      <c r="AN75" s="290"/>
      <c r="AO75" s="290"/>
      <c r="AP75" s="290"/>
      <c r="AQ75" s="290"/>
      <c r="AR75" s="290"/>
      <c r="AS75" s="290"/>
      <c r="AT75" s="290"/>
    </row>
    <row r="76" spans="1:46" ht="16" thickBot="1" x14ac:dyDescent="0.4">
      <c r="A76" s="293"/>
      <c r="B76" s="293"/>
      <c r="C76" s="293"/>
      <c r="D76" s="293"/>
      <c r="E76" s="294"/>
      <c r="F76" s="293"/>
      <c r="G76" s="293"/>
      <c r="H76" s="293"/>
      <c r="I76" s="293"/>
      <c r="J76" s="293"/>
      <c r="K76" s="293"/>
      <c r="L76" s="293"/>
      <c r="M76" s="293"/>
      <c r="N76" s="293"/>
      <c r="O76" s="293"/>
      <c r="P76" s="810"/>
      <c r="Q76" s="147"/>
      <c r="R76" s="147"/>
      <c r="S76" s="147"/>
      <c r="T76" s="290"/>
      <c r="U76" s="290"/>
      <c r="V76" s="290"/>
      <c r="W76" s="290"/>
      <c r="X76" s="290"/>
      <c r="Y76" s="290"/>
      <c r="Z76" s="290"/>
      <c r="AA76" s="290"/>
      <c r="AB76" s="290"/>
      <c r="AC76" s="290"/>
      <c r="AD76" s="290"/>
      <c r="AE76" s="290"/>
      <c r="AF76" s="290"/>
      <c r="AG76" s="290"/>
      <c r="AH76" s="290"/>
      <c r="AI76" s="290"/>
      <c r="AJ76" s="290"/>
      <c r="AK76" s="290"/>
      <c r="AL76" s="290"/>
      <c r="AM76" s="290"/>
      <c r="AN76" s="290"/>
      <c r="AO76" s="290"/>
      <c r="AP76" s="290"/>
      <c r="AQ76" s="290"/>
      <c r="AR76" s="290"/>
      <c r="AS76" s="290"/>
      <c r="AT76" s="290"/>
    </row>
    <row r="77" spans="1:46" ht="15.5" x14ac:dyDescent="0.35">
      <c r="A77" s="293"/>
      <c r="B77" s="601"/>
      <c r="C77" s="601"/>
      <c r="D77" s="601"/>
      <c r="E77" s="671"/>
      <c r="F77" s="601"/>
      <c r="G77" s="601"/>
      <c r="H77" s="601"/>
      <c r="I77" s="601"/>
      <c r="J77" s="601"/>
      <c r="K77" s="601"/>
      <c r="L77" s="601"/>
      <c r="M77" s="601"/>
      <c r="N77" s="601"/>
      <c r="O77" s="601"/>
      <c r="P77" s="809">
        <f>SUM(Penyelia!L25:L27)</f>
        <v>40</v>
      </c>
      <c r="Q77" s="673"/>
      <c r="R77" s="674"/>
      <c r="S77" s="675">
        <v>0</v>
      </c>
      <c r="T77" s="676" t="s">
        <v>100</v>
      </c>
      <c r="U77" s="677"/>
      <c r="V77" s="678"/>
      <c r="W77" s="290"/>
      <c r="X77" s="290"/>
      <c r="Y77" s="290"/>
      <c r="Z77" s="290"/>
      <c r="AA77" s="290"/>
      <c r="AB77" s="290"/>
      <c r="AC77" s="290"/>
      <c r="AD77" s="290"/>
      <c r="AE77" s="290"/>
      <c r="AF77" s="290"/>
      <c r="AG77" s="290"/>
      <c r="AH77" s="290"/>
      <c r="AI77" s="290"/>
      <c r="AJ77" s="290"/>
      <c r="AK77" s="290"/>
      <c r="AL77" s="290"/>
      <c r="AM77" s="290"/>
      <c r="AN77" s="290"/>
      <c r="AO77" s="290"/>
      <c r="AP77" s="290"/>
      <c r="AQ77" s="290"/>
      <c r="AR77" s="290"/>
      <c r="AS77" s="290"/>
      <c r="AT77" s="290"/>
    </row>
    <row r="78" spans="1:46" ht="15.5" x14ac:dyDescent="0.35">
      <c r="A78" s="293"/>
      <c r="B78" s="601"/>
      <c r="C78" s="601"/>
      <c r="D78" s="601"/>
      <c r="E78" s="671"/>
      <c r="F78" s="601"/>
      <c r="G78" s="601"/>
      <c r="H78" s="601"/>
      <c r="I78" s="601"/>
      <c r="J78" s="601"/>
      <c r="K78" s="601"/>
      <c r="L78" s="601"/>
      <c r="M78" s="601"/>
      <c r="N78" s="601"/>
      <c r="O78" s="601"/>
      <c r="P78" s="809">
        <f>Q75</f>
        <v>40</v>
      </c>
      <c r="Q78" s="672"/>
      <c r="R78" s="679">
        <f>Q75</f>
        <v>40</v>
      </c>
      <c r="S78" s="680">
        <v>20</v>
      </c>
      <c r="T78" s="672" t="s">
        <v>161</v>
      </c>
      <c r="U78" s="672"/>
      <c r="V78" s="681"/>
      <c r="W78" s="290"/>
      <c r="X78" s="290"/>
      <c r="Y78" s="290"/>
      <c r="Z78" s="290"/>
      <c r="AA78" s="290"/>
      <c r="AB78" s="290"/>
      <c r="AC78" s="290"/>
      <c r="AD78" s="290"/>
      <c r="AE78" s="290"/>
      <c r="AF78" s="290"/>
      <c r="AG78" s="290"/>
      <c r="AH78" s="290"/>
      <c r="AI78" s="290"/>
      <c r="AJ78" s="290"/>
      <c r="AK78" s="290"/>
      <c r="AL78" s="290"/>
      <c r="AM78" s="290"/>
      <c r="AN78" s="290"/>
      <c r="AO78" s="290"/>
      <c r="AP78" s="290"/>
      <c r="AQ78" s="290"/>
      <c r="AR78" s="290"/>
      <c r="AS78" s="290"/>
      <c r="AT78" s="290"/>
    </row>
    <row r="79" spans="1:46" ht="16" thickBot="1" x14ac:dyDescent="0.4">
      <c r="A79" s="293"/>
      <c r="B79" s="601"/>
      <c r="C79" s="601"/>
      <c r="D79" s="601"/>
      <c r="E79" s="671"/>
      <c r="F79" s="601"/>
      <c r="G79" s="601"/>
      <c r="H79" s="601"/>
      <c r="I79" s="601"/>
      <c r="J79" s="601"/>
      <c r="K79" s="601"/>
      <c r="L79" s="601"/>
      <c r="M79" s="601"/>
      <c r="N79" s="601"/>
      <c r="O79" s="601"/>
      <c r="P79" s="809"/>
      <c r="Q79" s="613"/>
      <c r="R79" s="682"/>
      <c r="S79" s="683">
        <v>40</v>
      </c>
      <c r="T79" s="684" t="s">
        <v>100</v>
      </c>
      <c r="U79" s="685"/>
      <c r="V79" s="686"/>
      <c r="W79" s="290"/>
      <c r="X79" s="290"/>
      <c r="Y79" s="290"/>
      <c r="Z79" s="290"/>
      <c r="AA79" s="290"/>
      <c r="AB79" s="290"/>
      <c r="AC79" s="290"/>
      <c r="AD79" s="290"/>
      <c r="AE79" s="290"/>
      <c r="AF79" s="290"/>
      <c r="AG79" s="290"/>
      <c r="AH79" s="290"/>
      <c r="AI79" s="290"/>
      <c r="AJ79" s="290"/>
      <c r="AK79" s="290"/>
      <c r="AL79" s="290"/>
      <c r="AM79" s="290"/>
      <c r="AN79" s="290"/>
      <c r="AO79" s="290"/>
      <c r="AP79" s="290"/>
      <c r="AQ79" s="290"/>
      <c r="AR79" s="290"/>
      <c r="AS79" s="290"/>
      <c r="AT79" s="290"/>
    </row>
    <row r="80" spans="1:46" ht="12.75" customHeight="1" x14ac:dyDescent="0.35">
      <c r="A80" s="293"/>
      <c r="B80" s="1045" t="s">
        <v>33</v>
      </c>
      <c r="C80" s="1043" t="s">
        <v>34</v>
      </c>
      <c r="D80" s="1043" t="s">
        <v>51</v>
      </c>
      <c r="E80" s="1052" t="s">
        <v>162</v>
      </c>
      <c r="F80" s="1052"/>
      <c r="G80" s="1052"/>
      <c r="H80" s="1052"/>
      <c r="I80" s="1052"/>
      <c r="J80" s="1052"/>
      <c r="K80" s="1043" t="s">
        <v>403</v>
      </c>
      <c r="L80" s="598" t="s">
        <v>164</v>
      </c>
      <c r="M80" s="599" t="s">
        <v>165</v>
      </c>
      <c r="N80" s="600" t="s">
        <v>166</v>
      </c>
      <c r="O80" s="1053" t="s">
        <v>167</v>
      </c>
      <c r="P80" s="601"/>
      <c r="Q80" s="613"/>
      <c r="R80" s="1050" t="str">
        <f>VLOOKUP(R78,S77:V79,2,0)</f>
        <v>-</v>
      </c>
      <c r="S80" s="1050"/>
      <c r="T80" s="1050"/>
      <c r="U80" s="1050"/>
      <c r="V80" s="1050"/>
      <c r="W80" s="290"/>
      <c r="X80" s="290"/>
      <c r="Y80" s="290"/>
      <c r="Z80" s="290"/>
      <c r="AA80" s="290"/>
      <c r="AB80" s="290"/>
      <c r="AC80" s="290"/>
      <c r="AD80" s="290"/>
      <c r="AE80" s="290"/>
      <c r="AF80" s="290"/>
      <c r="AG80" s="290"/>
      <c r="AH80" s="290"/>
      <c r="AI80" s="290"/>
      <c r="AJ80" s="290"/>
      <c r="AK80" s="290"/>
      <c r="AL80" s="290"/>
      <c r="AM80" s="290"/>
      <c r="AN80" s="290"/>
      <c r="AO80" s="290"/>
      <c r="AP80" s="290"/>
      <c r="AQ80" s="290"/>
      <c r="AR80" s="290"/>
      <c r="AS80" s="290"/>
      <c r="AT80" s="290"/>
    </row>
    <row r="81" spans="1:46" ht="29.25" customHeight="1" x14ac:dyDescent="0.35">
      <c r="A81" s="293"/>
      <c r="B81" s="1045"/>
      <c r="C81" s="1044"/>
      <c r="D81" s="1044"/>
      <c r="E81" s="309" t="s">
        <v>54</v>
      </c>
      <c r="F81" s="309" t="s">
        <v>55</v>
      </c>
      <c r="G81" s="309" t="s">
        <v>56</v>
      </c>
      <c r="H81" s="309" t="s">
        <v>57</v>
      </c>
      <c r="I81" s="309" t="s">
        <v>58</v>
      </c>
      <c r="J81" s="602" t="s">
        <v>59</v>
      </c>
      <c r="K81" s="1044"/>
      <c r="L81" s="603"/>
      <c r="M81" s="604"/>
      <c r="N81" s="605"/>
      <c r="O81" s="1054"/>
      <c r="P81" s="601"/>
      <c r="Q81" s="613"/>
      <c r="R81" s="613"/>
      <c r="S81" s="613"/>
      <c r="T81" s="613"/>
      <c r="U81" s="613"/>
      <c r="V81" s="613"/>
      <c r="W81" s="290"/>
      <c r="X81" s="290"/>
      <c r="Y81" s="290"/>
      <c r="Z81" s="290"/>
      <c r="AA81" s="290"/>
      <c r="AB81" s="290"/>
      <c r="AC81" s="290"/>
      <c r="AD81" s="290"/>
      <c r="AE81" s="290"/>
      <c r="AF81" s="290"/>
      <c r="AG81" s="290"/>
      <c r="AH81" s="290"/>
      <c r="AI81" s="290"/>
      <c r="AJ81" s="290"/>
      <c r="AK81" s="290"/>
      <c r="AL81" s="290"/>
      <c r="AM81" s="290"/>
      <c r="AN81" s="290"/>
      <c r="AO81" s="290"/>
      <c r="AP81" s="290"/>
      <c r="AQ81" s="290"/>
      <c r="AR81" s="290"/>
      <c r="AS81" s="290"/>
      <c r="AT81" s="290"/>
    </row>
    <row r="82" spans="1:46" ht="13.5" customHeight="1" x14ac:dyDescent="0.35">
      <c r="A82" s="293"/>
      <c r="B82" s="606">
        <v>1</v>
      </c>
      <c r="C82" s="1043" t="s">
        <v>168</v>
      </c>
      <c r="D82" s="607">
        <v>30</v>
      </c>
      <c r="E82" s="608">
        <f>E45</f>
        <v>30</v>
      </c>
      <c r="F82" s="608">
        <f t="shared" ref="F82:J82" si="0">F45</f>
        <v>30</v>
      </c>
      <c r="G82" s="608">
        <f t="shared" si="0"/>
        <v>30</v>
      </c>
      <c r="H82" s="608">
        <f t="shared" si="0"/>
        <v>30</v>
      </c>
      <c r="I82" s="608">
        <f t="shared" si="0"/>
        <v>30</v>
      </c>
      <c r="J82" s="608">
        <f t="shared" si="0"/>
        <v>30</v>
      </c>
      <c r="K82" s="609">
        <f>AVERAGE(E82:J82)</f>
        <v>30</v>
      </c>
      <c r="L82" s="308">
        <f>D82-K82</f>
        <v>0</v>
      </c>
      <c r="M82" s="610">
        <f>STDEV(E82:J82)</f>
        <v>0</v>
      </c>
      <c r="N82" s="308">
        <f>(((ABS(L82))+O82)/(D82))*100</f>
        <v>1.9327563845710882</v>
      </c>
      <c r="O82" s="309">
        <f>UBBPM!J11</f>
        <v>0.57982691537132647</v>
      </c>
      <c r="P82" s="601"/>
      <c r="Q82" s="613"/>
      <c r="R82" s="613"/>
      <c r="S82" s="613"/>
      <c r="T82" s="613"/>
      <c r="U82" s="613"/>
      <c r="V82" s="613"/>
      <c r="W82" s="290"/>
      <c r="X82" s="290"/>
      <c r="Y82" s="290"/>
      <c r="Z82" s="290"/>
      <c r="AA82" s="290"/>
      <c r="AB82" s="290"/>
      <c r="AC82" s="290"/>
      <c r="AD82" s="290"/>
      <c r="AE82" s="290"/>
      <c r="AF82" s="290"/>
      <c r="AG82" s="290"/>
      <c r="AH82" s="290"/>
      <c r="AI82" s="290"/>
      <c r="AJ82" s="290"/>
      <c r="AK82" s="290"/>
      <c r="AL82" s="290"/>
      <c r="AM82" s="290"/>
      <c r="AN82" s="290"/>
      <c r="AO82" s="290"/>
      <c r="AP82" s="290"/>
      <c r="AQ82" s="290"/>
      <c r="AR82" s="290"/>
      <c r="AS82" s="290"/>
      <c r="AT82" s="290"/>
    </row>
    <row r="83" spans="1:46" ht="12.75" customHeight="1" x14ac:dyDescent="0.35">
      <c r="A83" s="293"/>
      <c r="B83" s="606">
        <v>2</v>
      </c>
      <c r="C83" s="1062"/>
      <c r="D83" s="611">
        <v>60</v>
      </c>
      <c r="E83" s="608">
        <f t="shared" ref="E83:J83" si="1">E46</f>
        <v>60</v>
      </c>
      <c r="F83" s="608">
        <f t="shared" si="1"/>
        <v>60</v>
      </c>
      <c r="G83" s="608">
        <f t="shared" si="1"/>
        <v>60</v>
      </c>
      <c r="H83" s="608">
        <f t="shared" si="1"/>
        <v>60</v>
      </c>
      <c r="I83" s="608">
        <f t="shared" si="1"/>
        <v>60</v>
      </c>
      <c r="J83" s="608">
        <f t="shared" si="1"/>
        <v>60</v>
      </c>
      <c r="K83" s="609">
        <f t="shared" ref="K83:K85" si="2">AVERAGE(E83:J83)</f>
        <v>60</v>
      </c>
      <c r="L83" s="308">
        <f>D83-K83</f>
        <v>0</v>
      </c>
      <c r="M83" s="610">
        <f>STDEV(E83:J83)</f>
        <v>0</v>
      </c>
      <c r="N83" s="308">
        <f>(((ABS(L83))+O83)/(D83))*100</f>
        <v>0.96637819228554411</v>
      </c>
      <c r="O83" s="309">
        <f>UBBPM!J21</f>
        <v>0.57982691537132647</v>
      </c>
      <c r="P83" s="601"/>
      <c r="Q83" s="613"/>
      <c r="R83" s="613"/>
      <c r="S83" s="613"/>
      <c r="T83" s="613"/>
      <c r="U83" s="613"/>
      <c r="V83" s="613"/>
      <c r="W83" s="290"/>
      <c r="X83" s="290"/>
      <c r="Y83" s="290"/>
      <c r="Z83" s="290"/>
      <c r="AA83" s="290"/>
      <c r="AB83" s="290"/>
      <c r="AC83" s="290"/>
      <c r="AD83" s="290"/>
      <c r="AE83" s="290"/>
      <c r="AF83" s="290"/>
      <c r="AG83" s="290"/>
      <c r="AH83" s="290"/>
      <c r="AI83" s="290"/>
      <c r="AJ83" s="290"/>
      <c r="AK83" s="290"/>
      <c r="AL83" s="290"/>
      <c r="AM83" s="290"/>
      <c r="AN83" s="290"/>
      <c r="AO83" s="290"/>
      <c r="AP83" s="290"/>
      <c r="AQ83" s="290"/>
      <c r="AR83" s="290"/>
      <c r="AS83" s="290"/>
      <c r="AT83" s="290"/>
    </row>
    <row r="84" spans="1:46" ht="15.5" x14ac:dyDescent="0.35">
      <c r="A84" s="293"/>
      <c r="B84" s="309" t="s">
        <v>169</v>
      </c>
      <c r="C84" s="1062"/>
      <c r="D84" s="612">
        <v>120</v>
      </c>
      <c r="E84" s="608">
        <f t="shared" ref="E84:J84" si="3">E47</f>
        <v>120</v>
      </c>
      <c r="F84" s="608">
        <f t="shared" si="3"/>
        <v>120</v>
      </c>
      <c r="G84" s="608">
        <f t="shared" si="3"/>
        <v>120</v>
      </c>
      <c r="H84" s="608">
        <f t="shared" si="3"/>
        <v>120</v>
      </c>
      <c r="I84" s="608">
        <f t="shared" si="3"/>
        <v>120</v>
      </c>
      <c r="J84" s="608">
        <f t="shared" si="3"/>
        <v>120</v>
      </c>
      <c r="K84" s="609">
        <f t="shared" si="2"/>
        <v>120</v>
      </c>
      <c r="L84" s="308">
        <f>D84-K84</f>
        <v>0</v>
      </c>
      <c r="M84" s="610">
        <f>STDEV(E84:J84)</f>
        <v>0</v>
      </c>
      <c r="N84" s="308">
        <f>(((ABS(L84))+O84)/(D84))*100</f>
        <v>0.48318909614277206</v>
      </c>
      <c r="O84" s="309">
        <f>UBBPM!J32</f>
        <v>0.57982691537132647</v>
      </c>
      <c r="P84" s="601"/>
      <c r="Q84" s="613"/>
      <c r="R84" s="613"/>
      <c r="S84" s="613"/>
      <c r="T84" s="613"/>
      <c r="U84" s="613"/>
      <c r="V84" s="613"/>
      <c r="W84" s="290"/>
      <c r="X84" s="290"/>
      <c r="Y84" s="290"/>
      <c r="Z84" s="290"/>
      <c r="AA84" s="290"/>
      <c r="AB84" s="290"/>
      <c r="AC84" s="290"/>
      <c r="AD84" s="290"/>
      <c r="AE84" s="290"/>
      <c r="AF84" s="290"/>
      <c r="AG84" s="290"/>
      <c r="AH84" s="290"/>
      <c r="AI84" s="290"/>
      <c r="AJ84" s="290"/>
      <c r="AK84" s="290"/>
      <c r="AL84" s="290"/>
      <c r="AM84" s="290"/>
      <c r="AN84" s="290"/>
      <c r="AO84" s="290"/>
      <c r="AP84" s="290"/>
      <c r="AQ84" s="290"/>
      <c r="AR84" s="290"/>
      <c r="AS84" s="290"/>
      <c r="AT84" s="290"/>
    </row>
    <row r="85" spans="1:46" ht="15.5" x14ac:dyDescent="0.35">
      <c r="A85" s="290"/>
      <c r="B85" s="309" t="s">
        <v>170</v>
      </c>
      <c r="C85" s="1044"/>
      <c r="D85" s="612">
        <v>240</v>
      </c>
      <c r="E85" s="608">
        <f t="shared" ref="E85:J85" si="4">E48</f>
        <v>240</v>
      </c>
      <c r="F85" s="608">
        <f t="shared" si="4"/>
        <v>240</v>
      </c>
      <c r="G85" s="608">
        <f t="shared" si="4"/>
        <v>240</v>
      </c>
      <c r="H85" s="608">
        <f t="shared" si="4"/>
        <v>240</v>
      </c>
      <c r="I85" s="608">
        <f t="shared" si="4"/>
        <v>240</v>
      </c>
      <c r="J85" s="608">
        <f t="shared" si="4"/>
        <v>240</v>
      </c>
      <c r="K85" s="609">
        <f t="shared" si="2"/>
        <v>240</v>
      </c>
      <c r="L85" s="308">
        <f>D85-K85</f>
        <v>0</v>
      </c>
      <c r="M85" s="610">
        <f>STDEV(E85:J85)</f>
        <v>0</v>
      </c>
      <c r="N85" s="308">
        <f>(((ABS(L85))+O85)/(D85))*100</f>
        <v>0.24159454807138603</v>
      </c>
      <c r="O85" s="309">
        <f>UBBPM!J42</f>
        <v>0.57982691537132647</v>
      </c>
      <c r="P85" s="601"/>
      <c r="Q85" s="613"/>
      <c r="R85" s="613"/>
      <c r="S85" s="613"/>
      <c r="T85" s="613"/>
      <c r="U85" s="613"/>
      <c r="V85" s="613"/>
      <c r="W85" s="290"/>
      <c r="X85" s="290"/>
      <c r="Y85" s="290"/>
      <c r="Z85" s="290"/>
      <c r="AA85" s="290"/>
      <c r="AB85" s="290"/>
      <c r="AC85" s="290"/>
      <c r="AD85" s="290"/>
      <c r="AE85" s="290"/>
      <c r="AF85" s="290"/>
      <c r="AG85" s="290"/>
      <c r="AH85" s="290"/>
      <c r="AI85" s="290"/>
      <c r="AJ85" s="290"/>
      <c r="AK85" s="290"/>
      <c r="AL85" s="290"/>
      <c r="AM85" s="290"/>
      <c r="AN85" s="290"/>
      <c r="AO85" s="290"/>
      <c r="AP85" s="290"/>
      <c r="AQ85" s="290"/>
      <c r="AR85" s="290"/>
      <c r="AS85" s="290"/>
      <c r="AT85" s="290"/>
    </row>
    <row r="86" spans="1:46" ht="15.5" x14ac:dyDescent="0.35">
      <c r="A86" s="290"/>
      <c r="B86" s="613"/>
      <c r="C86" s="613"/>
      <c r="D86" s="613"/>
      <c r="E86" s="614"/>
      <c r="F86" s="613"/>
      <c r="G86" s="613"/>
      <c r="H86" s="613"/>
      <c r="I86" s="613"/>
      <c r="J86" s="613"/>
      <c r="K86" s="613"/>
      <c r="L86" s="613"/>
      <c r="M86" s="613"/>
      <c r="N86" s="613"/>
      <c r="O86" s="601"/>
      <c r="P86" s="601"/>
      <c r="Q86" s="613"/>
      <c r="R86" s="613"/>
      <c r="S86" s="613"/>
      <c r="T86" s="613"/>
      <c r="U86" s="613"/>
      <c r="V86" s="613"/>
      <c r="W86" s="290"/>
      <c r="X86" s="290"/>
      <c r="Y86" s="290"/>
      <c r="Z86" s="290"/>
      <c r="AA86" s="290"/>
      <c r="AB86" s="290"/>
      <c r="AC86" s="290"/>
      <c r="AD86" s="290"/>
      <c r="AE86" s="290"/>
      <c r="AF86" s="290"/>
      <c r="AG86" s="290"/>
      <c r="AH86" s="290"/>
      <c r="AI86" s="290"/>
      <c r="AJ86" s="290"/>
      <c r="AK86" s="290"/>
      <c r="AL86" s="290"/>
      <c r="AM86" s="290"/>
      <c r="AN86" s="290"/>
      <c r="AO86" s="290"/>
      <c r="AP86" s="290"/>
      <c r="AQ86" s="290"/>
      <c r="AR86" s="290"/>
      <c r="AS86" s="290"/>
      <c r="AT86" s="290"/>
    </row>
    <row r="87" spans="1:46" ht="15.5" x14ac:dyDescent="0.35">
      <c r="A87" s="290"/>
      <c r="B87" s="1045" t="s">
        <v>33</v>
      </c>
      <c r="C87" s="1043" t="s">
        <v>34</v>
      </c>
      <c r="D87" s="1043" t="s">
        <v>51</v>
      </c>
      <c r="E87" s="1065" t="s">
        <v>171</v>
      </c>
      <c r="F87" s="1066"/>
      <c r="G87" s="1066"/>
      <c r="H87" s="1066"/>
      <c r="I87" s="1066"/>
      <c r="J87" s="1067"/>
      <c r="K87" s="1043" t="s">
        <v>172</v>
      </c>
      <c r="L87" s="1043" t="s">
        <v>163</v>
      </c>
      <c r="M87" s="1063" t="s">
        <v>164</v>
      </c>
      <c r="N87" s="1070" t="s">
        <v>165</v>
      </c>
      <c r="O87" s="615" t="s">
        <v>173</v>
      </c>
      <c r="P87" s="1068" t="s">
        <v>167</v>
      </c>
      <c r="Q87" s="613"/>
      <c r="R87" s="613"/>
      <c r="S87" s="613"/>
      <c r="T87" s="613"/>
      <c r="U87" s="613"/>
      <c r="V87" s="613"/>
      <c r="W87" s="290"/>
      <c r="X87" s="290"/>
      <c r="Y87" s="290"/>
      <c r="Z87" s="290"/>
      <c r="AA87" s="290"/>
      <c r="AB87" s="290"/>
      <c r="AC87" s="290"/>
      <c r="AD87" s="290"/>
      <c r="AE87" s="290"/>
      <c r="AF87" s="290"/>
      <c r="AG87" s="290"/>
      <c r="AH87" s="290"/>
      <c r="AI87" s="290"/>
      <c r="AJ87" s="290"/>
      <c r="AK87" s="290"/>
      <c r="AL87" s="290"/>
      <c r="AM87" s="290"/>
      <c r="AN87" s="290"/>
      <c r="AO87" s="290"/>
      <c r="AP87" s="290"/>
      <c r="AQ87" s="290"/>
      <c r="AR87" s="290"/>
      <c r="AS87" s="290"/>
      <c r="AT87" s="290"/>
    </row>
    <row r="88" spans="1:46" ht="15.5" x14ac:dyDescent="0.35">
      <c r="A88" s="290"/>
      <c r="B88" s="1045"/>
      <c r="C88" s="1044"/>
      <c r="D88" s="1044"/>
      <c r="E88" s="616" t="s">
        <v>54</v>
      </c>
      <c r="F88" s="617" t="s">
        <v>55</v>
      </c>
      <c r="G88" s="618" t="s">
        <v>56</v>
      </c>
      <c r="H88" s="617" t="s">
        <v>57</v>
      </c>
      <c r="I88" s="617" t="s">
        <v>58</v>
      </c>
      <c r="J88" s="617" t="s">
        <v>59</v>
      </c>
      <c r="K88" s="1044"/>
      <c r="L88" s="1044"/>
      <c r="M88" s="1064"/>
      <c r="N88" s="1071"/>
      <c r="O88" s="619" t="s">
        <v>174</v>
      </c>
      <c r="P88" s="1069"/>
      <c r="Q88" s="613"/>
      <c r="R88" s="613"/>
      <c r="S88" s="613"/>
      <c r="T88" s="613"/>
      <c r="U88" s="613"/>
      <c r="V88" s="613"/>
      <c r="W88" s="290"/>
      <c r="X88" s="290"/>
      <c r="Y88" s="290"/>
      <c r="Z88" s="290"/>
      <c r="AA88" s="290"/>
      <c r="AB88" s="290"/>
      <c r="AC88" s="290"/>
      <c r="AD88" s="290"/>
      <c r="AE88" s="290"/>
      <c r="AF88" s="290"/>
      <c r="AG88" s="290"/>
      <c r="AH88" s="290"/>
      <c r="AI88" s="290"/>
      <c r="AJ88" s="290"/>
      <c r="AK88" s="290"/>
      <c r="AL88" s="290"/>
      <c r="AM88" s="290"/>
      <c r="AN88" s="290"/>
      <c r="AO88" s="290"/>
      <c r="AP88" s="290"/>
      <c r="AQ88" s="290"/>
      <c r="AR88" s="290"/>
      <c r="AS88" s="290"/>
      <c r="AT88" s="290"/>
    </row>
    <row r="89" spans="1:46" ht="15.5" x14ac:dyDescent="0.35">
      <c r="A89" s="290"/>
      <c r="B89" s="606" t="s">
        <v>149</v>
      </c>
      <c r="C89" s="1043" t="s">
        <v>61</v>
      </c>
      <c r="D89" s="620">
        <v>100</v>
      </c>
      <c r="E89" s="621">
        <f t="shared" ref="E89:J95" si="5">E34</f>
        <v>99</v>
      </c>
      <c r="F89" s="621">
        <f t="shared" si="5"/>
        <v>99</v>
      </c>
      <c r="G89" s="621">
        <f t="shared" si="5"/>
        <v>99</v>
      </c>
      <c r="H89" s="621">
        <f t="shared" si="5"/>
        <v>99</v>
      </c>
      <c r="I89" s="621">
        <f t="shared" si="5"/>
        <v>99</v>
      </c>
      <c r="J89" s="621">
        <f t="shared" si="5"/>
        <v>99</v>
      </c>
      <c r="K89" s="308">
        <f>AVERAGE(E89:J89)</f>
        <v>99</v>
      </c>
      <c r="L89" s="308">
        <f>K89+UBSPO2!H107</f>
        <v>99</v>
      </c>
      <c r="M89" s="308">
        <f>D89-L89</f>
        <v>1</v>
      </c>
      <c r="N89" s="308">
        <f t="shared" ref="N89:N95" si="6">STDEV(E89:J89)</f>
        <v>0</v>
      </c>
      <c r="O89" s="309">
        <f>(D89-L89)/D89*100</f>
        <v>1</v>
      </c>
      <c r="P89" s="308">
        <f>UBSPO2!$J$11</f>
        <v>0.57982691537132647</v>
      </c>
      <c r="Q89" s="613"/>
      <c r="R89" s="613"/>
      <c r="S89" s="613"/>
      <c r="T89" s="613"/>
      <c r="U89" s="613"/>
      <c r="V89" s="613"/>
      <c r="W89" s="290"/>
      <c r="X89" s="290"/>
      <c r="Y89" s="290"/>
      <c r="Z89" s="290"/>
      <c r="AA89" s="290"/>
      <c r="AB89" s="290"/>
      <c r="AC89" s="290"/>
      <c r="AD89" s="290"/>
      <c r="AE89" s="290"/>
      <c r="AF89" s="290"/>
      <c r="AG89" s="290"/>
      <c r="AH89" s="290"/>
      <c r="AI89" s="290"/>
      <c r="AJ89" s="290"/>
      <c r="AK89" s="290"/>
      <c r="AL89" s="290"/>
      <c r="AM89" s="290"/>
      <c r="AN89" s="290"/>
      <c r="AO89" s="290"/>
      <c r="AP89" s="290"/>
      <c r="AQ89" s="290"/>
      <c r="AR89" s="290"/>
      <c r="AS89" s="290"/>
      <c r="AT89" s="290"/>
    </row>
    <row r="90" spans="1:46" ht="15.5" x14ac:dyDescent="0.35">
      <c r="A90" s="290"/>
      <c r="B90" s="606" t="s">
        <v>64</v>
      </c>
      <c r="C90" s="1062"/>
      <c r="D90" s="620">
        <v>99</v>
      </c>
      <c r="E90" s="621">
        <f t="shared" si="5"/>
        <v>99</v>
      </c>
      <c r="F90" s="621">
        <f t="shared" si="5"/>
        <v>99</v>
      </c>
      <c r="G90" s="621">
        <f t="shared" si="5"/>
        <v>99</v>
      </c>
      <c r="H90" s="621">
        <f t="shared" si="5"/>
        <v>99</v>
      </c>
      <c r="I90" s="621">
        <f t="shared" si="5"/>
        <v>99</v>
      </c>
      <c r="J90" s="621">
        <f t="shared" si="5"/>
        <v>99</v>
      </c>
      <c r="K90" s="308">
        <f t="shared" ref="K90:K95" si="7">AVERAGE(E90:J90)</f>
        <v>99</v>
      </c>
      <c r="L90" s="308">
        <f>K90+UBSPO2!H106</f>
        <v>99</v>
      </c>
      <c r="M90" s="308">
        <f t="shared" ref="M90:M95" si="8">D90-L90</f>
        <v>0</v>
      </c>
      <c r="N90" s="308">
        <f t="shared" si="6"/>
        <v>0</v>
      </c>
      <c r="O90" s="309">
        <f t="shared" ref="O90:O95" si="9">(D90-L90)/D90*100</f>
        <v>0</v>
      </c>
      <c r="P90" s="308">
        <f>UBSPO2!$J$21</f>
        <v>0.57982691537132647</v>
      </c>
      <c r="Q90" s="613"/>
      <c r="R90" s="613"/>
      <c r="S90" s="613"/>
      <c r="T90" s="613"/>
      <c r="U90" s="613"/>
      <c r="V90" s="613"/>
      <c r="W90" s="290"/>
      <c r="X90" s="290"/>
      <c r="Y90" s="290"/>
      <c r="Z90" s="290"/>
      <c r="AA90" s="290"/>
      <c r="AB90" s="290"/>
      <c r="AC90" s="290"/>
      <c r="AD90" s="290"/>
      <c r="AE90" s="290"/>
      <c r="AF90" s="290"/>
      <c r="AG90" s="290"/>
      <c r="AH90" s="290"/>
      <c r="AI90" s="290"/>
      <c r="AJ90" s="290"/>
      <c r="AK90" s="290"/>
      <c r="AL90" s="290"/>
      <c r="AM90" s="290"/>
      <c r="AN90" s="290"/>
      <c r="AO90" s="290"/>
      <c r="AP90" s="290"/>
      <c r="AQ90" s="290"/>
      <c r="AR90" s="290"/>
      <c r="AS90" s="290"/>
      <c r="AT90" s="290"/>
    </row>
    <row r="91" spans="1:46" ht="15.5" x14ac:dyDescent="0.35">
      <c r="A91" s="290"/>
      <c r="B91" s="606" t="s">
        <v>65</v>
      </c>
      <c r="C91" s="1062"/>
      <c r="D91" s="309">
        <v>98</v>
      </c>
      <c r="E91" s="621">
        <f t="shared" si="5"/>
        <v>98</v>
      </c>
      <c r="F91" s="621">
        <f t="shared" si="5"/>
        <v>98</v>
      </c>
      <c r="G91" s="621">
        <f t="shared" si="5"/>
        <v>98</v>
      </c>
      <c r="H91" s="621">
        <f t="shared" si="5"/>
        <v>98</v>
      </c>
      <c r="I91" s="621">
        <f t="shared" si="5"/>
        <v>98</v>
      </c>
      <c r="J91" s="621">
        <f t="shared" si="5"/>
        <v>98</v>
      </c>
      <c r="K91" s="308">
        <f t="shared" si="7"/>
        <v>98</v>
      </c>
      <c r="L91" s="308">
        <f>K91+UBSPO2!H105</f>
        <v>98</v>
      </c>
      <c r="M91" s="308">
        <f t="shared" si="8"/>
        <v>0</v>
      </c>
      <c r="N91" s="308">
        <f t="shared" si="6"/>
        <v>0</v>
      </c>
      <c r="O91" s="309">
        <f t="shared" si="9"/>
        <v>0</v>
      </c>
      <c r="P91" s="308">
        <f>UBSPO2!$J$31</f>
        <v>0.57982691537132647</v>
      </c>
      <c r="Q91" s="613"/>
      <c r="R91" s="613"/>
      <c r="S91" s="613"/>
      <c r="T91" s="613"/>
      <c r="U91" s="613"/>
      <c r="V91" s="613"/>
      <c r="W91" s="290"/>
      <c r="X91" s="290"/>
      <c r="Y91" s="290"/>
      <c r="Z91" s="290"/>
      <c r="AA91" s="290"/>
      <c r="AB91" s="290"/>
      <c r="AC91" s="290"/>
      <c r="AD91" s="290"/>
      <c r="AE91" s="290"/>
      <c r="AF91" s="290"/>
      <c r="AG91" s="290"/>
      <c r="AH91" s="290"/>
      <c r="AI91" s="290"/>
      <c r="AJ91" s="290"/>
      <c r="AK91" s="290"/>
      <c r="AL91" s="290"/>
      <c r="AM91" s="290"/>
      <c r="AN91" s="290"/>
      <c r="AO91" s="290"/>
      <c r="AP91" s="290"/>
      <c r="AQ91" s="290"/>
      <c r="AR91" s="290"/>
      <c r="AS91" s="290"/>
      <c r="AT91" s="290"/>
    </row>
    <row r="92" spans="1:46" ht="15.5" x14ac:dyDescent="0.35">
      <c r="A92" s="290"/>
      <c r="B92" s="606" t="s">
        <v>66</v>
      </c>
      <c r="C92" s="1062"/>
      <c r="D92" s="309">
        <v>97</v>
      </c>
      <c r="E92" s="621">
        <f t="shared" si="5"/>
        <v>97</v>
      </c>
      <c r="F92" s="621">
        <f t="shared" si="5"/>
        <v>97</v>
      </c>
      <c r="G92" s="621">
        <f t="shared" si="5"/>
        <v>97</v>
      </c>
      <c r="H92" s="621">
        <f t="shared" si="5"/>
        <v>97</v>
      </c>
      <c r="I92" s="621">
        <f t="shared" si="5"/>
        <v>97</v>
      </c>
      <c r="J92" s="621">
        <f t="shared" si="5"/>
        <v>97</v>
      </c>
      <c r="K92" s="308">
        <f t="shared" si="7"/>
        <v>97</v>
      </c>
      <c r="L92" s="308">
        <f>K92+UBSPO2!H104</f>
        <v>97</v>
      </c>
      <c r="M92" s="308">
        <f t="shared" si="8"/>
        <v>0</v>
      </c>
      <c r="N92" s="308">
        <f t="shared" si="6"/>
        <v>0</v>
      </c>
      <c r="O92" s="309">
        <f t="shared" si="9"/>
        <v>0</v>
      </c>
      <c r="P92" s="308">
        <f>UBSPO2!$J$41</f>
        <v>0.57982691537132647</v>
      </c>
      <c r="Q92" s="613"/>
      <c r="R92" s="613"/>
      <c r="S92" s="613"/>
      <c r="T92" s="613"/>
      <c r="U92" s="613"/>
      <c r="V92" s="613"/>
      <c r="W92" s="290"/>
      <c r="X92" s="290"/>
      <c r="Y92" s="290"/>
      <c r="Z92" s="290"/>
      <c r="AA92" s="290"/>
      <c r="AB92" s="290"/>
      <c r="AC92" s="290"/>
      <c r="AD92" s="290"/>
      <c r="AE92" s="290"/>
      <c r="AF92" s="290"/>
      <c r="AG92" s="290"/>
      <c r="AH92" s="290"/>
      <c r="AI92" s="290"/>
      <c r="AJ92" s="290"/>
      <c r="AK92" s="290"/>
      <c r="AL92" s="290"/>
      <c r="AM92" s="290"/>
      <c r="AN92" s="290"/>
      <c r="AO92" s="290"/>
      <c r="AP92" s="290"/>
      <c r="AQ92" s="290"/>
      <c r="AR92" s="290"/>
      <c r="AS92" s="290"/>
      <c r="AT92" s="290"/>
    </row>
    <row r="93" spans="1:46" ht="15.5" x14ac:dyDescent="0.35">
      <c r="A93" s="290"/>
      <c r="B93" s="606" t="s">
        <v>67</v>
      </c>
      <c r="C93" s="1062"/>
      <c r="D93" s="309">
        <v>95</v>
      </c>
      <c r="E93" s="621">
        <f t="shared" si="5"/>
        <v>95</v>
      </c>
      <c r="F93" s="621">
        <f t="shared" si="5"/>
        <v>95</v>
      </c>
      <c r="G93" s="621">
        <f t="shared" si="5"/>
        <v>95</v>
      </c>
      <c r="H93" s="621">
        <f t="shared" si="5"/>
        <v>95</v>
      </c>
      <c r="I93" s="621">
        <f t="shared" si="5"/>
        <v>95</v>
      </c>
      <c r="J93" s="621">
        <f t="shared" si="5"/>
        <v>95</v>
      </c>
      <c r="K93" s="308">
        <f t="shared" si="7"/>
        <v>95</v>
      </c>
      <c r="L93" s="308">
        <f>K93+UBSPO2!H103</f>
        <v>95</v>
      </c>
      <c r="M93" s="308">
        <f t="shared" si="8"/>
        <v>0</v>
      </c>
      <c r="N93" s="308">
        <f t="shared" si="6"/>
        <v>0</v>
      </c>
      <c r="O93" s="309">
        <f t="shared" si="9"/>
        <v>0</v>
      </c>
      <c r="P93" s="308">
        <f>UBSPO2!$J$51</f>
        <v>0.57982691537132647</v>
      </c>
      <c r="Q93" s="613"/>
      <c r="R93" s="613"/>
      <c r="S93" s="613"/>
      <c r="T93" s="613"/>
      <c r="U93" s="613"/>
      <c r="V93" s="613"/>
      <c r="W93" s="290"/>
      <c r="X93" s="290"/>
      <c r="Y93" s="290"/>
      <c r="Z93" s="290"/>
      <c r="AA93" s="290"/>
      <c r="AB93" s="290"/>
      <c r="AC93" s="290"/>
      <c r="AD93" s="290"/>
      <c r="AE93" s="290"/>
      <c r="AF93" s="290"/>
      <c r="AG93" s="290"/>
      <c r="AH93" s="290"/>
      <c r="AI93" s="290"/>
      <c r="AJ93" s="290"/>
      <c r="AK93" s="290"/>
      <c r="AL93" s="290"/>
      <c r="AM93" s="290"/>
      <c r="AN93" s="290"/>
      <c r="AO93" s="290"/>
      <c r="AP93" s="290"/>
      <c r="AQ93" s="290"/>
      <c r="AR93" s="290"/>
      <c r="AS93" s="290"/>
      <c r="AT93" s="290"/>
    </row>
    <row r="94" spans="1:46" ht="15.5" x14ac:dyDescent="0.35">
      <c r="A94" s="290"/>
      <c r="B94" s="606" t="s">
        <v>68</v>
      </c>
      <c r="C94" s="1062"/>
      <c r="D94" s="309">
        <v>90</v>
      </c>
      <c r="E94" s="621">
        <f t="shared" si="5"/>
        <v>90</v>
      </c>
      <c r="F94" s="621">
        <f t="shared" si="5"/>
        <v>90</v>
      </c>
      <c r="G94" s="621">
        <f t="shared" si="5"/>
        <v>90</v>
      </c>
      <c r="H94" s="621">
        <f t="shared" si="5"/>
        <v>90</v>
      </c>
      <c r="I94" s="621">
        <f t="shared" si="5"/>
        <v>90</v>
      </c>
      <c r="J94" s="621">
        <f t="shared" si="5"/>
        <v>90</v>
      </c>
      <c r="K94" s="308">
        <f t="shared" si="7"/>
        <v>90</v>
      </c>
      <c r="L94" s="308">
        <f>K94+UBSPO2!H102</f>
        <v>90</v>
      </c>
      <c r="M94" s="308">
        <f t="shared" si="8"/>
        <v>0</v>
      </c>
      <c r="N94" s="308">
        <f t="shared" si="6"/>
        <v>0</v>
      </c>
      <c r="O94" s="309">
        <f t="shared" si="9"/>
        <v>0</v>
      </c>
      <c r="P94" s="308">
        <f>UBSPO2!$J$61</f>
        <v>0.57982691537132647</v>
      </c>
      <c r="Q94" s="613"/>
      <c r="R94" s="613"/>
      <c r="S94" s="613"/>
      <c r="T94" s="613"/>
      <c r="U94" s="613"/>
      <c r="V94" s="613"/>
      <c r="W94" s="290"/>
      <c r="X94" s="290"/>
      <c r="Y94" s="290"/>
      <c r="Z94" s="290"/>
      <c r="AA94" s="290"/>
      <c r="AB94" s="290"/>
      <c r="AC94" s="290"/>
      <c r="AD94" s="290"/>
      <c r="AE94" s="290"/>
      <c r="AF94" s="290"/>
      <c r="AG94" s="290"/>
      <c r="AH94" s="290"/>
      <c r="AI94" s="290"/>
      <c r="AJ94" s="290"/>
      <c r="AK94" s="290"/>
      <c r="AL94" s="290"/>
      <c r="AM94" s="290"/>
      <c r="AN94" s="290"/>
      <c r="AO94" s="290"/>
      <c r="AP94" s="290"/>
      <c r="AQ94" s="290"/>
      <c r="AR94" s="290"/>
      <c r="AS94" s="290"/>
      <c r="AT94" s="290"/>
    </row>
    <row r="95" spans="1:46" ht="15.5" x14ac:dyDescent="0.35">
      <c r="A95" s="290"/>
      <c r="B95" s="606" t="s">
        <v>69</v>
      </c>
      <c r="C95" s="1044"/>
      <c r="D95" s="309">
        <v>85</v>
      </c>
      <c r="E95" s="621">
        <f t="shared" si="5"/>
        <v>85</v>
      </c>
      <c r="F95" s="621">
        <f t="shared" si="5"/>
        <v>85</v>
      </c>
      <c r="G95" s="621">
        <f t="shared" si="5"/>
        <v>85</v>
      </c>
      <c r="H95" s="621">
        <f t="shared" si="5"/>
        <v>85</v>
      </c>
      <c r="I95" s="621">
        <f t="shared" si="5"/>
        <v>85</v>
      </c>
      <c r="J95" s="621">
        <f t="shared" si="5"/>
        <v>85</v>
      </c>
      <c r="K95" s="308">
        <f t="shared" si="7"/>
        <v>85</v>
      </c>
      <c r="L95" s="308">
        <f>K95+UBSPO2!H101</f>
        <v>85</v>
      </c>
      <c r="M95" s="308">
        <f t="shared" si="8"/>
        <v>0</v>
      </c>
      <c r="N95" s="308">
        <f t="shared" si="6"/>
        <v>0</v>
      </c>
      <c r="O95" s="309">
        <f t="shared" si="9"/>
        <v>0</v>
      </c>
      <c r="P95" s="308">
        <f>UBSPO2!$J$71</f>
        <v>0.57982691537132647</v>
      </c>
      <c r="Q95" s="613"/>
      <c r="R95" s="613"/>
      <c r="S95" s="613"/>
      <c r="T95" s="613"/>
      <c r="U95" s="613"/>
      <c r="V95" s="613"/>
      <c r="W95" s="290"/>
      <c r="X95" s="290"/>
      <c r="Y95" s="290"/>
      <c r="Z95" s="290"/>
      <c r="AA95" s="290"/>
      <c r="AB95" s="290"/>
      <c r="AC95" s="290"/>
      <c r="AD95" s="290"/>
      <c r="AE95" s="290"/>
      <c r="AF95" s="290"/>
      <c r="AG95" s="290"/>
      <c r="AH95" s="290"/>
      <c r="AI95" s="290"/>
      <c r="AJ95" s="290"/>
      <c r="AK95" s="290"/>
      <c r="AL95" s="290"/>
      <c r="AM95" s="290"/>
      <c r="AN95" s="290"/>
      <c r="AO95" s="290"/>
      <c r="AP95" s="290"/>
      <c r="AQ95" s="290"/>
      <c r="AR95" s="290"/>
      <c r="AS95" s="290"/>
      <c r="AT95" s="290"/>
    </row>
    <row r="96" spans="1:46" ht="15.5" x14ac:dyDescent="0.35">
      <c r="A96" s="290"/>
      <c r="B96" s="613"/>
      <c r="C96" s="613"/>
      <c r="D96" s="613"/>
      <c r="E96" s="614"/>
      <c r="F96" s="613"/>
      <c r="G96" s="613"/>
      <c r="H96" s="613"/>
      <c r="I96" s="613"/>
      <c r="J96" s="613"/>
      <c r="K96" s="613"/>
      <c r="L96" s="613"/>
      <c r="M96" s="613"/>
      <c r="N96" s="613"/>
      <c r="O96" s="601"/>
      <c r="P96" s="601"/>
      <c r="Q96" s="613"/>
      <c r="R96" s="613"/>
      <c r="S96" s="613"/>
      <c r="T96" s="613"/>
      <c r="U96" s="613"/>
      <c r="V96" s="613"/>
      <c r="W96" s="290"/>
      <c r="X96" s="290"/>
      <c r="Y96" s="290"/>
      <c r="Z96" s="290"/>
      <c r="AA96" s="290"/>
      <c r="AB96" s="290"/>
      <c r="AC96" s="290"/>
      <c r="AD96" s="290"/>
      <c r="AE96" s="290"/>
      <c r="AF96" s="290"/>
      <c r="AG96" s="290"/>
      <c r="AH96" s="290"/>
      <c r="AI96" s="290"/>
      <c r="AJ96" s="290"/>
      <c r="AK96" s="290"/>
      <c r="AL96" s="290"/>
      <c r="AM96" s="290"/>
      <c r="AN96" s="290"/>
      <c r="AO96" s="290"/>
      <c r="AP96" s="290"/>
      <c r="AQ96" s="290"/>
      <c r="AR96" s="290"/>
      <c r="AS96" s="290"/>
      <c r="AT96" s="290"/>
    </row>
    <row r="97" spans="1:46" ht="15.5" x14ac:dyDescent="0.35">
      <c r="A97" s="290"/>
      <c r="B97" s="290"/>
      <c r="C97" s="290"/>
      <c r="D97" s="290"/>
      <c r="E97" s="310"/>
      <c r="F97" s="290"/>
      <c r="G97" s="290"/>
      <c r="H97" s="290"/>
      <c r="I97" s="290"/>
      <c r="J97" s="290"/>
      <c r="K97" s="290"/>
      <c r="L97" s="290"/>
      <c r="M97" s="290"/>
      <c r="N97" s="290"/>
      <c r="O97" s="293"/>
      <c r="P97" s="293"/>
      <c r="Q97" s="290"/>
      <c r="R97" s="290"/>
      <c r="S97" s="290"/>
      <c r="T97" s="290"/>
      <c r="U97" s="290"/>
      <c r="V97" s="290"/>
      <c r="W97" s="290"/>
      <c r="X97" s="290"/>
      <c r="Y97" s="290"/>
      <c r="Z97" s="290"/>
      <c r="AA97" s="290"/>
      <c r="AB97" s="290"/>
      <c r="AC97" s="290"/>
      <c r="AD97" s="290"/>
      <c r="AE97" s="290"/>
      <c r="AF97" s="290"/>
      <c r="AG97" s="290"/>
      <c r="AH97" s="290"/>
      <c r="AI97" s="290"/>
      <c r="AJ97" s="290"/>
      <c r="AK97" s="290"/>
      <c r="AL97" s="290"/>
      <c r="AM97" s="290"/>
      <c r="AN97" s="290"/>
      <c r="AO97" s="290"/>
      <c r="AP97" s="290"/>
      <c r="AQ97" s="290"/>
      <c r="AR97" s="290"/>
      <c r="AS97" s="290"/>
      <c r="AT97" s="290"/>
    </row>
    <row r="98" spans="1:46" ht="15.5" x14ac:dyDescent="0.35">
      <c r="A98" s="290"/>
      <c r="B98" s="290"/>
      <c r="C98" s="290"/>
      <c r="D98" s="290"/>
      <c r="E98" s="310"/>
      <c r="F98" s="290"/>
      <c r="G98" s="290"/>
      <c r="H98" s="290"/>
      <c r="I98" s="290"/>
      <c r="J98" s="290"/>
      <c r="K98" s="290"/>
      <c r="L98" s="290"/>
      <c r="M98" s="290"/>
      <c r="N98" s="290"/>
      <c r="O98" s="293"/>
      <c r="P98" s="293"/>
      <c r="Q98" s="290"/>
      <c r="R98" s="290"/>
      <c r="S98" s="290"/>
      <c r="T98" s="290"/>
      <c r="U98" s="290"/>
      <c r="V98" s="290"/>
      <c r="W98" s="290"/>
      <c r="X98" s="290"/>
      <c r="Y98" s="290"/>
      <c r="Z98" s="290"/>
      <c r="AA98" s="290"/>
      <c r="AB98" s="290"/>
      <c r="AC98" s="290"/>
      <c r="AD98" s="290"/>
      <c r="AE98" s="290"/>
      <c r="AF98" s="290"/>
      <c r="AG98" s="290"/>
      <c r="AH98" s="290"/>
      <c r="AI98" s="290"/>
      <c r="AJ98" s="290"/>
      <c r="AK98" s="290"/>
      <c r="AL98" s="290"/>
      <c r="AM98" s="290"/>
      <c r="AN98" s="290"/>
      <c r="AO98" s="290"/>
      <c r="AP98" s="290"/>
      <c r="AQ98" s="290"/>
      <c r="AR98" s="290"/>
      <c r="AS98" s="290"/>
      <c r="AT98" s="290"/>
    </row>
    <row r="99" spans="1:46" ht="15.5" x14ac:dyDescent="0.35">
      <c r="A99" s="290"/>
      <c r="B99" s="290"/>
      <c r="C99" s="290" t="s">
        <v>143</v>
      </c>
      <c r="D99" s="290"/>
      <c r="E99" s="310"/>
      <c r="F99" s="290"/>
      <c r="G99" s="290"/>
      <c r="H99" s="290"/>
      <c r="I99" s="290"/>
      <c r="J99" s="290"/>
      <c r="K99" s="290"/>
      <c r="L99" s="290"/>
      <c r="M99" s="290"/>
      <c r="N99" s="290"/>
      <c r="O99" s="293"/>
      <c r="P99" s="293"/>
      <c r="Q99" s="290"/>
      <c r="R99" s="290"/>
      <c r="S99" s="290"/>
      <c r="T99" s="290"/>
      <c r="U99" s="290"/>
      <c r="V99" s="290"/>
      <c r="W99" s="290"/>
      <c r="X99" s="290"/>
      <c r="Y99" s="290"/>
      <c r="Z99" s="290"/>
      <c r="AA99" s="290"/>
      <c r="AB99" s="290"/>
      <c r="AC99" s="290"/>
      <c r="AD99" s="290"/>
      <c r="AE99" s="290"/>
      <c r="AF99" s="290"/>
      <c r="AG99" s="290"/>
      <c r="AH99" s="290"/>
      <c r="AI99" s="290"/>
      <c r="AJ99" s="290"/>
      <c r="AK99" s="290"/>
      <c r="AL99" s="290"/>
      <c r="AM99" s="290"/>
      <c r="AN99" s="290"/>
      <c r="AO99" s="290"/>
      <c r="AP99" s="290"/>
      <c r="AQ99" s="290"/>
      <c r="AR99" s="290"/>
      <c r="AS99" s="290"/>
      <c r="AT99" s="290"/>
    </row>
    <row r="100" spans="1:46" ht="15.5" x14ac:dyDescent="0.35">
      <c r="A100" s="290"/>
      <c r="B100" s="290"/>
      <c r="C100" s="290" t="s">
        <v>175</v>
      </c>
      <c r="D100" s="290"/>
      <c r="E100" s="310"/>
      <c r="F100" s="290"/>
      <c r="G100" s="290"/>
      <c r="H100" s="290"/>
      <c r="I100" s="290"/>
      <c r="J100" s="290"/>
      <c r="K100" s="290"/>
      <c r="L100" s="290"/>
      <c r="M100" s="290"/>
      <c r="N100" s="290"/>
      <c r="O100" s="293"/>
      <c r="P100" s="293"/>
      <c r="Q100" s="290"/>
      <c r="R100" s="290"/>
      <c r="S100" s="290"/>
      <c r="T100" s="290"/>
      <c r="U100" s="290"/>
      <c r="V100" s="290"/>
      <c r="W100" s="290"/>
      <c r="X100" s="290"/>
      <c r="Y100" s="290"/>
      <c r="Z100" s="290"/>
      <c r="AA100" s="290"/>
      <c r="AB100" s="290"/>
      <c r="AC100" s="290"/>
      <c r="AD100" s="290"/>
      <c r="AE100" s="290"/>
      <c r="AF100" s="290"/>
      <c r="AG100" s="290"/>
      <c r="AH100" s="290"/>
      <c r="AI100" s="290"/>
      <c r="AJ100" s="290"/>
      <c r="AK100" s="290"/>
      <c r="AL100" s="290"/>
      <c r="AM100" s="290"/>
      <c r="AN100" s="290"/>
      <c r="AO100" s="290"/>
      <c r="AP100" s="290"/>
      <c r="AQ100" s="290"/>
      <c r="AR100" s="290"/>
      <c r="AS100" s="290"/>
      <c r="AT100" s="290"/>
    </row>
    <row r="101" spans="1:46" ht="15.5" x14ac:dyDescent="0.35">
      <c r="A101" s="290"/>
      <c r="B101" s="290"/>
      <c r="C101" s="290"/>
      <c r="D101" s="290"/>
      <c r="E101" s="310"/>
      <c r="F101" s="290"/>
      <c r="G101" s="290"/>
      <c r="H101" s="290"/>
      <c r="I101" s="290"/>
      <c r="J101" s="290"/>
      <c r="K101" s="290"/>
      <c r="L101" s="290"/>
      <c r="M101" s="290"/>
      <c r="N101" s="290"/>
      <c r="O101" s="293"/>
      <c r="P101" s="293"/>
      <c r="Q101" s="290"/>
      <c r="R101" s="290"/>
      <c r="S101" s="290"/>
      <c r="T101" s="290"/>
      <c r="U101" s="290"/>
      <c r="V101" s="290"/>
      <c r="W101" s="290"/>
      <c r="X101" s="290"/>
      <c r="Y101" s="290"/>
      <c r="Z101" s="290"/>
      <c r="AA101" s="290"/>
      <c r="AB101" s="290"/>
      <c r="AC101" s="290"/>
      <c r="AD101" s="290"/>
      <c r="AE101" s="290"/>
      <c r="AF101" s="290"/>
      <c r="AG101" s="290"/>
      <c r="AH101" s="290"/>
      <c r="AI101" s="290"/>
      <c r="AJ101" s="290"/>
      <c r="AK101" s="290"/>
      <c r="AL101" s="290"/>
      <c r="AM101" s="290"/>
      <c r="AN101" s="290"/>
      <c r="AO101" s="290"/>
      <c r="AP101" s="290"/>
      <c r="AQ101" s="290"/>
      <c r="AR101" s="290"/>
      <c r="AS101" s="290"/>
      <c r="AT101" s="290"/>
    </row>
    <row r="102" spans="1:46" ht="15.5" x14ac:dyDescent="0.35">
      <c r="A102" s="290"/>
      <c r="B102" s="290"/>
      <c r="C102" s="290" t="s">
        <v>176</v>
      </c>
      <c r="D102" s="290"/>
      <c r="E102" s="310"/>
      <c r="F102" s="290"/>
      <c r="G102" s="290"/>
      <c r="H102" s="290"/>
      <c r="I102" s="290"/>
      <c r="J102" s="290"/>
      <c r="K102" s="290"/>
      <c r="L102" s="290"/>
      <c r="M102" s="290"/>
      <c r="N102" s="290"/>
      <c r="O102" s="293"/>
      <c r="P102" s="293"/>
      <c r="Q102" s="290"/>
      <c r="R102" s="290"/>
      <c r="S102" s="290"/>
      <c r="T102" s="290"/>
      <c r="U102" s="290"/>
      <c r="V102" s="290"/>
      <c r="W102" s="290"/>
      <c r="X102" s="290"/>
      <c r="Y102" s="290"/>
      <c r="Z102" s="290"/>
      <c r="AA102" s="290"/>
      <c r="AB102" s="290"/>
      <c r="AC102" s="290"/>
      <c r="AD102" s="290"/>
      <c r="AE102" s="290"/>
      <c r="AF102" s="290"/>
      <c r="AG102" s="290"/>
      <c r="AH102" s="290"/>
      <c r="AI102" s="290"/>
      <c r="AJ102" s="290"/>
      <c r="AK102" s="290"/>
      <c r="AL102" s="290"/>
      <c r="AM102" s="290"/>
      <c r="AN102" s="290"/>
      <c r="AO102" s="290"/>
      <c r="AP102" s="290"/>
      <c r="AQ102" s="290"/>
      <c r="AR102" s="290"/>
      <c r="AS102" s="290"/>
      <c r="AT102" s="290"/>
    </row>
    <row r="103" spans="1:46" ht="15.5" x14ac:dyDescent="0.35">
      <c r="A103" s="290"/>
      <c r="B103" s="290"/>
      <c r="C103" s="290" t="s">
        <v>177</v>
      </c>
      <c r="D103" s="290"/>
      <c r="E103" s="310"/>
      <c r="F103" s="290"/>
      <c r="G103" s="290"/>
      <c r="H103" s="290"/>
      <c r="I103" s="290"/>
      <c r="J103" s="290"/>
      <c r="K103" s="290"/>
      <c r="L103" s="290"/>
      <c r="M103" s="290"/>
      <c r="N103" s="290"/>
      <c r="O103" s="293"/>
      <c r="P103" s="293"/>
      <c r="Q103" s="290"/>
      <c r="R103" s="290"/>
      <c r="S103" s="290"/>
      <c r="T103" s="290"/>
      <c r="U103" s="290"/>
      <c r="V103" s="290"/>
      <c r="W103" s="290"/>
      <c r="X103" s="290"/>
      <c r="Y103" s="290"/>
      <c r="Z103" s="290"/>
      <c r="AA103" s="290"/>
      <c r="AB103" s="290"/>
      <c r="AC103" s="290"/>
      <c r="AD103" s="290"/>
      <c r="AE103" s="290"/>
      <c r="AF103" s="290"/>
      <c r="AG103" s="290"/>
      <c r="AH103" s="290"/>
      <c r="AI103" s="290"/>
      <c r="AJ103" s="290"/>
      <c r="AK103" s="290"/>
      <c r="AL103" s="290"/>
      <c r="AM103" s="290"/>
      <c r="AN103" s="290"/>
      <c r="AO103" s="290"/>
      <c r="AP103" s="290"/>
      <c r="AQ103" s="290"/>
      <c r="AR103" s="290"/>
      <c r="AS103" s="290"/>
      <c r="AT103" s="290"/>
    </row>
    <row r="104" spans="1:46" ht="15.5" x14ac:dyDescent="0.35">
      <c r="A104" s="290"/>
      <c r="B104" s="290"/>
      <c r="C104" s="290" t="s">
        <v>178</v>
      </c>
      <c r="D104" s="290"/>
      <c r="E104" s="310"/>
      <c r="F104" s="290"/>
      <c r="G104" s="290"/>
      <c r="H104" s="290"/>
      <c r="I104" s="290"/>
      <c r="J104" s="290"/>
      <c r="K104" s="290"/>
      <c r="L104" s="290"/>
      <c r="M104" s="290"/>
      <c r="N104" s="290"/>
      <c r="O104" s="293"/>
      <c r="P104" s="293"/>
      <c r="Q104" s="290"/>
      <c r="R104" s="290"/>
      <c r="S104" s="290"/>
      <c r="T104" s="290"/>
      <c r="U104" s="290"/>
      <c r="V104" s="290"/>
      <c r="W104" s="290"/>
      <c r="X104" s="290"/>
      <c r="Y104" s="290"/>
      <c r="Z104" s="290"/>
      <c r="AA104" s="290"/>
      <c r="AB104" s="290"/>
      <c r="AC104" s="290"/>
      <c r="AD104" s="290"/>
      <c r="AE104" s="290"/>
      <c r="AF104" s="290"/>
      <c r="AG104" s="290"/>
      <c r="AH104" s="290"/>
      <c r="AI104" s="290"/>
      <c r="AJ104" s="290"/>
      <c r="AK104" s="290"/>
      <c r="AL104" s="290"/>
      <c r="AM104" s="290"/>
      <c r="AN104" s="290"/>
      <c r="AO104" s="290"/>
      <c r="AP104" s="290"/>
      <c r="AQ104" s="290"/>
      <c r="AR104" s="290"/>
      <c r="AS104" s="290"/>
      <c r="AT104" s="290"/>
    </row>
    <row r="105" spans="1:46" ht="15.5" x14ac:dyDescent="0.35">
      <c r="A105" s="290"/>
      <c r="B105" s="290"/>
      <c r="C105" s="290" t="s">
        <v>179</v>
      </c>
      <c r="D105" s="290"/>
      <c r="E105" s="310"/>
      <c r="F105" s="290"/>
      <c r="G105" s="290"/>
      <c r="H105" s="290"/>
      <c r="I105" s="290"/>
      <c r="J105" s="290"/>
      <c r="K105" s="290"/>
      <c r="L105" s="290"/>
      <c r="M105" s="290"/>
      <c r="N105" s="290"/>
      <c r="O105" s="293"/>
      <c r="P105" s="293"/>
      <c r="Q105" s="290"/>
      <c r="R105" s="290"/>
      <c r="S105" s="290"/>
      <c r="T105" s="290"/>
      <c r="U105" s="290"/>
      <c r="V105" s="290"/>
      <c r="W105" s="290"/>
      <c r="X105" s="290"/>
      <c r="Y105" s="290"/>
      <c r="Z105" s="290"/>
      <c r="AA105" s="290"/>
      <c r="AB105" s="290"/>
      <c r="AC105" s="290"/>
      <c r="AD105" s="290"/>
      <c r="AE105" s="290"/>
      <c r="AF105" s="290"/>
      <c r="AG105" s="290"/>
      <c r="AH105" s="290"/>
      <c r="AI105" s="290"/>
      <c r="AJ105" s="290"/>
      <c r="AK105" s="290"/>
      <c r="AL105" s="290"/>
      <c r="AM105" s="290"/>
      <c r="AN105" s="290"/>
      <c r="AO105" s="290"/>
      <c r="AP105" s="290"/>
      <c r="AQ105" s="290"/>
      <c r="AR105" s="290"/>
      <c r="AS105" s="290"/>
      <c r="AT105" s="290"/>
    </row>
    <row r="106" spans="1:46" ht="15.5" x14ac:dyDescent="0.35">
      <c r="A106" s="290"/>
      <c r="B106" s="290"/>
      <c r="C106" s="290"/>
      <c r="D106" s="290"/>
      <c r="E106" s="310"/>
      <c r="F106" s="290"/>
      <c r="G106" s="290"/>
      <c r="H106" s="290"/>
      <c r="I106" s="290"/>
      <c r="J106" s="290"/>
      <c r="K106" s="290"/>
      <c r="L106" s="290"/>
      <c r="M106" s="290"/>
      <c r="N106" s="290"/>
      <c r="O106" s="293"/>
      <c r="P106" s="293"/>
      <c r="Q106" s="290"/>
      <c r="R106" s="290"/>
      <c r="S106" s="290"/>
      <c r="T106" s="290"/>
      <c r="U106" s="290"/>
      <c r="V106" s="290"/>
      <c r="W106" s="290"/>
      <c r="X106" s="290"/>
      <c r="Y106" s="290"/>
      <c r="Z106" s="290"/>
      <c r="AA106" s="290"/>
      <c r="AB106" s="290"/>
      <c r="AC106" s="290"/>
      <c r="AD106" s="290"/>
      <c r="AE106" s="290"/>
      <c r="AF106" s="290"/>
      <c r="AG106" s="290"/>
      <c r="AH106" s="290"/>
      <c r="AI106" s="290"/>
      <c r="AJ106" s="290"/>
      <c r="AK106" s="290"/>
      <c r="AL106" s="290"/>
      <c r="AM106" s="290"/>
      <c r="AN106" s="290"/>
      <c r="AO106" s="290"/>
      <c r="AP106" s="290"/>
      <c r="AQ106" s="290"/>
      <c r="AR106" s="290"/>
      <c r="AS106" s="290"/>
      <c r="AT106" s="290"/>
    </row>
    <row r="107" spans="1:46" ht="15.5" x14ac:dyDescent="0.35">
      <c r="A107" s="290"/>
      <c r="B107" s="290"/>
      <c r="C107" s="290" t="s">
        <v>180</v>
      </c>
      <c r="D107" s="290"/>
      <c r="E107" s="310"/>
      <c r="F107" s="290"/>
      <c r="G107" s="290"/>
      <c r="H107" s="290"/>
      <c r="I107" s="290"/>
      <c r="J107" s="290"/>
      <c r="K107" s="290"/>
      <c r="L107" s="290"/>
      <c r="M107" s="290"/>
      <c r="N107" s="290"/>
      <c r="O107" s="293"/>
      <c r="P107" s="293"/>
      <c r="Q107" s="290"/>
      <c r="R107" s="290"/>
      <c r="S107" s="290"/>
      <c r="T107" s="290"/>
      <c r="U107" s="290"/>
      <c r="V107" s="290"/>
      <c r="W107" s="290"/>
      <c r="X107" s="290"/>
      <c r="Y107" s="290"/>
      <c r="Z107" s="290"/>
      <c r="AA107" s="290"/>
      <c r="AB107" s="290"/>
      <c r="AC107" s="290"/>
      <c r="AD107" s="290"/>
      <c r="AE107" s="290"/>
      <c r="AF107" s="290"/>
      <c r="AG107" s="290"/>
      <c r="AH107" s="290"/>
      <c r="AI107" s="290"/>
      <c r="AJ107" s="290"/>
      <c r="AK107" s="290"/>
      <c r="AL107" s="290"/>
      <c r="AM107" s="290"/>
      <c r="AN107" s="290"/>
      <c r="AO107" s="290"/>
      <c r="AP107" s="290"/>
      <c r="AQ107" s="290"/>
      <c r="AR107" s="290"/>
      <c r="AS107" s="290"/>
      <c r="AT107" s="290"/>
    </row>
    <row r="108" spans="1:46" ht="15.5" x14ac:dyDescent="0.35">
      <c r="A108" s="290"/>
      <c r="B108" s="290"/>
      <c r="C108" s="290" t="s">
        <v>181</v>
      </c>
      <c r="D108" s="290"/>
      <c r="E108" s="310"/>
      <c r="F108" s="290"/>
      <c r="G108" s="290"/>
      <c r="H108" s="290"/>
      <c r="I108" s="290"/>
      <c r="J108" s="290"/>
      <c r="K108" s="290"/>
      <c r="L108" s="290"/>
      <c r="M108" s="290"/>
      <c r="N108" s="290"/>
      <c r="O108" s="293"/>
      <c r="P108" s="293"/>
      <c r="Q108" s="290"/>
      <c r="R108" s="290"/>
      <c r="S108" s="290"/>
      <c r="T108" s="290"/>
      <c r="U108" s="290"/>
      <c r="V108" s="290"/>
      <c r="W108" s="290"/>
      <c r="X108" s="290"/>
      <c r="Y108" s="290"/>
      <c r="Z108" s="290"/>
      <c r="AA108" s="290"/>
      <c r="AB108" s="290"/>
      <c r="AC108" s="290"/>
      <c r="AD108" s="290"/>
      <c r="AE108" s="290"/>
      <c r="AF108" s="290"/>
      <c r="AG108" s="290"/>
      <c r="AH108" s="290"/>
      <c r="AI108" s="290"/>
      <c r="AJ108" s="290"/>
      <c r="AK108" s="290"/>
      <c r="AL108" s="290"/>
      <c r="AM108" s="290"/>
      <c r="AN108" s="290"/>
      <c r="AO108" s="290"/>
      <c r="AP108" s="290"/>
      <c r="AQ108" s="290"/>
      <c r="AR108" s="290"/>
      <c r="AS108" s="290"/>
      <c r="AT108" s="290"/>
    </row>
    <row r="109" spans="1:46" ht="15.5" x14ac:dyDescent="0.35">
      <c r="A109" s="290"/>
      <c r="B109" s="290"/>
      <c r="C109" s="290" t="s">
        <v>182</v>
      </c>
      <c r="D109" s="290"/>
      <c r="E109" s="310"/>
      <c r="F109" s="290"/>
      <c r="G109" s="290"/>
      <c r="H109" s="290"/>
      <c r="I109" s="290"/>
      <c r="J109" s="290"/>
      <c r="K109" s="290"/>
      <c r="L109" s="290"/>
      <c r="M109" s="290"/>
      <c r="N109" s="290"/>
      <c r="O109" s="293"/>
      <c r="P109" s="293"/>
      <c r="Q109" s="290"/>
      <c r="R109" s="290"/>
      <c r="S109" s="290"/>
      <c r="T109" s="290"/>
      <c r="U109" s="290"/>
      <c r="V109" s="290"/>
      <c r="W109" s="290"/>
      <c r="X109" s="290"/>
      <c r="Y109" s="290"/>
      <c r="Z109" s="290"/>
      <c r="AA109" s="290"/>
      <c r="AB109" s="290"/>
      <c r="AC109" s="290"/>
      <c r="AD109" s="290"/>
      <c r="AE109" s="290"/>
      <c r="AF109" s="290"/>
      <c r="AG109" s="290"/>
      <c r="AH109" s="290"/>
      <c r="AI109" s="290"/>
      <c r="AJ109" s="290"/>
      <c r="AK109" s="290"/>
      <c r="AL109" s="290"/>
      <c r="AM109" s="290"/>
      <c r="AN109" s="290"/>
      <c r="AO109" s="290"/>
      <c r="AP109" s="290"/>
      <c r="AQ109" s="290"/>
      <c r="AR109" s="290"/>
      <c r="AS109" s="290"/>
      <c r="AT109" s="290"/>
    </row>
    <row r="110" spans="1:46" ht="15.5" x14ac:dyDescent="0.35">
      <c r="A110" s="290"/>
      <c r="B110" s="290"/>
      <c r="C110" s="290" t="s">
        <v>183</v>
      </c>
      <c r="D110" s="290"/>
      <c r="E110" s="310"/>
      <c r="F110" s="290"/>
      <c r="G110" s="290"/>
      <c r="H110" s="290"/>
      <c r="I110" s="290"/>
      <c r="J110" s="290"/>
      <c r="K110" s="290"/>
      <c r="L110" s="290"/>
      <c r="M110" s="290"/>
      <c r="N110" s="290"/>
      <c r="O110" s="293"/>
      <c r="P110" s="293"/>
      <c r="Q110" s="290"/>
      <c r="R110" s="290"/>
      <c r="S110" s="290"/>
      <c r="T110" s="290"/>
      <c r="U110" s="290"/>
      <c r="V110" s="290"/>
      <c r="W110" s="290"/>
      <c r="X110" s="290"/>
      <c r="Y110" s="290"/>
      <c r="Z110" s="290"/>
      <c r="AA110" s="290"/>
      <c r="AB110" s="290"/>
      <c r="AC110" s="290"/>
      <c r="AD110" s="290"/>
      <c r="AE110" s="290"/>
      <c r="AF110" s="290"/>
      <c r="AG110" s="290"/>
      <c r="AH110" s="290"/>
      <c r="AI110" s="290"/>
      <c r="AJ110" s="290"/>
      <c r="AK110" s="290"/>
      <c r="AL110" s="290"/>
      <c r="AM110" s="290"/>
      <c r="AN110" s="290"/>
      <c r="AO110" s="290"/>
      <c r="AP110" s="290"/>
      <c r="AQ110" s="290"/>
      <c r="AR110" s="290"/>
      <c r="AS110" s="290"/>
      <c r="AT110" s="290"/>
    </row>
    <row r="111" spans="1:46" ht="15.5" x14ac:dyDescent="0.35">
      <c r="A111" s="290"/>
      <c r="B111" s="290"/>
      <c r="C111" s="290" t="s">
        <v>184</v>
      </c>
      <c r="D111" s="290"/>
      <c r="E111" s="310"/>
      <c r="F111" s="290"/>
      <c r="G111" s="290"/>
      <c r="H111" s="290"/>
      <c r="I111" s="290"/>
      <c r="J111" s="290"/>
      <c r="K111" s="290"/>
      <c r="L111" s="290"/>
      <c r="M111" s="290"/>
      <c r="N111" s="290"/>
      <c r="O111" s="293"/>
      <c r="P111" s="293"/>
      <c r="Q111" s="290"/>
      <c r="R111" s="290"/>
      <c r="S111" s="290"/>
      <c r="T111" s="290"/>
      <c r="U111" s="290"/>
      <c r="V111" s="290"/>
      <c r="W111" s="290"/>
      <c r="X111" s="290"/>
      <c r="Y111" s="290"/>
      <c r="Z111" s="290"/>
      <c r="AA111" s="290"/>
      <c r="AB111" s="290"/>
      <c r="AC111" s="290"/>
      <c r="AD111" s="290"/>
      <c r="AE111" s="290"/>
      <c r="AF111" s="290"/>
      <c r="AG111" s="290"/>
      <c r="AH111" s="290"/>
      <c r="AI111" s="290"/>
      <c r="AJ111" s="290"/>
      <c r="AK111" s="290"/>
      <c r="AL111" s="290"/>
      <c r="AM111" s="290"/>
      <c r="AN111" s="290"/>
      <c r="AO111" s="290"/>
      <c r="AP111" s="290"/>
      <c r="AQ111" s="290"/>
      <c r="AR111" s="290"/>
      <c r="AS111" s="290"/>
      <c r="AT111" s="290"/>
    </row>
    <row r="112" spans="1:46" ht="15.5" x14ac:dyDescent="0.35">
      <c r="A112" s="290"/>
      <c r="B112" s="290"/>
      <c r="C112" s="290" t="s">
        <v>185</v>
      </c>
      <c r="D112" s="290"/>
      <c r="E112" s="310"/>
      <c r="F112" s="290"/>
      <c r="G112" s="290"/>
      <c r="H112" s="290"/>
      <c r="I112" s="290"/>
      <c r="J112" s="290"/>
      <c r="K112" s="290"/>
      <c r="L112" s="290"/>
      <c r="M112" s="290"/>
      <c r="N112" s="290"/>
      <c r="O112" s="293"/>
      <c r="P112" s="293"/>
      <c r="Q112" s="290"/>
      <c r="R112" s="290"/>
      <c r="S112" s="290"/>
      <c r="T112" s="290"/>
      <c r="U112" s="290"/>
      <c r="V112" s="290"/>
      <c r="W112" s="290"/>
      <c r="X112" s="290"/>
      <c r="Y112" s="290"/>
      <c r="Z112" s="290"/>
      <c r="AA112" s="290"/>
      <c r="AB112" s="290"/>
      <c r="AC112" s="290"/>
      <c r="AD112" s="290"/>
      <c r="AE112" s="290"/>
      <c r="AF112" s="290"/>
      <c r="AG112" s="290"/>
      <c r="AH112" s="290"/>
      <c r="AI112" s="290"/>
      <c r="AJ112" s="290"/>
      <c r="AK112" s="290"/>
      <c r="AL112" s="290"/>
      <c r="AM112" s="290"/>
      <c r="AN112" s="290"/>
      <c r="AO112" s="290"/>
      <c r="AP112" s="290"/>
      <c r="AQ112" s="290"/>
      <c r="AR112" s="290"/>
      <c r="AS112" s="290"/>
      <c r="AT112" s="290"/>
    </row>
    <row r="113" spans="1:46" ht="15.5" x14ac:dyDescent="0.35">
      <c r="A113" s="290"/>
      <c r="B113" s="290"/>
      <c r="C113" s="290" t="s">
        <v>186</v>
      </c>
      <c r="D113" s="290"/>
      <c r="E113" s="310"/>
      <c r="F113" s="290"/>
      <c r="G113" s="290"/>
      <c r="H113" s="290"/>
      <c r="I113" s="290"/>
      <c r="J113" s="290"/>
      <c r="K113" s="290"/>
      <c r="L113" s="290"/>
      <c r="M113" s="290"/>
      <c r="N113" s="290"/>
      <c r="O113" s="293"/>
      <c r="P113" s="293"/>
      <c r="Q113" s="290"/>
      <c r="R113" s="290"/>
      <c r="S113" s="290"/>
      <c r="T113" s="290"/>
      <c r="U113" s="290"/>
      <c r="V113" s="290"/>
      <c r="W113" s="290"/>
      <c r="X113" s="290"/>
      <c r="Y113" s="290"/>
      <c r="Z113" s="290"/>
      <c r="AA113" s="290"/>
      <c r="AB113" s="290"/>
      <c r="AC113" s="290"/>
      <c r="AD113" s="290"/>
      <c r="AE113" s="290"/>
      <c r="AF113" s="290"/>
      <c r="AG113" s="290"/>
      <c r="AH113" s="290"/>
      <c r="AI113" s="290"/>
      <c r="AJ113" s="290"/>
      <c r="AK113" s="290"/>
      <c r="AL113" s="290"/>
      <c r="AM113" s="290"/>
      <c r="AN113" s="290"/>
      <c r="AO113" s="290"/>
      <c r="AP113" s="290"/>
      <c r="AQ113" s="290"/>
      <c r="AR113" s="290"/>
      <c r="AS113" s="290"/>
      <c r="AT113" s="290"/>
    </row>
    <row r="114" spans="1:46" ht="15.5" x14ac:dyDescent="0.35">
      <c r="A114" s="290"/>
      <c r="B114" s="290"/>
      <c r="C114" s="290" t="s">
        <v>187</v>
      </c>
      <c r="D114" s="290"/>
      <c r="E114" s="310"/>
      <c r="F114" s="290"/>
      <c r="G114" s="290"/>
      <c r="H114" s="290"/>
      <c r="I114" s="290"/>
      <c r="J114" s="290"/>
      <c r="K114" s="290"/>
      <c r="L114" s="290"/>
      <c r="M114" s="290"/>
      <c r="N114" s="290"/>
      <c r="O114" s="293"/>
      <c r="P114" s="293"/>
      <c r="Q114" s="290"/>
      <c r="R114" s="290"/>
      <c r="S114" s="290"/>
      <c r="T114" s="290"/>
      <c r="U114" s="290"/>
      <c r="V114" s="290"/>
      <c r="W114" s="290"/>
      <c r="X114" s="290"/>
      <c r="Y114" s="290"/>
      <c r="Z114" s="290"/>
      <c r="AA114" s="290"/>
      <c r="AB114" s="290"/>
      <c r="AC114" s="290"/>
      <c r="AD114" s="290"/>
      <c r="AE114" s="290"/>
      <c r="AF114" s="290"/>
      <c r="AG114" s="290"/>
      <c r="AH114" s="290"/>
      <c r="AI114" s="290"/>
      <c r="AJ114" s="290"/>
      <c r="AK114" s="290"/>
      <c r="AL114" s="290"/>
      <c r="AM114" s="290"/>
      <c r="AN114" s="290"/>
      <c r="AO114" s="290"/>
      <c r="AP114" s="290"/>
      <c r="AQ114" s="290"/>
      <c r="AR114" s="290"/>
      <c r="AS114" s="290"/>
      <c r="AT114" s="290"/>
    </row>
    <row r="115" spans="1:46" ht="15.5" x14ac:dyDescent="0.35">
      <c r="A115" s="290"/>
      <c r="B115" s="290"/>
      <c r="C115" s="290"/>
      <c r="D115" s="290"/>
      <c r="E115" s="310"/>
      <c r="F115" s="290"/>
      <c r="G115" s="290"/>
      <c r="H115" s="290"/>
      <c r="I115" s="290"/>
      <c r="J115" s="290"/>
      <c r="K115" s="290"/>
      <c r="L115" s="290"/>
      <c r="M115" s="290"/>
      <c r="N115" s="290"/>
      <c r="O115" s="293"/>
      <c r="P115" s="293"/>
      <c r="Q115" s="290"/>
      <c r="R115" s="290"/>
      <c r="S115" s="290"/>
      <c r="T115" s="290"/>
      <c r="U115" s="290"/>
      <c r="V115" s="290"/>
      <c r="W115" s="290"/>
      <c r="X115" s="290"/>
      <c r="Y115" s="290"/>
      <c r="Z115" s="290"/>
      <c r="AA115" s="290"/>
      <c r="AB115" s="290"/>
      <c r="AC115" s="290"/>
      <c r="AD115" s="290"/>
      <c r="AE115" s="290"/>
      <c r="AF115" s="290"/>
      <c r="AG115" s="290"/>
      <c r="AH115" s="290"/>
      <c r="AI115" s="290"/>
      <c r="AJ115" s="290"/>
      <c r="AK115" s="290"/>
      <c r="AL115" s="290"/>
      <c r="AM115" s="290"/>
      <c r="AN115" s="290"/>
      <c r="AO115" s="290"/>
      <c r="AP115" s="290"/>
      <c r="AQ115" s="290"/>
      <c r="AR115" s="290"/>
      <c r="AS115" s="290"/>
      <c r="AT115" s="290"/>
    </row>
    <row r="116" spans="1:46" ht="15.5" x14ac:dyDescent="0.35">
      <c r="A116" s="290"/>
      <c r="B116" s="290"/>
      <c r="C116" s="305" t="s">
        <v>188</v>
      </c>
      <c r="D116" s="828"/>
      <c r="E116" s="310"/>
      <c r="F116" s="290"/>
      <c r="G116" s="290"/>
      <c r="H116" s="290"/>
      <c r="I116" s="290"/>
      <c r="J116" s="290"/>
      <c r="K116" s="290"/>
      <c r="L116" s="290"/>
      <c r="M116" s="290"/>
      <c r="N116" s="290"/>
      <c r="O116" s="293"/>
      <c r="P116" s="293"/>
      <c r="Q116" s="290"/>
      <c r="R116" s="290"/>
      <c r="S116" s="290"/>
      <c r="T116" s="290"/>
      <c r="U116" s="290"/>
      <c r="V116" s="290"/>
      <c r="W116" s="290"/>
      <c r="X116" s="290"/>
      <c r="Y116" s="290"/>
      <c r="Z116" s="290"/>
      <c r="AA116" s="290"/>
      <c r="AB116" s="290"/>
      <c r="AC116" s="290"/>
      <c r="AD116" s="290"/>
      <c r="AE116" s="290"/>
      <c r="AF116" s="290"/>
      <c r="AG116" s="290"/>
      <c r="AH116" s="290"/>
      <c r="AI116" s="290"/>
      <c r="AJ116" s="290"/>
      <c r="AK116" s="290"/>
      <c r="AL116" s="290"/>
      <c r="AM116" s="290"/>
      <c r="AN116" s="290"/>
      <c r="AO116" s="290"/>
      <c r="AP116" s="290"/>
      <c r="AQ116" s="290"/>
      <c r="AR116" s="290"/>
      <c r="AS116" s="290"/>
      <c r="AT116" s="290"/>
    </row>
    <row r="117" spans="1:46" ht="15.5" x14ac:dyDescent="0.35">
      <c r="A117" s="290"/>
      <c r="B117" s="290"/>
      <c r="C117" s="305" t="s">
        <v>189</v>
      </c>
      <c r="D117" s="828"/>
      <c r="E117" s="310"/>
      <c r="F117" s="290"/>
      <c r="G117" s="290"/>
      <c r="H117" s="290"/>
      <c r="I117" s="290"/>
      <c r="J117" s="290"/>
      <c r="K117" s="290"/>
      <c r="L117" s="290"/>
      <c r="M117" s="290"/>
      <c r="N117" s="290"/>
      <c r="O117" s="293"/>
      <c r="P117" s="293"/>
      <c r="Q117" s="290"/>
      <c r="R117" s="290"/>
      <c r="S117" s="290"/>
      <c r="T117" s="290"/>
      <c r="U117" s="290"/>
      <c r="V117" s="290"/>
      <c r="W117" s="290"/>
      <c r="X117" s="290"/>
      <c r="Y117" s="290"/>
      <c r="Z117" s="290"/>
      <c r="AA117" s="290"/>
      <c r="AB117" s="290"/>
      <c r="AC117" s="290"/>
      <c r="AD117" s="290"/>
      <c r="AE117" s="290"/>
      <c r="AF117" s="290"/>
      <c r="AG117" s="290"/>
      <c r="AH117" s="290"/>
      <c r="AI117" s="290"/>
      <c r="AJ117" s="290"/>
      <c r="AK117" s="290"/>
      <c r="AL117" s="290"/>
      <c r="AM117" s="290"/>
      <c r="AN117" s="290"/>
      <c r="AO117" s="290"/>
      <c r="AP117" s="290"/>
      <c r="AQ117" s="290"/>
      <c r="AR117" s="290"/>
      <c r="AS117" s="290"/>
      <c r="AT117" s="290"/>
    </row>
    <row r="118" spans="1:46" ht="15.5" x14ac:dyDescent="0.35">
      <c r="A118" s="290"/>
      <c r="B118" s="290"/>
      <c r="C118" s="290"/>
      <c r="D118" s="290"/>
      <c r="E118" s="310"/>
      <c r="F118" s="290"/>
      <c r="G118" s="290"/>
      <c r="H118" s="290"/>
      <c r="I118" s="290"/>
      <c r="J118" s="290"/>
      <c r="K118" s="290"/>
      <c r="L118" s="290"/>
      <c r="M118" s="290"/>
      <c r="N118" s="290"/>
      <c r="O118" s="293"/>
      <c r="P118" s="293"/>
      <c r="Q118" s="290"/>
      <c r="R118" s="290"/>
      <c r="S118" s="290"/>
      <c r="T118" s="290"/>
      <c r="U118" s="290"/>
      <c r="V118" s="290"/>
      <c r="W118" s="290"/>
      <c r="X118" s="290"/>
      <c r="Y118" s="290"/>
      <c r="Z118" s="290"/>
      <c r="AA118" s="290"/>
      <c r="AB118" s="290"/>
      <c r="AC118" s="290"/>
      <c r="AD118" s="290"/>
      <c r="AE118" s="290"/>
      <c r="AF118" s="290"/>
      <c r="AG118" s="290"/>
      <c r="AH118" s="290"/>
      <c r="AI118" s="290"/>
      <c r="AJ118" s="290"/>
      <c r="AK118" s="290"/>
      <c r="AL118" s="290"/>
      <c r="AM118" s="290"/>
      <c r="AN118" s="290"/>
      <c r="AO118" s="290"/>
      <c r="AP118" s="290"/>
      <c r="AQ118" s="290"/>
      <c r="AR118" s="290"/>
      <c r="AS118" s="290"/>
      <c r="AT118" s="290"/>
    </row>
    <row r="119" spans="1:46" ht="15.5" x14ac:dyDescent="0.35">
      <c r="A119" s="290"/>
      <c r="B119" s="290"/>
      <c r="C119" s="829"/>
      <c r="D119" s="290"/>
      <c r="E119" s="310"/>
      <c r="F119" s="290"/>
      <c r="G119" s="290"/>
      <c r="H119" s="290"/>
      <c r="I119" s="290"/>
      <c r="J119" s="290"/>
      <c r="K119" s="290"/>
      <c r="L119" s="290"/>
      <c r="M119" s="290"/>
      <c r="N119" s="290"/>
      <c r="O119" s="293"/>
      <c r="P119" s="293"/>
      <c r="Q119" s="290"/>
      <c r="R119" s="290"/>
      <c r="S119" s="290"/>
      <c r="T119" s="290"/>
      <c r="U119" s="290"/>
      <c r="V119" s="290"/>
      <c r="W119" s="290"/>
      <c r="X119" s="290"/>
      <c r="Y119" s="290"/>
      <c r="Z119" s="290"/>
      <c r="AA119" s="290"/>
      <c r="AB119" s="290"/>
      <c r="AC119" s="290"/>
      <c r="AD119" s="290"/>
      <c r="AE119" s="290"/>
      <c r="AF119" s="290"/>
      <c r="AG119" s="290"/>
      <c r="AH119" s="290"/>
      <c r="AI119" s="290"/>
      <c r="AJ119" s="290"/>
      <c r="AK119" s="290"/>
      <c r="AL119" s="290"/>
      <c r="AM119" s="290"/>
      <c r="AN119" s="290"/>
      <c r="AO119" s="290"/>
      <c r="AP119" s="290"/>
      <c r="AQ119" s="290"/>
      <c r="AR119" s="290"/>
      <c r="AS119" s="290"/>
      <c r="AT119" s="290"/>
    </row>
    <row r="120" spans="1:46" ht="15.5" x14ac:dyDescent="0.35">
      <c r="A120" s="290"/>
      <c r="B120" s="290"/>
      <c r="C120" s="290" t="s">
        <v>160</v>
      </c>
      <c r="D120" s="290"/>
      <c r="E120" s="310"/>
      <c r="F120" s="290"/>
      <c r="G120" s="290"/>
      <c r="H120" s="290"/>
      <c r="I120" s="290"/>
      <c r="J120" s="290"/>
      <c r="K120" s="290"/>
      <c r="L120" s="290"/>
      <c r="M120" s="290"/>
      <c r="N120" s="290"/>
      <c r="O120" s="293"/>
      <c r="P120" s="293"/>
      <c r="Q120" s="290"/>
      <c r="R120" s="290"/>
      <c r="S120" s="290"/>
      <c r="T120" s="290"/>
      <c r="U120" s="290"/>
      <c r="V120" s="290"/>
      <c r="W120" s="290"/>
      <c r="X120" s="290"/>
      <c r="Y120" s="290"/>
      <c r="Z120" s="290"/>
      <c r="AA120" s="290"/>
      <c r="AB120" s="290"/>
      <c r="AC120" s="290"/>
      <c r="AD120" s="290"/>
      <c r="AE120" s="290"/>
      <c r="AF120" s="290"/>
      <c r="AG120" s="290"/>
      <c r="AH120" s="290"/>
      <c r="AI120" s="290"/>
      <c r="AJ120" s="290"/>
      <c r="AK120" s="290"/>
      <c r="AL120" s="290"/>
      <c r="AM120" s="290"/>
      <c r="AN120" s="290"/>
      <c r="AO120" s="290"/>
      <c r="AP120" s="290"/>
      <c r="AQ120" s="290"/>
      <c r="AR120" s="290"/>
      <c r="AS120" s="290"/>
      <c r="AT120" s="290"/>
    </row>
    <row r="121" spans="1:46" ht="15.5" x14ac:dyDescent="0.35">
      <c r="A121" s="290"/>
      <c r="B121" s="290"/>
      <c r="C121" s="290" t="s">
        <v>151</v>
      </c>
      <c r="D121" s="290"/>
      <c r="E121" s="310"/>
      <c r="F121" s="290"/>
      <c r="G121" s="290"/>
      <c r="H121" s="290"/>
      <c r="I121" s="290"/>
      <c r="J121" s="290"/>
      <c r="K121" s="290"/>
      <c r="L121" s="290"/>
      <c r="M121" s="290"/>
      <c r="N121" s="290"/>
      <c r="O121" s="293"/>
      <c r="P121" s="293"/>
      <c r="Q121" s="290"/>
      <c r="R121" s="290"/>
      <c r="S121" s="290"/>
      <c r="T121" s="290"/>
      <c r="U121" s="290"/>
      <c r="V121" s="290"/>
      <c r="W121" s="290"/>
      <c r="X121" s="290"/>
      <c r="Y121" s="290"/>
      <c r="Z121" s="290"/>
      <c r="AA121" s="290"/>
      <c r="AB121" s="290"/>
      <c r="AC121" s="290"/>
      <c r="AD121" s="290"/>
      <c r="AE121" s="290"/>
      <c r="AF121" s="290"/>
      <c r="AG121" s="290"/>
      <c r="AH121" s="290"/>
      <c r="AI121" s="290"/>
      <c r="AJ121" s="290"/>
      <c r="AK121" s="290"/>
      <c r="AL121" s="290"/>
      <c r="AM121" s="290"/>
      <c r="AN121" s="290"/>
      <c r="AO121" s="290"/>
      <c r="AP121" s="290"/>
      <c r="AQ121" s="290"/>
      <c r="AR121" s="290"/>
      <c r="AS121" s="290"/>
      <c r="AT121" s="290"/>
    </row>
    <row r="122" spans="1:46" ht="15.5" x14ac:dyDescent="0.35">
      <c r="A122" s="290"/>
      <c r="B122" s="290"/>
      <c r="C122" s="290" t="s">
        <v>100</v>
      </c>
      <c r="D122" s="290"/>
      <c r="E122" s="310"/>
      <c r="F122" s="290"/>
      <c r="G122" s="290"/>
      <c r="H122" s="290"/>
      <c r="I122" s="290"/>
      <c r="J122" s="290"/>
      <c r="K122" s="290"/>
      <c r="L122" s="290"/>
      <c r="M122" s="290"/>
      <c r="N122" s="290"/>
      <c r="O122" s="293"/>
      <c r="P122" s="293"/>
      <c r="Q122" s="290"/>
      <c r="R122" s="290"/>
      <c r="S122" s="290"/>
      <c r="T122" s="290"/>
      <c r="U122" s="290"/>
      <c r="V122" s="290"/>
      <c r="W122" s="290"/>
      <c r="X122" s="290"/>
      <c r="Y122" s="290"/>
      <c r="Z122" s="290"/>
      <c r="AA122" s="290"/>
      <c r="AB122" s="290"/>
      <c r="AC122" s="290"/>
      <c r="AD122" s="290"/>
      <c r="AE122" s="290"/>
      <c r="AF122" s="290"/>
      <c r="AG122" s="290"/>
      <c r="AH122" s="290"/>
      <c r="AI122" s="290"/>
      <c r="AJ122" s="290"/>
      <c r="AK122" s="290"/>
      <c r="AL122" s="290"/>
      <c r="AM122" s="290"/>
      <c r="AN122" s="290"/>
      <c r="AO122" s="290"/>
      <c r="AP122" s="290"/>
      <c r="AQ122" s="290"/>
      <c r="AR122" s="290"/>
      <c r="AS122" s="290"/>
      <c r="AT122" s="290"/>
    </row>
    <row r="123" spans="1:46" ht="15.5" x14ac:dyDescent="0.35">
      <c r="A123" s="290"/>
      <c r="B123" s="290"/>
      <c r="C123" s="290"/>
      <c r="D123" s="290"/>
      <c r="E123" s="310"/>
      <c r="F123" s="290"/>
      <c r="G123" s="290"/>
      <c r="H123" s="290"/>
      <c r="I123" s="290"/>
      <c r="J123" s="290"/>
      <c r="K123" s="290"/>
      <c r="L123" s="290"/>
      <c r="M123" s="290"/>
      <c r="N123" s="290"/>
      <c r="O123" s="293"/>
      <c r="P123" s="293"/>
      <c r="Q123" s="290"/>
      <c r="R123" s="290"/>
      <c r="S123" s="290"/>
      <c r="T123" s="290"/>
      <c r="U123" s="290"/>
      <c r="V123" s="290"/>
      <c r="W123" s="290"/>
      <c r="X123" s="290"/>
      <c r="Y123" s="290"/>
      <c r="Z123" s="290"/>
      <c r="AA123" s="290"/>
      <c r="AB123" s="290"/>
      <c r="AC123" s="290"/>
      <c r="AD123" s="290"/>
      <c r="AE123" s="290"/>
      <c r="AF123" s="290"/>
      <c r="AG123" s="290"/>
      <c r="AH123" s="290"/>
      <c r="AI123" s="290"/>
      <c r="AJ123" s="290"/>
      <c r="AK123" s="290"/>
      <c r="AL123" s="290"/>
      <c r="AM123" s="290"/>
      <c r="AN123" s="290"/>
      <c r="AO123" s="290"/>
      <c r="AP123" s="290"/>
      <c r="AQ123" s="290"/>
      <c r="AR123" s="290"/>
      <c r="AS123" s="290"/>
      <c r="AT123" s="290"/>
    </row>
    <row r="124" spans="1:46" x14ac:dyDescent="0.25">
      <c r="C124" s="24" t="s">
        <v>190</v>
      </c>
    </row>
  </sheetData>
  <mergeCells count="42">
    <mergeCell ref="B56:C56"/>
    <mergeCell ref="P13:Q13"/>
    <mergeCell ref="A22:J22"/>
    <mergeCell ref="B24:B25"/>
    <mergeCell ref="C89:C95"/>
    <mergeCell ref="K87:K88"/>
    <mergeCell ref="L87:L88"/>
    <mergeCell ref="M87:M88"/>
    <mergeCell ref="E87:J87"/>
    <mergeCell ref="P87:P88"/>
    <mergeCell ref="C82:C85"/>
    <mergeCell ref="N87:N88"/>
    <mergeCell ref="C32:C33"/>
    <mergeCell ref="D32:D33"/>
    <mergeCell ref="B32:B33"/>
    <mergeCell ref="B87:B88"/>
    <mergeCell ref="B51:M51"/>
    <mergeCell ref="C34:C40"/>
    <mergeCell ref="B43:B44"/>
    <mergeCell ref="C43:C44"/>
    <mergeCell ref="D43:D44"/>
    <mergeCell ref="E43:J43"/>
    <mergeCell ref="D87:D88"/>
    <mergeCell ref="B80:B81"/>
    <mergeCell ref="B63:N64"/>
    <mergeCell ref="B69:C69"/>
    <mergeCell ref="S69:S71"/>
    <mergeCell ref="R80:V80"/>
    <mergeCell ref="B67:E67"/>
    <mergeCell ref="E80:J80"/>
    <mergeCell ref="K80:K81"/>
    <mergeCell ref="O80:O81"/>
    <mergeCell ref="C80:C81"/>
    <mergeCell ref="D80:D81"/>
    <mergeCell ref="C87:C88"/>
    <mergeCell ref="A1:N1"/>
    <mergeCell ref="K24:L25"/>
    <mergeCell ref="C24:J25"/>
    <mergeCell ref="E32:J32"/>
    <mergeCell ref="C45:C48"/>
    <mergeCell ref="C28:H28"/>
    <mergeCell ref="E7:F7"/>
  </mergeCells>
  <phoneticPr fontId="0" type="noConversion"/>
  <dataValidations count="4">
    <dataValidation type="list" allowBlank="1" showInputMessage="1" showErrorMessage="1" sqref="E20:E21" xr:uid="{00000000-0002-0000-0500-000000000000}">
      <formula1>$C$99:$C$100</formula1>
    </dataValidation>
    <dataValidation allowBlank="1" showInputMessage="1" sqref="B55:M55 A2:G2 I2:M2" xr:uid="{00000000-0002-0000-0500-000001000000}"/>
    <dataValidation type="list" allowBlank="1" showInputMessage="1" showErrorMessage="1" sqref="C28:H28" xr:uid="{780DB19A-741E-45DC-9045-D9921241D657}">
      <formula1>$P$28:$P$29</formula1>
    </dataValidation>
    <dataValidation type="list" allowBlank="1" showInputMessage="1" showErrorMessage="1" sqref="C59:M59" xr:uid="{00000000-0002-0000-0500-000003000000}">
      <formula1>#REF!</formula1>
    </dataValidation>
  </dataValidations>
  <printOptions horizontalCentered="1"/>
  <pageMargins left="0.74803149606299202" right="0.74803149606299202" top="0.98425196850393704" bottom="0.98425196850393704" header="0.511811023622047" footer="0.511811023622047"/>
  <pageSetup paperSize="9" scale="65" orientation="portrait" r:id="rId1"/>
  <headerFooter alignWithMargins="0">
    <oddHeader xml:space="preserve">&amp;R&amp;8OA.041-18 </oddHeader>
  </headerFooter>
  <drawing r:id="rId2"/>
  <legacyDrawing r:id="rId3"/>
  <oleObjects>
    <mc:AlternateContent xmlns:mc="http://schemas.openxmlformats.org/markup-compatibility/2006">
      <mc:Choice Requires="x14">
        <oleObject progId="Equation.3" shapeId="2" r:id="rId4">
          <objectPr defaultSize="0" autoPict="0" r:id="rId5">
            <anchor moveWithCells="1" sizeWithCells="1">
              <from>
                <xdr:col>12</xdr:col>
                <xdr:colOff>6350</xdr:colOff>
                <xdr:row>28</xdr:row>
                <xdr:rowOff>0</xdr:rowOff>
              </from>
              <to>
                <xdr:col>12</xdr:col>
                <xdr:colOff>412750</xdr:colOff>
                <xdr:row>28</xdr:row>
                <xdr:rowOff>0</xdr:rowOff>
              </to>
            </anchor>
          </objectPr>
        </oleObject>
      </mc:Choice>
      <mc:Fallback>
        <oleObject progId="Equation.3" shapeId="2" r:id="rId4"/>
      </mc:Fallback>
    </mc:AlternateContent>
    <mc:AlternateContent xmlns:mc="http://schemas.openxmlformats.org/markup-compatibility/2006">
      <mc:Choice Requires="x14">
        <oleObject progId="Equation.3" shapeId="3" r:id="rId6">
          <objectPr defaultSize="0" autoPict="0" r:id="rId5">
            <anchor moveWithCells="1" sizeWithCells="1">
              <from>
                <xdr:col>12</xdr:col>
                <xdr:colOff>6350</xdr:colOff>
                <xdr:row>28</xdr:row>
                <xdr:rowOff>0</xdr:rowOff>
              </from>
              <to>
                <xdr:col>12</xdr:col>
                <xdr:colOff>412750</xdr:colOff>
                <xdr:row>28</xdr:row>
                <xdr:rowOff>0</xdr:rowOff>
              </to>
            </anchor>
          </objectPr>
        </oleObject>
      </mc:Choice>
      <mc:Fallback>
        <oleObject progId="Equation.3" shapeId="3" r:id="rId6"/>
      </mc:Fallback>
    </mc:AlternateContent>
    <mc:AlternateContent xmlns:mc="http://schemas.openxmlformats.org/markup-compatibility/2006">
      <mc:Choice Requires="x14">
        <oleObject progId="Equation.3" shapeId="4" r:id="rId7">
          <objectPr defaultSize="0" autoPict="0" r:id="rId5">
            <anchor moveWithCells="1" sizeWithCells="1">
              <from>
                <xdr:col>12</xdr:col>
                <xdr:colOff>6350</xdr:colOff>
                <xdr:row>28</xdr:row>
                <xdr:rowOff>0</xdr:rowOff>
              </from>
              <to>
                <xdr:col>12</xdr:col>
                <xdr:colOff>412750</xdr:colOff>
                <xdr:row>28</xdr:row>
                <xdr:rowOff>0</xdr:rowOff>
              </to>
            </anchor>
          </objectPr>
        </oleObject>
      </mc:Choice>
      <mc:Fallback>
        <oleObject progId="Equation.3" shapeId="4" r:id="rId7"/>
      </mc:Fallback>
    </mc:AlternateContent>
    <mc:AlternateContent xmlns:mc="http://schemas.openxmlformats.org/markup-compatibility/2006">
      <mc:Choice Requires="x14">
        <oleObject progId="Equation.3" shapeId="5" r:id="rId8">
          <objectPr defaultSize="0" autoPict="0" r:id="rId5">
            <anchor moveWithCells="1" sizeWithCells="1">
              <from>
                <xdr:col>12</xdr:col>
                <xdr:colOff>6350</xdr:colOff>
                <xdr:row>28</xdr:row>
                <xdr:rowOff>0</xdr:rowOff>
              </from>
              <to>
                <xdr:col>12</xdr:col>
                <xdr:colOff>412750</xdr:colOff>
                <xdr:row>28</xdr:row>
                <xdr:rowOff>0</xdr:rowOff>
              </to>
            </anchor>
          </objectPr>
        </oleObject>
      </mc:Choice>
      <mc:Fallback>
        <oleObject progId="Equation.3" shapeId="5" r:id="rId8"/>
      </mc:Fallback>
    </mc:AlternateContent>
    <mc:AlternateContent xmlns:mc="http://schemas.openxmlformats.org/markup-compatibility/2006">
      <mc:Choice Requires="x14">
        <oleObject progId="Equation.3" shapeId="6" r:id="rId9">
          <objectPr defaultSize="0" autoPict="0" r:id="rId5">
            <anchor moveWithCells="1" sizeWithCells="1">
              <from>
                <xdr:col>12</xdr:col>
                <xdr:colOff>6350</xdr:colOff>
                <xdr:row>28</xdr:row>
                <xdr:rowOff>0</xdr:rowOff>
              </from>
              <to>
                <xdr:col>12</xdr:col>
                <xdr:colOff>412750</xdr:colOff>
                <xdr:row>28</xdr:row>
                <xdr:rowOff>0</xdr:rowOff>
              </to>
            </anchor>
          </objectPr>
        </oleObject>
      </mc:Choice>
      <mc:Fallback>
        <oleObject progId="Equation.3" shapeId="6" r:id="rId9"/>
      </mc:Fallback>
    </mc:AlternateContent>
    <mc:AlternateContent xmlns:mc="http://schemas.openxmlformats.org/markup-compatibility/2006">
      <mc:Choice Requires="x14">
        <oleObject progId="Equation.3" shapeId="7" r:id="rId10">
          <objectPr defaultSize="0" autoPict="0" r:id="rId5">
            <anchor moveWithCells="1" sizeWithCells="1">
              <from>
                <xdr:col>12</xdr:col>
                <xdr:colOff>6350</xdr:colOff>
                <xdr:row>28</xdr:row>
                <xdr:rowOff>0</xdr:rowOff>
              </from>
              <to>
                <xdr:col>12</xdr:col>
                <xdr:colOff>412750</xdr:colOff>
                <xdr:row>28</xdr:row>
                <xdr:rowOff>0</xdr:rowOff>
              </to>
            </anchor>
          </objectPr>
        </oleObject>
      </mc:Choice>
      <mc:Fallback>
        <oleObject progId="Equation.3" shapeId="7" r:id="rId10"/>
      </mc:Fallback>
    </mc:AlternateContent>
    <mc:AlternateContent xmlns:mc="http://schemas.openxmlformats.org/markup-compatibility/2006">
      <mc:Choice Requires="x14">
        <oleObject progId="Equation.3" shapeId="8" r:id="rId11">
          <objectPr defaultSize="0" autoPict="0" r:id="rId5">
            <anchor moveWithCells="1" sizeWithCells="1">
              <from>
                <xdr:col>12</xdr:col>
                <xdr:colOff>6350</xdr:colOff>
                <xdr:row>28</xdr:row>
                <xdr:rowOff>0</xdr:rowOff>
              </from>
              <to>
                <xdr:col>12</xdr:col>
                <xdr:colOff>412750</xdr:colOff>
                <xdr:row>28</xdr:row>
                <xdr:rowOff>0</xdr:rowOff>
              </to>
            </anchor>
          </objectPr>
        </oleObject>
      </mc:Choice>
      <mc:Fallback>
        <oleObject progId="Equation.3" shapeId="8" r:id="rId11"/>
      </mc:Fallback>
    </mc:AlternateContent>
    <mc:AlternateContent xmlns:mc="http://schemas.openxmlformats.org/markup-compatibility/2006">
      <mc:Choice Requires="x14">
        <oleObject progId="Equation.3" shapeId="11" r:id="rId12">
          <objectPr defaultSize="0" autoPict="0" r:id="rId5">
            <anchor moveWithCells="1" sizeWithCells="1">
              <from>
                <xdr:col>10</xdr:col>
                <xdr:colOff>6350</xdr:colOff>
                <xdr:row>84</xdr:row>
                <xdr:rowOff>0</xdr:rowOff>
              </from>
              <to>
                <xdr:col>11</xdr:col>
                <xdr:colOff>0</xdr:colOff>
                <xdr:row>84</xdr:row>
                <xdr:rowOff>0</xdr:rowOff>
              </to>
            </anchor>
          </objectPr>
        </oleObject>
      </mc:Choice>
      <mc:Fallback>
        <oleObject progId="Equation.3" shapeId="11" r:id="rId12"/>
      </mc:Fallback>
    </mc:AlternateContent>
    <mc:AlternateContent xmlns:mc="http://schemas.openxmlformats.org/markup-compatibility/2006">
      <mc:Choice Requires="x14">
        <oleObject progId="Equation.3" shapeId="12" r:id="rId13">
          <objectPr defaultSize="0" autoPict="0" r:id="rId5">
            <anchor moveWithCells="1" sizeWithCells="1">
              <from>
                <xdr:col>10</xdr:col>
                <xdr:colOff>6350</xdr:colOff>
                <xdr:row>84</xdr:row>
                <xdr:rowOff>0</xdr:rowOff>
              </from>
              <to>
                <xdr:col>11</xdr:col>
                <xdr:colOff>0</xdr:colOff>
                <xdr:row>84</xdr:row>
                <xdr:rowOff>0</xdr:rowOff>
              </to>
            </anchor>
          </objectPr>
        </oleObject>
      </mc:Choice>
      <mc:Fallback>
        <oleObject progId="Equation.3" shapeId="12" r:id="rId13"/>
      </mc:Fallback>
    </mc:AlternateContent>
    <mc:AlternateContent xmlns:mc="http://schemas.openxmlformats.org/markup-compatibility/2006">
      <mc:Choice Requires="x14">
        <oleObject progId="Equation.3" shapeId="13" r:id="rId14">
          <objectPr defaultSize="0" autoPict="0" r:id="rId5">
            <anchor moveWithCells="1" sizeWithCells="1">
              <from>
                <xdr:col>10</xdr:col>
                <xdr:colOff>6350</xdr:colOff>
                <xdr:row>84</xdr:row>
                <xdr:rowOff>0</xdr:rowOff>
              </from>
              <to>
                <xdr:col>11</xdr:col>
                <xdr:colOff>0</xdr:colOff>
                <xdr:row>84</xdr:row>
                <xdr:rowOff>0</xdr:rowOff>
              </to>
            </anchor>
          </objectPr>
        </oleObject>
      </mc:Choice>
      <mc:Fallback>
        <oleObject progId="Equation.3" shapeId="13" r:id="rId14"/>
      </mc:Fallback>
    </mc:AlternateContent>
    <mc:AlternateContent xmlns:mc="http://schemas.openxmlformats.org/markup-compatibility/2006">
      <mc:Choice Requires="x14">
        <oleObject progId="Equation.3" shapeId="14" r:id="rId15">
          <objectPr defaultSize="0" autoPict="0" r:id="rId5">
            <anchor moveWithCells="1" sizeWithCells="1">
              <from>
                <xdr:col>10</xdr:col>
                <xdr:colOff>6350</xdr:colOff>
                <xdr:row>84</xdr:row>
                <xdr:rowOff>0</xdr:rowOff>
              </from>
              <to>
                <xdr:col>11</xdr:col>
                <xdr:colOff>0</xdr:colOff>
                <xdr:row>84</xdr:row>
                <xdr:rowOff>0</xdr:rowOff>
              </to>
            </anchor>
          </objectPr>
        </oleObject>
      </mc:Choice>
      <mc:Fallback>
        <oleObject progId="Equation.3" shapeId="14" r:id="rId15"/>
      </mc:Fallback>
    </mc:AlternateContent>
    <mc:AlternateContent xmlns:mc="http://schemas.openxmlformats.org/markup-compatibility/2006">
      <mc:Choice Requires="x14">
        <oleObject progId="Equation.3" shapeId="15" r:id="rId16">
          <objectPr defaultSize="0" autoPict="0" r:id="rId5">
            <anchor moveWithCells="1" sizeWithCells="1">
              <from>
                <xdr:col>10</xdr:col>
                <xdr:colOff>6350</xdr:colOff>
                <xdr:row>84</xdr:row>
                <xdr:rowOff>0</xdr:rowOff>
              </from>
              <to>
                <xdr:col>11</xdr:col>
                <xdr:colOff>0</xdr:colOff>
                <xdr:row>84</xdr:row>
                <xdr:rowOff>0</xdr:rowOff>
              </to>
            </anchor>
          </objectPr>
        </oleObject>
      </mc:Choice>
      <mc:Fallback>
        <oleObject progId="Equation.3" shapeId="15" r:id="rId16"/>
      </mc:Fallback>
    </mc:AlternateContent>
    <mc:AlternateContent xmlns:mc="http://schemas.openxmlformats.org/markup-compatibility/2006">
      <mc:Choice Requires="x14">
        <oleObject progId="Equation.3" shapeId="16" r:id="rId17">
          <objectPr defaultSize="0" autoPict="0" r:id="rId5">
            <anchor moveWithCells="1" sizeWithCells="1">
              <from>
                <xdr:col>10</xdr:col>
                <xdr:colOff>6350</xdr:colOff>
                <xdr:row>84</xdr:row>
                <xdr:rowOff>0</xdr:rowOff>
              </from>
              <to>
                <xdr:col>11</xdr:col>
                <xdr:colOff>0</xdr:colOff>
                <xdr:row>84</xdr:row>
                <xdr:rowOff>0</xdr:rowOff>
              </to>
            </anchor>
          </objectPr>
        </oleObject>
      </mc:Choice>
      <mc:Fallback>
        <oleObject progId="Equation.3" shapeId="16" r:id="rId17"/>
      </mc:Fallback>
    </mc:AlternateContent>
    <mc:AlternateContent xmlns:mc="http://schemas.openxmlformats.org/markup-compatibility/2006">
      <mc:Choice Requires="x14">
        <oleObject progId="Equation.3" shapeId="17" r:id="rId18">
          <objectPr defaultSize="0" autoPict="0" r:id="rId5">
            <anchor moveWithCells="1" sizeWithCells="1">
              <from>
                <xdr:col>10</xdr:col>
                <xdr:colOff>6350</xdr:colOff>
                <xdr:row>84</xdr:row>
                <xdr:rowOff>0</xdr:rowOff>
              </from>
              <to>
                <xdr:col>11</xdr:col>
                <xdr:colOff>0</xdr:colOff>
                <xdr:row>84</xdr:row>
                <xdr:rowOff>0</xdr:rowOff>
              </to>
            </anchor>
          </objectPr>
        </oleObject>
      </mc:Choice>
      <mc:Fallback>
        <oleObject progId="Equation.3" shapeId="17" r:id="rId18"/>
      </mc:Fallback>
    </mc:AlternateContent>
    <mc:AlternateContent xmlns:mc="http://schemas.openxmlformats.org/markup-compatibility/2006">
      <mc:Choice Requires="x14">
        <oleObject progId="Equation.3" shapeId="18" r:id="rId19">
          <objectPr defaultSize="0" autoPict="0" r:id="rId5">
            <anchor moveWithCells="1" sizeWithCells="1">
              <from>
                <xdr:col>10</xdr:col>
                <xdr:colOff>6350</xdr:colOff>
                <xdr:row>84</xdr:row>
                <xdr:rowOff>0</xdr:rowOff>
              </from>
              <to>
                <xdr:col>11</xdr:col>
                <xdr:colOff>0</xdr:colOff>
                <xdr:row>84</xdr:row>
                <xdr:rowOff>0</xdr:rowOff>
              </to>
            </anchor>
          </objectPr>
        </oleObject>
      </mc:Choice>
      <mc:Fallback>
        <oleObject progId="Equation.3" shapeId="18" r:id="rId19"/>
      </mc:Fallback>
    </mc:AlternateContent>
    <mc:AlternateContent xmlns:mc="http://schemas.openxmlformats.org/markup-compatibility/2006">
      <mc:Choice Requires="x14">
        <oleObject progId="Equation.3" shapeId="19" r:id="rId20">
          <objectPr defaultSize="0" autoPict="0" r:id="rId5">
            <anchor moveWithCells="1" sizeWithCells="1">
              <from>
                <xdr:col>10</xdr:col>
                <xdr:colOff>6350</xdr:colOff>
                <xdr:row>84</xdr:row>
                <xdr:rowOff>0</xdr:rowOff>
              </from>
              <to>
                <xdr:col>11</xdr:col>
                <xdr:colOff>0</xdr:colOff>
                <xdr:row>84</xdr:row>
                <xdr:rowOff>0</xdr:rowOff>
              </to>
            </anchor>
          </objectPr>
        </oleObject>
      </mc:Choice>
      <mc:Fallback>
        <oleObject progId="Equation.3" shapeId="19" r:id="rId20"/>
      </mc:Fallback>
    </mc:AlternateContent>
  </oleObject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xr:uid="{00000000-0002-0000-0500-000002000000}">
          <x14:formula1>
            <xm:f>cetik!$A$1:$A$2</xm:f>
          </x14:formula1>
          <xm:sqref>B51</xm:sqref>
        </x14:dataValidation>
        <x14:dataValidation type="list" allowBlank="1" showInputMessage="1" showErrorMessage="1" xr:uid="{00000000-0002-0000-0500-000004000000}">
          <x14:formula1>
            <xm:f>'DB Thermohygro'!$A$364:$A$382</xm:f>
          </x14:formula1>
          <xm:sqref>B60:J60</xm:sqref>
        </x14:dataValidation>
        <x14:dataValidation type="list" allowBlank="1" showInputMessage="1" showErrorMessage="1" xr:uid="{00000000-0002-0000-0500-000005000000}">
          <x14:formula1>
            <xm:f>cetik!$L$1:$L$10</xm:f>
          </x14:formula1>
          <xm:sqref>B58:M58</xm:sqref>
        </x14:dataValidation>
        <x14:dataValidation type="list" allowBlank="1" showInputMessage="1" xr:uid="{00000000-0002-0000-0500-000006000000}">
          <x14:formula1>
            <xm:f>cetik!$H$1:$H$18</xm:f>
          </x14:formula1>
          <xm:sqref>D68:D70</xm:sqref>
        </x14:dataValidation>
        <x14:dataValidation type="list" allowBlank="1" showInputMessage="1" xr:uid="{00000000-0002-0000-0500-000008000000}">
          <x14:formula1>
            <xm:f>cetik!$H$1:$H$22</xm:f>
          </x14:formula1>
          <xm:sqref>B67:E67</xm:sqref>
        </x14:dataValidation>
        <x14:dataValidation type="list" allowBlank="1" showInputMessage="1" showErrorMessage="1" xr:uid="{2A5D9340-91E7-4ABE-A48B-78A906F6E100}">
          <x14:formula1>
            <xm:f>'DB ESA'!$A$234:$A$243</xm:f>
          </x14:formula1>
          <xm:sqref>B59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0000"/>
    <pageSetUpPr fitToPage="1"/>
  </sheetPr>
  <dimension ref="A1:M80"/>
  <sheetViews>
    <sheetView showGridLines="0" view="pageBreakPreview" topLeftCell="A13" zoomScaleNormal="100" zoomScaleSheetLayoutView="100" workbookViewId="0">
      <selection activeCell="I26" sqref="I26"/>
    </sheetView>
  </sheetViews>
  <sheetFormatPr defaultColWidth="9.08984375" defaultRowHeight="12.5" x14ac:dyDescent="0.25"/>
  <cols>
    <col min="1" max="1" width="4.453125" style="31" customWidth="1"/>
    <col min="2" max="2" width="4.08984375" style="31" customWidth="1"/>
    <col min="3" max="3" width="18.6328125" style="31" customWidth="1"/>
    <col min="4" max="4" width="4.36328125" style="31" customWidth="1"/>
    <col min="5" max="5" width="10.54296875" style="31" customWidth="1"/>
    <col min="6" max="6" width="13.36328125" style="31" customWidth="1"/>
    <col min="7" max="7" width="11.90625" style="31" customWidth="1"/>
    <col min="8" max="8" width="12.54296875" style="31" customWidth="1"/>
    <col min="9" max="9" width="8.36328125" style="31" customWidth="1"/>
    <col min="10" max="10" width="7.90625" style="31" customWidth="1"/>
    <col min="11" max="11" width="25.36328125" style="31" customWidth="1"/>
    <col min="12" max="12" width="15.90625" style="31" customWidth="1"/>
    <col min="13" max="16384" width="9.08984375" style="31"/>
  </cols>
  <sheetData>
    <row r="1" spans="1:12" ht="18" x14ac:dyDescent="0.25">
      <c r="A1" s="1073" t="str">
        <f>Penyelia!A1</f>
        <v>HASIL KALIBRASI PULSE OXYMETER</v>
      </c>
      <c r="B1" s="1073"/>
      <c r="C1" s="1073"/>
      <c r="D1" s="1073"/>
      <c r="E1" s="1073"/>
      <c r="F1" s="1073"/>
      <c r="G1" s="1073"/>
      <c r="H1" s="1073"/>
      <c r="I1" s="1073"/>
      <c r="J1" s="1073"/>
      <c r="K1" s="1073"/>
      <c r="L1" s="1073"/>
    </row>
    <row r="2" spans="1:12" ht="17.25" customHeight="1" x14ac:dyDescent="0.25">
      <c r="A2" s="1074" t="str">
        <f>Penyelia!A2</f>
        <v>Nomor Sertifikat : 42 / 1 / IV - 21 / E - 050.000 DL</v>
      </c>
      <c r="B2" s="1074"/>
      <c r="C2" s="1074"/>
      <c r="D2" s="1074"/>
      <c r="E2" s="1074"/>
      <c r="F2" s="1074"/>
      <c r="G2" s="1074"/>
      <c r="H2" s="1074"/>
      <c r="I2" s="1074"/>
      <c r="J2" s="1074"/>
      <c r="K2" s="1074"/>
      <c r="L2" s="1074"/>
    </row>
    <row r="3" spans="1:12" ht="14.25" customHeight="1" x14ac:dyDescent="0.25">
      <c r="B3" s="81"/>
      <c r="C3" s="81"/>
      <c r="D3" s="81"/>
      <c r="E3" s="81"/>
      <c r="F3" s="81"/>
      <c r="G3" s="81"/>
      <c r="H3" s="81"/>
      <c r="I3" s="81"/>
      <c r="J3" s="81"/>
      <c r="K3" s="82"/>
      <c r="L3" s="82"/>
    </row>
    <row r="4" spans="1:12" ht="14" x14ac:dyDescent="0.25">
      <c r="A4" s="91" t="str">
        <f>Penyelia!A4</f>
        <v>Merek</v>
      </c>
      <c r="B4" s="92"/>
      <c r="C4" s="91"/>
      <c r="D4" s="94" t="s">
        <v>23</v>
      </c>
      <c r="E4" s="95" t="str">
        <f>Penyelia!E4</f>
        <v>Acare</v>
      </c>
      <c r="G4" s="91"/>
      <c r="H4" s="91"/>
      <c r="I4" s="91"/>
      <c r="J4" s="91"/>
      <c r="K4" s="91"/>
      <c r="L4" s="93"/>
    </row>
    <row r="5" spans="1:12" ht="14" x14ac:dyDescent="0.25">
      <c r="A5" s="91" t="str">
        <f>Penyelia!A5</f>
        <v>Model/Tipe</v>
      </c>
      <c r="B5" s="92"/>
      <c r="C5" s="91"/>
      <c r="D5" s="94" t="s">
        <v>23</v>
      </c>
      <c r="E5" s="95" t="str">
        <f>Penyelia!E5</f>
        <v>-</v>
      </c>
      <c r="G5" s="91"/>
      <c r="H5" s="91"/>
      <c r="I5" s="91"/>
      <c r="J5" s="91"/>
      <c r="K5" s="91"/>
      <c r="L5" s="93"/>
    </row>
    <row r="6" spans="1:12" ht="14" x14ac:dyDescent="0.25">
      <c r="A6" s="91" t="str">
        <f>Penyelia!A6</f>
        <v>No. Seri</v>
      </c>
      <c r="B6" s="92"/>
      <c r="C6" s="91"/>
      <c r="D6" s="94" t="s">
        <v>23</v>
      </c>
      <c r="E6" s="95" t="str">
        <f>Penyelia!E6</f>
        <v>-</v>
      </c>
      <c r="G6" s="91"/>
      <c r="H6" s="91"/>
      <c r="I6" s="91"/>
      <c r="J6" s="91"/>
      <c r="K6" s="91"/>
      <c r="L6" s="93"/>
    </row>
    <row r="7" spans="1:12" ht="14" x14ac:dyDescent="0.25">
      <c r="A7" s="91" t="str">
        <f>Penyelia!A7</f>
        <v>Tanggal Penerimaan Alat</v>
      </c>
      <c r="B7" s="92"/>
      <c r="C7" s="91"/>
      <c r="D7" s="94" t="s">
        <v>23</v>
      </c>
      <c r="E7" s="1091">
        <f>Penyelia!E7</f>
        <v>43630</v>
      </c>
      <c r="F7" s="1091"/>
      <c r="G7" s="91"/>
      <c r="H7" s="91"/>
      <c r="I7" s="91"/>
      <c r="J7" s="91"/>
      <c r="K7" s="91"/>
      <c r="L7" s="93"/>
    </row>
    <row r="8" spans="1:12" ht="14" x14ac:dyDescent="0.25">
      <c r="A8" s="91" t="str">
        <f>Penyelia!A8</f>
        <v>Tanggal Kalibrasi</v>
      </c>
      <c r="B8" s="92"/>
      <c r="C8" s="91"/>
      <c r="D8" s="94" t="s">
        <v>23</v>
      </c>
      <c r="E8" s="1091" t="str">
        <f>Penyelia!E8</f>
        <v>14 Juni 2019</v>
      </c>
      <c r="F8" s="1091"/>
      <c r="G8" s="91"/>
      <c r="H8" s="91"/>
      <c r="I8" s="91"/>
      <c r="J8" s="91"/>
      <c r="K8" s="91"/>
      <c r="L8" s="93"/>
    </row>
    <row r="9" spans="1:12" ht="14" x14ac:dyDescent="0.25">
      <c r="A9" s="91" t="str">
        <f>Penyelia!A9</f>
        <v>Tempat Kalibrasi</v>
      </c>
      <c r="B9" s="92"/>
      <c r="C9" s="91"/>
      <c r="D9" s="94" t="s">
        <v>23</v>
      </c>
      <c r="E9" s="95" t="str">
        <f>Penyelia!E9</f>
        <v>UGD</v>
      </c>
      <c r="G9" s="91"/>
      <c r="H9" s="91"/>
      <c r="I9" s="91"/>
      <c r="J9" s="91"/>
      <c r="K9" s="91"/>
      <c r="L9" s="93"/>
    </row>
    <row r="10" spans="1:12" ht="14" x14ac:dyDescent="0.25">
      <c r="A10" s="91" t="str">
        <f>Penyelia!A10</f>
        <v>Nama Ruang</v>
      </c>
      <c r="B10" s="92"/>
      <c r="C10" s="91"/>
      <c r="D10" s="94" t="s">
        <v>23</v>
      </c>
      <c r="E10" s="95" t="str">
        <f>Penyelia!E10</f>
        <v>UGD</v>
      </c>
      <c r="G10" s="91"/>
      <c r="H10" s="91"/>
      <c r="I10" s="91"/>
      <c r="J10" s="91"/>
      <c r="K10" s="91"/>
      <c r="L10" s="93"/>
    </row>
    <row r="11" spans="1:12" ht="14" x14ac:dyDescent="0.25">
      <c r="A11" s="91" t="str">
        <f>Penyelia!A11</f>
        <v>Metode Kerja</v>
      </c>
      <c r="B11" s="92"/>
      <c r="C11" s="91"/>
      <c r="D11" s="94" t="s">
        <v>23</v>
      </c>
      <c r="E11" s="95" t="str">
        <f>Penyelia!E11</f>
        <v>MK 041 - 18</v>
      </c>
      <c r="G11" s="91"/>
      <c r="H11" s="91"/>
      <c r="I11" s="91"/>
      <c r="J11" s="91"/>
      <c r="K11" s="91"/>
      <c r="L11" s="93"/>
    </row>
    <row r="12" spans="1:12" ht="6" customHeight="1" x14ac:dyDescent="0.25">
      <c r="A12" s="92"/>
      <c r="B12" s="91"/>
      <c r="C12" s="91"/>
      <c r="D12" s="93"/>
      <c r="E12" s="91"/>
      <c r="F12" s="91"/>
      <c r="G12" s="91"/>
      <c r="H12" s="91"/>
      <c r="I12" s="91"/>
      <c r="J12" s="91"/>
      <c r="K12" s="91"/>
      <c r="L12" s="93"/>
    </row>
    <row r="13" spans="1:12" ht="14" x14ac:dyDescent="0.25">
      <c r="A13" s="96" t="s">
        <v>14</v>
      </c>
      <c r="B13" s="96" t="str">
        <f>Penyelia!B13</f>
        <v>Kondisi Ruang</v>
      </c>
      <c r="C13" s="92"/>
      <c r="D13" s="93"/>
      <c r="E13" s="96"/>
      <c r="F13" s="96"/>
      <c r="G13" s="96"/>
      <c r="H13" s="96"/>
      <c r="I13" s="96"/>
      <c r="J13" s="96"/>
      <c r="K13" s="96"/>
      <c r="L13" s="93"/>
    </row>
    <row r="14" spans="1:12" ht="14" x14ac:dyDescent="0.25">
      <c r="A14" s="92"/>
      <c r="B14" s="91" t="str">
        <f>Penyelia!B14</f>
        <v xml:space="preserve">1. Suhu </v>
      </c>
      <c r="C14" s="92"/>
      <c r="D14" s="94" t="s">
        <v>23</v>
      </c>
      <c r="E14" s="840">
        <f>Penyelia!E14</f>
        <v>36.717581043770814</v>
      </c>
      <c r="F14" s="273" t="str">
        <f>Penyelia!F14</f>
        <v xml:space="preserve"> ± </v>
      </c>
      <c r="G14" s="840">
        <f>Penyelia!G14</f>
        <v>0.4</v>
      </c>
      <c r="H14" s="273" t="str">
        <f>Penyelia!H14</f>
        <v xml:space="preserve"> °C</v>
      </c>
      <c r="I14" s="276"/>
      <c r="J14" s="276"/>
      <c r="K14" s="91"/>
      <c r="L14" s="93"/>
    </row>
    <row r="15" spans="1:12" ht="14" x14ac:dyDescent="0.25">
      <c r="A15" s="92"/>
      <c r="B15" s="91" t="str">
        <f>Penyelia!B15</f>
        <v>2. Kelembaban</v>
      </c>
      <c r="C15" s="92"/>
      <c r="D15" s="94" t="s">
        <v>23</v>
      </c>
      <c r="E15" s="840">
        <f>Penyelia!E15</f>
        <v>57.654285714285713</v>
      </c>
      <c r="F15" s="273" t="str">
        <f>Penyelia!F15</f>
        <v xml:space="preserve"> ± </v>
      </c>
      <c r="G15" s="840">
        <f>Penyelia!G15</f>
        <v>2.2000000000000002</v>
      </c>
      <c r="H15" s="273" t="str">
        <f>Penyelia!H15</f>
        <v xml:space="preserve"> %RH</v>
      </c>
      <c r="I15" s="276"/>
      <c r="J15" s="276"/>
      <c r="K15" s="91"/>
      <c r="L15" s="93"/>
    </row>
    <row r="16" spans="1:12" ht="14" x14ac:dyDescent="0.25">
      <c r="A16" s="92"/>
      <c r="B16" s="91" t="str">
        <f>Penyelia!B16</f>
        <v>3. Tegangan Jala - jala</v>
      </c>
      <c r="C16" s="92"/>
      <c r="D16" s="94" t="s">
        <v>23</v>
      </c>
      <c r="E16" s="832">
        <f>Penyelia!E16</f>
        <v>220.61830434440205</v>
      </c>
      <c r="F16" s="273" t="str">
        <f>IF(E16="-"," ",Penyelia!F16)</f>
        <v>Volt</v>
      </c>
      <c r="G16" s="273"/>
      <c r="H16" s="273"/>
      <c r="I16" s="93"/>
      <c r="J16" s="93"/>
      <c r="K16" s="91"/>
      <c r="L16" s="93"/>
    </row>
    <row r="17" spans="1:13" ht="4.5" customHeight="1" x14ac:dyDescent="0.25">
      <c r="A17" s="92"/>
      <c r="B17" s="91"/>
      <c r="C17" s="97"/>
      <c r="D17" s="97"/>
      <c r="E17" s="95"/>
      <c r="F17" s="98"/>
      <c r="G17" s="98"/>
      <c r="H17" s="91"/>
      <c r="I17" s="91"/>
      <c r="J17" s="91"/>
      <c r="K17" s="91"/>
      <c r="L17" s="93"/>
    </row>
    <row r="18" spans="1:13" ht="14" x14ac:dyDescent="0.25">
      <c r="A18" s="96" t="s">
        <v>25</v>
      </c>
      <c r="B18" s="96" t="str">
        <f>Penyelia!B18</f>
        <v>Pemeriksaan Kondisi Fisik dan Fungsi Alat</v>
      </c>
      <c r="C18" s="92"/>
      <c r="D18" s="93"/>
      <c r="E18" s="96"/>
      <c r="F18" s="96"/>
      <c r="G18" s="96"/>
      <c r="H18" s="96"/>
      <c r="I18" s="96"/>
      <c r="J18" s="96"/>
      <c r="K18" s="96"/>
      <c r="L18" s="93"/>
    </row>
    <row r="19" spans="1:13" ht="14" x14ac:dyDescent="0.25">
      <c r="A19" s="92"/>
      <c r="B19" s="91" t="str">
        <f>Penyelia!B19</f>
        <v>1. Fisik</v>
      </c>
      <c r="C19" s="92"/>
      <c r="D19" s="94" t="s">
        <v>23</v>
      </c>
      <c r="E19" s="91" t="str">
        <f>Penyelia!E19</f>
        <v>Baik</v>
      </c>
      <c r="G19" s="91"/>
      <c r="H19" s="91"/>
      <c r="I19" s="91"/>
      <c r="J19" s="91"/>
      <c r="K19" s="91"/>
      <c r="L19" s="93"/>
    </row>
    <row r="20" spans="1:13" ht="14" x14ac:dyDescent="0.25">
      <c r="A20" s="92"/>
      <c r="B20" s="91" t="str">
        <f>Penyelia!B20</f>
        <v>2. Fungsi</v>
      </c>
      <c r="C20" s="92"/>
      <c r="D20" s="94" t="s">
        <v>23</v>
      </c>
      <c r="E20" s="91" t="str">
        <f>Penyelia!E20</f>
        <v>Baik</v>
      </c>
      <c r="G20" s="91"/>
      <c r="H20" s="91"/>
      <c r="I20" s="91"/>
      <c r="J20" s="91"/>
      <c r="K20" s="91"/>
      <c r="L20" s="93"/>
    </row>
    <row r="21" spans="1:13" ht="7.5" customHeight="1" x14ac:dyDescent="0.25">
      <c r="A21" s="92"/>
      <c r="B21" s="91"/>
      <c r="C21" s="91"/>
      <c r="D21" s="91"/>
      <c r="E21" s="91"/>
      <c r="F21" s="91"/>
      <c r="G21" s="91"/>
      <c r="H21" s="91"/>
      <c r="I21" s="91"/>
      <c r="J21" s="91"/>
      <c r="K21" s="93"/>
      <c r="L21" s="93"/>
    </row>
    <row r="22" spans="1:13" ht="14" x14ac:dyDescent="0.25">
      <c r="A22" s="96" t="s">
        <v>31</v>
      </c>
      <c r="B22" s="96" t="str">
        <f>Penyelia!B22</f>
        <v>Pengujian Keselamatan Listrik</v>
      </c>
      <c r="C22" s="92"/>
      <c r="D22" s="96"/>
      <c r="E22" s="96"/>
      <c r="F22" s="96"/>
      <c r="G22" s="99"/>
      <c r="H22" s="100"/>
      <c r="I22" s="100"/>
      <c r="J22" s="100"/>
      <c r="K22" s="93"/>
      <c r="L22" s="93"/>
    </row>
    <row r="23" spans="1:13" ht="12" customHeight="1" x14ac:dyDescent="0.25">
      <c r="A23" s="92"/>
      <c r="B23" s="1072" t="s">
        <v>33</v>
      </c>
      <c r="C23" s="1075" t="s">
        <v>34</v>
      </c>
      <c r="D23" s="1076"/>
      <c r="E23" s="1076"/>
      <c r="F23" s="1076"/>
      <c r="G23" s="1076"/>
      <c r="H23" s="1077"/>
      <c r="I23" s="1085" t="s">
        <v>35</v>
      </c>
      <c r="J23" s="1086"/>
      <c r="K23" s="58" t="s">
        <v>36</v>
      </c>
    </row>
    <row r="24" spans="1:13" ht="15.75" customHeight="1" x14ac:dyDescent="0.25">
      <c r="A24" s="92"/>
      <c r="B24" s="1072"/>
      <c r="C24" s="1078"/>
      <c r="D24" s="1079"/>
      <c r="E24" s="1079"/>
      <c r="F24" s="1079"/>
      <c r="G24" s="1079"/>
      <c r="H24" s="1080"/>
      <c r="I24" s="1087"/>
      <c r="J24" s="1088"/>
      <c r="K24" s="59" t="s">
        <v>37</v>
      </c>
    </row>
    <row r="25" spans="1:13" ht="18" customHeight="1" x14ac:dyDescent="0.25">
      <c r="A25" s="92"/>
      <c r="B25" s="80">
        <v>1</v>
      </c>
      <c r="C25" s="41" t="str">
        <f>Penyelia!C25</f>
        <v>Resistansi isolasi</v>
      </c>
      <c r="D25" s="54"/>
      <c r="E25" s="54"/>
      <c r="F25" s="54"/>
      <c r="G25" s="54"/>
      <c r="H25" s="127"/>
      <c r="I25" s="832" t="str">
        <f>Penyelia!I25</f>
        <v>OL</v>
      </c>
      <c r="J25" s="254" t="str">
        <f>IF(I25="OL"," ",IF(I25="-"," ",ID!L26))</f>
        <v xml:space="preserve"> </v>
      </c>
      <c r="K25" s="102" t="str">
        <f>Penyelia!J25</f>
        <v xml:space="preserve">&gt; 2 MΩ
</v>
      </c>
    </row>
    <row r="26" spans="1:13" ht="18" customHeight="1" x14ac:dyDescent="0.25">
      <c r="A26" s="92"/>
      <c r="B26" s="80">
        <v>2</v>
      </c>
      <c r="C26" s="41" t="str">
        <f>Penyelia!C26</f>
        <v>Resistansi Pembumian Protektif</v>
      </c>
      <c r="D26" s="54"/>
      <c r="E26" s="54"/>
      <c r="F26" s="54"/>
      <c r="G26" s="54"/>
      <c r="H26" s="128"/>
      <c r="I26" s="1390">
        <f>Penyelia!I26</f>
        <v>0.12280698752254468</v>
      </c>
      <c r="J26" s="254" t="str">
        <f>IF(I26="OL"," ",IF(I26="-"," ",ID!L27))</f>
        <v>Ω</v>
      </c>
      <c r="K26" s="102" t="str">
        <f>Penyelia!J26</f>
        <v>≤ 0.2 Ω</v>
      </c>
    </row>
    <row r="27" spans="1:13" ht="18" customHeight="1" x14ac:dyDescent="0.25">
      <c r="A27" s="92"/>
      <c r="B27" s="80">
        <v>3</v>
      </c>
      <c r="C27" s="41" t="str">
        <f>Penyelia!C27</f>
        <v>Arus bocor peralatan untuk perangkat elektromedik kelas I</v>
      </c>
      <c r="D27" s="54"/>
      <c r="E27" s="54"/>
      <c r="F27" s="54"/>
      <c r="G27" s="54"/>
      <c r="H27" s="129"/>
      <c r="I27" s="832">
        <f>Penyelia!I27</f>
        <v>120.71352466260672</v>
      </c>
      <c r="J27" s="254" t="str">
        <f>IF(I27="OL"," ",IF(I27="-"," ",ID!L28))</f>
        <v>µA</v>
      </c>
      <c r="K27" s="102" t="str">
        <f>Penyelia!J27</f>
        <v>≤ 100 µA</v>
      </c>
    </row>
    <row r="28" spans="1:13" ht="6.75" customHeight="1" x14ac:dyDescent="0.25">
      <c r="A28" s="92"/>
      <c r="B28" s="103"/>
      <c r="C28" s="95"/>
      <c r="D28" s="95"/>
      <c r="E28" s="95"/>
      <c r="F28" s="95"/>
      <c r="G28" s="95"/>
      <c r="H28" s="104"/>
      <c r="I28" s="104"/>
      <c r="J28" s="104"/>
      <c r="K28" s="93"/>
      <c r="L28" s="93"/>
    </row>
    <row r="29" spans="1:13" ht="15.75" customHeight="1" x14ac:dyDescent="0.25">
      <c r="A29" s="96" t="s">
        <v>49</v>
      </c>
      <c r="B29" s="96" t="str">
        <f>Penyelia!B29</f>
        <v>Pengujian Kinerja</v>
      </c>
      <c r="C29" s="95"/>
      <c r="D29" s="95"/>
      <c r="E29" s="95"/>
      <c r="F29" s="95"/>
      <c r="G29" s="95"/>
      <c r="H29" s="104"/>
      <c r="I29" s="104"/>
      <c r="J29" s="104"/>
      <c r="K29" s="93"/>
      <c r="L29" s="93"/>
    </row>
    <row r="30" spans="1:13" ht="14" x14ac:dyDescent="0.25">
      <c r="B30" s="142" t="str">
        <f>ID!B31</f>
        <v>A. Kalibrasi Akurasi Saturasi Oksigen</v>
      </c>
      <c r="C30" s="92"/>
      <c r="D30" s="96"/>
      <c r="E30" s="96"/>
      <c r="F30" s="96"/>
      <c r="G30" s="96"/>
      <c r="H30" s="103"/>
      <c r="I30" s="103"/>
      <c r="J30" s="103"/>
      <c r="K30" s="93"/>
      <c r="L30" s="93"/>
    </row>
    <row r="31" spans="1:13" ht="36.75" customHeight="1" x14ac:dyDescent="0.25">
      <c r="A31" s="92"/>
      <c r="B31" s="83" t="str">
        <f>Penyelia!B31</f>
        <v>No.</v>
      </c>
      <c r="C31" s="84" t="str">
        <f>Penyelia!C31</f>
        <v>Parameter</v>
      </c>
      <c r="D31" s="1093" t="str">
        <f>Penyelia!D31</f>
        <v>Setting Standar</v>
      </c>
      <c r="E31" s="1093"/>
      <c r="F31" s="85" t="str">
        <f>Penyelia!F31</f>
        <v>Pambacaan Alat</v>
      </c>
      <c r="G31" s="86" t="str">
        <f>Penyelia!G31</f>
        <v>Koreksi</v>
      </c>
      <c r="H31" s="133" t="str">
        <f>Penyelia!H31</f>
        <v>Toleransi</v>
      </c>
      <c r="I31" s="1089" t="str">
        <f>Penyelia!I31</f>
        <v>Ketidakpastian Pengukuran</v>
      </c>
      <c r="J31" s="1090"/>
      <c r="K31" s="255"/>
      <c r="L31" s="93"/>
      <c r="M31" s="134"/>
    </row>
    <row r="32" spans="1:13" ht="15.75" customHeight="1" x14ac:dyDescent="0.25">
      <c r="A32" s="92"/>
      <c r="B32" s="105" t="s">
        <v>149</v>
      </c>
      <c r="C32" s="1094" t="str">
        <f>Penyelia!C32</f>
        <v>Saturasi O₂ (%)</v>
      </c>
      <c r="D32" s="1081">
        <f>Penyelia!D32</f>
        <v>100</v>
      </c>
      <c r="E32" s="1081"/>
      <c r="F32" s="841">
        <f>Penyelia!F32</f>
        <v>99.000010000000003</v>
      </c>
      <c r="G32" s="842">
        <f>Penyelia!G32</f>
        <v>-0.99998999999999683</v>
      </c>
      <c r="H32" s="1082" t="str">
        <f>Penyelia!H32</f>
        <v>± 1 % O₂</v>
      </c>
      <c r="I32" s="689" t="str">
        <f>IF(J32="-"," ","±")</f>
        <v>±</v>
      </c>
      <c r="J32" s="843">
        <f>Penyelia!I32</f>
        <v>0.57982691537132647</v>
      </c>
      <c r="L32" s="93"/>
      <c r="M32" s="111"/>
    </row>
    <row r="33" spans="1:13" ht="14" x14ac:dyDescent="0.25">
      <c r="A33" s="92"/>
      <c r="B33" s="105" t="s">
        <v>64</v>
      </c>
      <c r="C33" s="1095"/>
      <c r="D33" s="1081">
        <f>Penyelia!D33</f>
        <v>99</v>
      </c>
      <c r="E33" s="1081"/>
      <c r="F33" s="841">
        <f>Penyelia!F33</f>
        <v>99.000010000000003</v>
      </c>
      <c r="G33" s="842">
        <f>Penyelia!G33</f>
        <v>1.0000000003174137E-5</v>
      </c>
      <c r="H33" s="1083"/>
      <c r="I33" s="689" t="str">
        <f t="shared" ref="I33:I38" si="0">IF(J33="-"," ","±")</f>
        <v>±</v>
      </c>
      <c r="J33" s="843">
        <f>Penyelia!I33</f>
        <v>0.57982691537132647</v>
      </c>
      <c r="L33" s="93"/>
      <c r="M33" s="111"/>
    </row>
    <row r="34" spans="1:13" ht="14" x14ac:dyDescent="0.25">
      <c r="A34" s="92"/>
      <c r="B34" s="105" t="s">
        <v>65</v>
      </c>
      <c r="C34" s="1095"/>
      <c r="D34" s="1081">
        <f>Penyelia!D34</f>
        <v>98</v>
      </c>
      <c r="E34" s="1081"/>
      <c r="F34" s="841">
        <f>Penyelia!F34</f>
        <v>98.000010000000003</v>
      </c>
      <c r="G34" s="842">
        <f>Penyelia!G34</f>
        <v>1.0000000003174137E-5</v>
      </c>
      <c r="H34" s="1083"/>
      <c r="I34" s="689" t="str">
        <f t="shared" si="0"/>
        <v>±</v>
      </c>
      <c r="J34" s="843">
        <f>Penyelia!I34</f>
        <v>0.57982691537132647</v>
      </c>
      <c r="L34" s="93"/>
      <c r="M34" s="111"/>
    </row>
    <row r="35" spans="1:13" ht="14" x14ac:dyDescent="0.25">
      <c r="A35" s="92"/>
      <c r="B35" s="105" t="s">
        <v>66</v>
      </c>
      <c r="C35" s="1095"/>
      <c r="D35" s="1081">
        <f>Penyelia!D35</f>
        <v>97</v>
      </c>
      <c r="E35" s="1081"/>
      <c r="F35" s="841">
        <f>Penyelia!F35</f>
        <v>97.000010000000003</v>
      </c>
      <c r="G35" s="842">
        <f>Penyelia!G35</f>
        <v>1.0000000003174137E-5</v>
      </c>
      <c r="H35" s="1083"/>
      <c r="I35" s="689" t="str">
        <f t="shared" si="0"/>
        <v>±</v>
      </c>
      <c r="J35" s="843">
        <f>Penyelia!I35</f>
        <v>0.57982691537132647</v>
      </c>
      <c r="L35" s="93"/>
      <c r="M35" s="111"/>
    </row>
    <row r="36" spans="1:13" ht="14" x14ac:dyDescent="0.25">
      <c r="A36" s="92"/>
      <c r="B36" s="105" t="s">
        <v>67</v>
      </c>
      <c r="C36" s="1095"/>
      <c r="D36" s="1081">
        <f>Penyelia!D36</f>
        <v>95</v>
      </c>
      <c r="E36" s="1081"/>
      <c r="F36" s="841">
        <f>Penyelia!F36</f>
        <v>95.000010000000003</v>
      </c>
      <c r="G36" s="842">
        <f>Penyelia!G36</f>
        <v>1.0000000003174137E-5</v>
      </c>
      <c r="H36" s="1083"/>
      <c r="I36" s="689" t="str">
        <f t="shared" si="0"/>
        <v>±</v>
      </c>
      <c r="J36" s="843">
        <f>Penyelia!I36</f>
        <v>0.57982691537132647</v>
      </c>
      <c r="L36" s="93"/>
      <c r="M36" s="111"/>
    </row>
    <row r="37" spans="1:13" ht="14" x14ac:dyDescent="0.25">
      <c r="A37" s="92"/>
      <c r="B37" s="105" t="s">
        <v>68</v>
      </c>
      <c r="C37" s="1095"/>
      <c r="D37" s="1081">
        <f>Penyelia!D37</f>
        <v>90</v>
      </c>
      <c r="E37" s="1081"/>
      <c r="F37" s="841">
        <f>Penyelia!F37</f>
        <v>90.000010000000003</v>
      </c>
      <c r="G37" s="842">
        <f>Penyelia!G37</f>
        <v>1.0000000003174137E-5</v>
      </c>
      <c r="H37" s="1083"/>
      <c r="I37" s="689" t="str">
        <f t="shared" si="0"/>
        <v>±</v>
      </c>
      <c r="J37" s="843">
        <f>Penyelia!I37</f>
        <v>0.57982691537132647</v>
      </c>
      <c r="L37" s="93"/>
      <c r="M37" s="111"/>
    </row>
    <row r="38" spans="1:13" ht="18.649999999999999" customHeight="1" x14ac:dyDescent="0.25">
      <c r="A38" s="92"/>
      <c r="B38" s="105" t="s">
        <v>69</v>
      </c>
      <c r="C38" s="1096"/>
      <c r="D38" s="1081">
        <f>Penyelia!D38</f>
        <v>85</v>
      </c>
      <c r="E38" s="1081"/>
      <c r="F38" s="841">
        <f>Penyelia!F38</f>
        <v>85.000010000000003</v>
      </c>
      <c r="G38" s="842">
        <f>Penyelia!G38</f>
        <v>1.0000000003174137E-5</v>
      </c>
      <c r="H38" s="1084"/>
      <c r="I38" s="689" t="str">
        <f t="shared" si="0"/>
        <v>±</v>
      </c>
      <c r="J38" s="844">
        <f>Penyelia!I38</f>
        <v>0.57982691537132647</v>
      </c>
      <c r="L38" s="93"/>
      <c r="M38" s="111"/>
    </row>
    <row r="39" spans="1:13" ht="15.75" customHeight="1" x14ac:dyDescent="0.25">
      <c r="A39" s="92"/>
      <c r="B39" s="103"/>
      <c r="C39" s="103"/>
      <c r="D39" s="95"/>
      <c r="E39" s="103"/>
      <c r="F39" s="103"/>
      <c r="G39" s="103"/>
      <c r="H39" s="103"/>
      <c r="I39" s="103"/>
      <c r="J39" s="103"/>
      <c r="K39" s="93"/>
      <c r="L39" s="93"/>
    </row>
    <row r="40" spans="1:13" ht="15.75" customHeight="1" x14ac:dyDescent="0.25">
      <c r="A40" s="92"/>
      <c r="B40" s="143" t="str">
        <f>Penyelia!B40</f>
        <v>B. Kalibrasi Akurasi Heart Rate</v>
      </c>
      <c r="C40" s="103"/>
      <c r="D40" s="95"/>
      <c r="E40" s="103"/>
      <c r="F40" s="103"/>
      <c r="G40" s="103"/>
      <c r="H40" s="103"/>
      <c r="I40" s="103"/>
      <c r="J40" s="103"/>
      <c r="K40" s="93"/>
      <c r="L40" s="93"/>
    </row>
    <row r="41" spans="1:13" ht="15.75" customHeight="1" x14ac:dyDescent="0.25">
      <c r="A41" s="92"/>
      <c r="B41" s="1104" t="s">
        <v>33</v>
      </c>
      <c r="C41" s="1104" t="s">
        <v>34</v>
      </c>
      <c r="D41" s="1104" t="s">
        <v>232</v>
      </c>
      <c r="E41" s="1104"/>
      <c r="F41" s="1093" t="s">
        <v>233</v>
      </c>
      <c r="G41" s="1105" t="s">
        <v>164</v>
      </c>
      <c r="H41" s="1109" t="str">
        <f>Penyelia!H41</f>
        <v>Toleransi</v>
      </c>
      <c r="I41" s="1099" t="str">
        <f>Penyelia!I41</f>
        <v>Ketidakpastian Pengukuran</v>
      </c>
      <c r="J41" s="1100"/>
      <c r="L41" s="93"/>
      <c r="M41" s="1103"/>
    </row>
    <row r="42" spans="1:13" ht="15.75" customHeight="1" x14ac:dyDescent="0.25">
      <c r="A42" s="92"/>
      <c r="B42" s="1104"/>
      <c r="C42" s="1104"/>
      <c r="D42" s="1104"/>
      <c r="E42" s="1104"/>
      <c r="F42" s="1093"/>
      <c r="G42" s="1105"/>
      <c r="H42" s="1110"/>
      <c r="I42" s="1101"/>
      <c r="J42" s="1102"/>
      <c r="L42" s="93"/>
      <c r="M42" s="1103"/>
    </row>
    <row r="43" spans="1:13" ht="15.75" customHeight="1" x14ac:dyDescent="0.25">
      <c r="A43" s="92"/>
      <c r="B43" s="79" t="s">
        <v>149</v>
      </c>
      <c r="C43" s="1097" t="s">
        <v>72</v>
      </c>
      <c r="D43" s="1097">
        <f>Penyelia!D43</f>
        <v>30</v>
      </c>
      <c r="E43" s="1097"/>
      <c r="F43" s="842">
        <f>Penyelia!F43</f>
        <v>30.00001</v>
      </c>
      <c r="G43" s="842">
        <f>Penyelia!G43</f>
        <v>9.9999999996214228E-6</v>
      </c>
      <c r="H43" s="1106" t="str">
        <f>Penyelia!H43</f>
        <v>± 5 %</v>
      </c>
      <c r="I43" s="690" t="str">
        <f>IF(J43="-"," ","±")</f>
        <v>±</v>
      </c>
      <c r="J43" s="845">
        <f>Penyelia!I43</f>
        <v>0.57982691537132647</v>
      </c>
      <c r="L43" s="93"/>
      <c r="M43" s="111"/>
    </row>
    <row r="44" spans="1:13" ht="15.75" customHeight="1" x14ac:dyDescent="0.25">
      <c r="A44" s="92"/>
      <c r="B44" s="64" t="s">
        <v>64</v>
      </c>
      <c r="C44" s="1097"/>
      <c r="D44" s="1097">
        <f>Penyelia!D44</f>
        <v>60</v>
      </c>
      <c r="E44" s="1097"/>
      <c r="F44" s="842">
        <f>Penyelia!F44</f>
        <v>60.000010000000003</v>
      </c>
      <c r="G44" s="842">
        <f>Penyelia!G44</f>
        <v>1.0000000003174137E-5</v>
      </c>
      <c r="H44" s="1107"/>
      <c r="I44" s="690" t="str">
        <f t="shared" ref="I44:I46" si="1">IF(J44="-"," ","±")</f>
        <v>±</v>
      </c>
      <c r="J44" s="845">
        <f>Penyelia!I44</f>
        <v>0.57982691537132647</v>
      </c>
      <c r="L44" s="93"/>
      <c r="M44" s="111"/>
    </row>
    <row r="45" spans="1:13" ht="15.75" customHeight="1" x14ac:dyDescent="0.25">
      <c r="A45" s="92"/>
      <c r="B45" s="64" t="s">
        <v>65</v>
      </c>
      <c r="C45" s="1097"/>
      <c r="D45" s="1097">
        <f>Penyelia!D45</f>
        <v>120</v>
      </c>
      <c r="E45" s="1097"/>
      <c r="F45" s="842">
        <f>Penyelia!F45</f>
        <v>120.00001</v>
      </c>
      <c r="G45" s="842">
        <f>Penyelia!G45</f>
        <v>1.0000000003174137E-5</v>
      </c>
      <c r="H45" s="1107"/>
      <c r="I45" s="690" t="str">
        <f t="shared" si="1"/>
        <v>±</v>
      </c>
      <c r="J45" s="845">
        <f>Penyelia!I45</f>
        <v>0.57982691537132647</v>
      </c>
      <c r="L45" s="93"/>
      <c r="M45" s="111"/>
    </row>
    <row r="46" spans="1:13" ht="14.25" customHeight="1" x14ac:dyDescent="0.25">
      <c r="A46" s="92"/>
      <c r="B46" s="64" t="s">
        <v>66</v>
      </c>
      <c r="C46" s="1097"/>
      <c r="D46" s="1097">
        <f>Penyelia!D46</f>
        <v>240</v>
      </c>
      <c r="E46" s="1097"/>
      <c r="F46" s="842">
        <f>Penyelia!F46</f>
        <v>240.00001</v>
      </c>
      <c r="G46" s="842">
        <f>Penyelia!G46</f>
        <v>1.0000000003174137E-5</v>
      </c>
      <c r="H46" s="1108"/>
      <c r="I46" s="690" t="str">
        <f t="shared" si="1"/>
        <v>±</v>
      </c>
      <c r="J46" s="845">
        <f>Penyelia!I46</f>
        <v>0.57982691537132647</v>
      </c>
      <c r="L46" s="93"/>
      <c r="M46" s="111"/>
    </row>
    <row r="47" spans="1:13" ht="9.75" customHeight="1" x14ac:dyDescent="0.25">
      <c r="A47" s="92"/>
      <c r="B47" s="68"/>
      <c r="C47" s="69"/>
      <c r="D47" s="69"/>
      <c r="E47" s="69"/>
      <c r="F47" s="110"/>
      <c r="G47" s="111"/>
      <c r="H47" s="111"/>
      <c r="I47" s="125"/>
      <c r="J47" s="125"/>
      <c r="K47" s="126"/>
      <c r="L47" s="93"/>
    </row>
    <row r="48" spans="1:13" ht="14" x14ac:dyDescent="0.25">
      <c r="A48" s="96" t="s">
        <v>74</v>
      </c>
      <c r="B48" s="96" t="s">
        <v>75</v>
      </c>
      <c r="C48" s="92"/>
      <c r="D48" s="91"/>
      <c r="E48" s="91"/>
      <c r="F48" s="91"/>
      <c r="G48" s="91"/>
      <c r="H48" s="91"/>
      <c r="I48" s="91"/>
      <c r="J48" s="91"/>
      <c r="K48" s="93"/>
      <c r="L48" s="93"/>
    </row>
    <row r="49" spans="1:12" ht="14" x14ac:dyDescent="0.25">
      <c r="A49" s="92"/>
      <c r="B49" s="95" t="str">
        <f>Penyelia!B49</f>
        <v>Ketidakpastian pengukuran diperoleh dari sumber kesalahan tipe A dan tipe B</v>
      </c>
      <c r="C49" s="92"/>
      <c r="D49" s="91"/>
      <c r="E49" s="91"/>
      <c r="F49" s="91"/>
      <c r="G49" s="91"/>
      <c r="H49" s="91"/>
      <c r="I49" s="91"/>
      <c r="J49" s="91"/>
      <c r="K49" s="93"/>
      <c r="L49" s="93"/>
    </row>
    <row r="50" spans="1:12" ht="15.75" customHeight="1" x14ac:dyDescent="0.25">
      <c r="A50" s="92"/>
      <c r="B50" s="846" t="str">
        <f>Penyelia!B50</f>
        <v>Hasil pengujian Keselamatan Listrik tertelusur ke Satuan Internasional ( SI ) melalui PT. Kaliman (LK-032-IDN)</v>
      </c>
      <c r="C50" s="92"/>
      <c r="D50" s="91"/>
      <c r="E50" s="91"/>
      <c r="F50" s="91"/>
      <c r="G50" s="91"/>
      <c r="H50" s="91"/>
      <c r="I50" s="91"/>
      <c r="J50" s="91"/>
      <c r="K50" s="93"/>
      <c r="L50" s="93"/>
    </row>
    <row r="51" spans="1:12" ht="14" x14ac:dyDescent="0.25">
      <c r="A51" s="92"/>
      <c r="B51" s="95" t="str">
        <f>Penyelia!B51</f>
        <v>Hasil Kalibrasi Saturasi Oksigen tertelusur ke Satuan Internasional ( SI ) melalui CALTEK PTE LTD</v>
      </c>
      <c r="C51" s="92"/>
      <c r="D51" s="88"/>
      <c r="E51" s="88"/>
      <c r="F51" s="88"/>
      <c r="G51" s="88"/>
      <c r="H51" s="88"/>
      <c r="I51" s="88"/>
      <c r="J51" s="88"/>
      <c r="K51" s="92"/>
      <c r="L51" s="92"/>
    </row>
    <row r="52" spans="1:12" ht="14" x14ac:dyDescent="0.25">
      <c r="A52" s="92"/>
      <c r="B52" s="95" t="str">
        <f>Penyelia!B52</f>
        <v>Hasil Kalibrasi Frekuensi Heart Rate (BPM) tertelusur ke Satuan Internasional ( SI ) melalui CALTEK PTE LTD</v>
      </c>
      <c r="C52" s="92"/>
      <c r="D52" s="88"/>
      <c r="E52" s="88"/>
      <c r="F52" s="88"/>
      <c r="G52" s="88"/>
      <c r="H52" s="88"/>
      <c r="I52" s="88"/>
      <c r="J52" s="88"/>
      <c r="K52" s="92"/>
      <c r="L52" s="92"/>
    </row>
    <row r="53" spans="1:12" ht="15" customHeight="1" x14ac:dyDescent="0.25">
      <c r="A53" s="92"/>
      <c r="B53" s="846" t="str">
        <f>Penyelia!B53</f>
        <v>-</v>
      </c>
      <c r="C53" s="114"/>
      <c r="D53" s="88"/>
      <c r="E53" s="88"/>
      <c r="F53" s="88"/>
      <c r="G53" s="88"/>
      <c r="H53" s="88"/>
      <c r="I53" s="88"/>
      <c r="J53" s="88"/>
      <c r="K53" s="92"/>
      <c r="L53" s="92"/>
    </row>
    <row r="54" spans="1:12" ht="9.75" customHeight="1" x14ac:dyDescent="0.25">
      <c r="A54" s="92"/>
      <c r="B54" s="95"/>
      <c r="C54" s="114"/>
      <c r="D54" s="88"/>
      <c r="E54" s="88"/>
      <c r="F54" s="88"/>
      <c r="G54" s="88"/>
      <c r="H54" s="88"/>
      <c r="I54" s="88"/>
      <c r="J54" s="88"/>
      <c r="K54" s="92"/>
      <c r="L54" s="92"/>
    </row>
    <row r="55" spans="1:12" ht="14" x14ac:dyDescent="0.25">
      <c r="A55" s="96" t="s">
        <v>78</v>
      </c>
      <c r="B55" s="96" t="s">
        <v>79</v>
      </c>
      <c r="C55" s="92"/>
      <c r="D55" s="96"/>
      <c r="E55" s="91"/>
      <c r="F55" s="91"/>
      <c r="G55" s="91"/>
      <c r="H55" s="91"/>
      <c r="I55" s="91"/>
      <c r="J55" s="91"/>
      <c r="K55" s="93"/>
      <c r="L55" s="93"/>
    </row>
    <row r="56" spans="1:12" ht="14" x14ac:dyDescent="0.25">
      <c r="A56" s="92"/>
      <c r="B56" s="847" t="str">
        <f>Penyelia!B57</f>
        <v>SPO₂ Simulator, Merek : Fluke, Model : SPOT LIGHT, SN : 4404040</v>
      </c>
      <c r="C56" s="92"/>
      <c r="D56" s="91"/>
      <c r="E56" s="91"/>
      <c r="F56" s="91"/>
      <c r="G56" s="91"/>
      <c r="H56" s="91"/>
      <c r="I56" s="91"/>
      <c r="J56" s="91"/>
      <c r="K56" s="93"/>
      <c r="L56" s="93"/>
    </row>
    <row r="57" spans="1:12" ht="14.25" customHeight="1" x14ac:dyDescent="0.25">
      <c r="A57" s="92"/>
      <c r="B57" s="91" t="str">
        <f>Penyelia!B58</f>
        <v>Electrical Safety Analyzer, Merek : Fluke, Model : ESA 615, SN : 2853078</v>
      </c>
      <c r="C57" s="92"/>
      <c r="D57" s="91"/>
      <c r="E57" s="91"/>
      <c r="F57" s="91"/>
      <c r="G57" s="91"/>
      <c r="H57" s="91"/>
      <c r="I57" s="91"/>
      <c r="J57" s="91"/>
      <c r="K57" s="93"/>
      <c r="L57" s="93"/>
    </row>
    <row r="58" spans="1:12" ht="8.25" customHeight="1" x14ac:dyDescent="0.25">
      <c r="A58" s="92"/>
      <c r="B58" s="115"/>
      <c r="C58" s="88"/>
      <c r="D58" s="88"/>
      <c r="E58" s="88"/>
      <c r="F58" s="88"/>
      <c r="G58" s="88"/>
      <c r="H58" s="88"/>
      <c r="I58" s="88"/>
      <c r="J58" s="88"/>
      <c r="K58" s="92"/>
      <c r="L58" s="92"/>
    </row>
    <row r="59" spans="1:12" ht="14" x14ac:dyDescent="0.25">
      <c r="A59" s="115" t="s">
        <v>90</v>
      </c>
      <c r="B59" s="115" t="s">
        <v>91</v>
      </c>
      <c r="C59" s="92"/>
      <c r="D59" s="88"/>
      <c r="E59" s="88"/>
      <c r="F59" s="88"/>
      <c r="G59" s="88"/>
      <c r="H59" s="88"/>
      <c r="I59" s="88"/>
      <c r="J59" s="88"/>
      <c r="K59" s="92"/>
      <c r="L59" s="92"/>
    </row>
    <row r="60" spans="1:12" ht="15" customHeight="1" x14ac:dyDescent="0.25">
      <c r="A60" s="115"/>
      <c r="B60" s="1098" t="str">
        <f>Penyelia!B61</f>
        <v>Alat yang dikalibrasi dalam batas toleransi dan dinyatakan LAIK PAKAI, dimana hasil atau skor akhir sama dengan atau melampaui 70 % berdasarkan Keputusan Direktur Jenderal Pelayanan Kesehatan No : HK.02.02/V/0412/2020</v>
      </c>
      <c r="C60" s="1098"/>
      <c r="D60" s="1098"/>
      <c r="E60" s="1098"/>
      <c r="F60" s="1098"/>
      <c r="G60" s="1098"/>
      <c r="H60" s="1098"/>
      <c r="I60" s="1098"/>
      <c r="J60" s="1098"/>
      <c r="K60" s="1098"/>
      <c r="L60" s="131"/>
    </row>
    <row r="61" spans="1:12" ht="16.5" customHeight="1" x14ac:dyDescent="0.25">
      <c r="A61" s="92"/>
      <c r="B61" s="1098"/>
      <c r="C61" s="1098"/>
      <c r="D61" s="1098"/>
      <c r="E61" s="1098"/>
      <c r="F61" s="1098"/>
      <c r="G61" s="1098"/>
      <c r="H61" s="1098"/>
      <c r="I61" s="1098"/>
      <c r="J61" s="1098"/>
      <c r="K61" s="1098"/>
      <c r="L61" s="131"/>
    </row>
    <row r="62" spans="1:12" ht="8.25" customHeight="1" x14ac:dyDescent="0.25">
      <c r="A62" s="92"/>
      <c r="B62" s="1098"/>
      <c r="C62" s="1098"/>
      <c r="D62" s="1098"/>
      <c r="E62" s="1098"/>
      <c r="F62" s="1098"/>
      <c r="G62" s="1098"/>
      <c r="H62" s="1098"/>
      <c r="I62" s="1098"/>
      <c r="J62" s="1098"/>
      <c r="K62" s="1098"/>
      <c r="L62" s="131"/>
    </row>
    <row r="63" spans="1:12" ht="14" x14ac:dyDescent="0.25">
      <c r="A63" s="115" t="s">
        <v>93</v>
      </c>
      <c r="B63" s="115" t="str">
        <f>Penyelia!B64</f>
        <v>Petugas Kalibrasi</v>
      </c>
      <c r="C63" s="92"/>
      <c r="D63" s="88"/>
      <c r="E63" s="88"/>
      <c r="F63" s="88"/>
      <c r="G63" s="88"/>
      <c r="H63" s="88"/>
      <c r="I63" s="88"/>
      <c r="J63" s="88"/>
      <c r="K63" s="92"/>
      <c r="L63" s="92"/>
    </row>
    <row r="64" spans="1:12" ht="14" x14ac:dyDescent="0.25">
      <c r="A64" s="92"/>
      <c r="B64" s="88" t="str">
        <f>Penyelia!B65</f>
        <v>Septia Khairunnisa</v>
      </c>
      <c r="C64" s="92"/>
      <c r="D64" s="88"/>
      <c r="E64" s="88"/>
      <c r="F64" s="88"/>
      <c r="G64" s="88"/>
      <c r="H64" s="88"/>
      <c r="I64" s="88"/>
      <c r="J64" s="88"/>
      <c r="K64" s="92"/>
      <c r="L64" s="92"/>
    </row>
    <row r="65" spans="1:12" ht="14.25" customHeight="1" x14ac:dyDescent="0.25">
      <c r="A65" s="92"/>
      <c r="B65" s="88"/>
      <c r="C65" s="88"/>
      <c r="D65" s="88"/>
      <c r="E65" s="116"/>
      <c r="F65" s="116"/>
      <c r="G65" s="88"/>
      <c r="H65" s="88"/>
      <c r="I65" s="88"/>
      <c r="J65" s="88"/>
      <c r="K65" s="88" t="s">
        <v>245</v>
      </c>
      <c r="L65" s="92"/>
    </row>
    <row r="66" spans="1:12" ht="14" x14ac:dyDescent="0.25">
      <c r="A66" s="92"/>
      <c r="B66" s="115"/>
      <c r="C66" s="117"/>
      <c r="D66" s="118"/>
      <c r="E66" s="118"/>
      <c r="F66" s="118"/>
      <c r="G66" s="92"/>
      <c r="H66" s="88"/>
      <c r="I66" s="88"/>
      <c r="J66" s="88"/>
      <c r="K66" s="124" t="s">
        <v>246</v>
      </c>
      <c r="L66" s="92"/>
    </row>
    <row r="67" spans="1:12" ht="14" x14ac:dyDescent="0.25">
      <c r="A67" s="92"/>
      <c r="B67" s="88"/>
      <c r="C67" s="1092"/>
      <c r="D67" s="1092"/>
      <c r="E67" s="1092"/>
      <c r="F67" s="1092"/>
      <c r="G67" s="92"/>
      <c r="H67" s="88"/>
      <c r="I67" s="88"/>
      <c r="J67" s="88"/>
      <c r="K67" s="124" t="s">
        <v>247</v>
      </c>
      <c r="L67" s="92"/>
    </row>
    <row r="68" spans="1:12" ht="14" x14ac:dyDescent="0.25">
      <c r="A68" s="92"/>
      <c r="B68" s="88"/>
      <c r="C68" s="118"/>
      <c r="D68" s="118"/>
      <c r="E68" s="118"/>
      <c r="F68" s="118"/>
      <c r="G68" s="92"/>
      <c r="H68" s="88"/>
      <c r="I68" s="88"/>
      <c r="J68" s="88"/>
      <c r="K68" s="88"/>
      <c r="L68" s="92"/>
    </row>
    <row r="69" spans="1:12" ht="14" x14ac:dyDescent="0.25">
      <c r="A69" s="92"/>
      <c r="B69" s="88"/>
      <c r="C69" s="118"/>
      <c r="D69" s="118"/>
      <c r="E69" s="118"/>
      <c r="F69" s="118"/>
      <c r="G69" s="92"/>
      <c r="H69" s="88"/>
      <c r="I69" s="88"/>
      <c r="J69" s="88"/>
      <c r="K69" s="88"/>
      <c r="L69" s="92"/>
    </row>
    <row r="70" spans="1:12" ht="14" x14ac:dyDescent="0.25">
      <c r="A70" s="92"/>
      <c r="B70" s="88"/>
      <c r="C70" s="118"/>
      <c r="D70" s="118"/>
      <c r="E70" s="118"/>
      <c r="F70" s="118"/>
      <c r="G70" s="92"/>
      <c r="H70" s="88"/>
      <c r="I70" s="88"/>
      <c r="J70" s="88"/>
      <c r="K70" s="88"/>
      <c r="L70" s="92"/>
    </row>
    <row r="71" spans="1:12" ht="14" x14ac:dyDescent="0.25">
      <c r="A71" s="92"/>
      <c r="B71" s="88"/>
      <c r="C71" s="118"/>
      <c r="D71" s="118"/>
      <c r="E71" s="118"/>
      <c r="F71" s="118"/>
      <c r="G71" s="92"/>
      <c r="H71" s="88"/>
      <c r="I71" s="88"/>
      <c r="J71" s="88"/>
      <c r="K71" s="122"/>
      <c r="L71" s="92"/>
    </row>
    <row r="72" spans="1:12" ht="14" x14ac:dyDescent="0.25">
      <c r="A72" s="92"/>
      <c r="B72" s="88"/>
      <c r="C72" s="118"/>
      <c r="D72" s="118"/>
      <c r="E72" s="118"/>
      <c r="F72" s="118"/>
      <c r="G72" s="92"/>
      <c r="H72" s="88"/>
      <c r="I72" s="88"/>
      <c r="J72" s="88"/>
      <c r="K72" s="130" t="s">
        <v>248</v>
      </c>
      <c r="L72" s="92"/>
    </row>
    <row r="73" spans="1:12" ht="22.5" customHeight="1" x14ac:dyDescent="0.25">
      <c r="A73" s="92"/>
      <c r="B73" s="88"/>
      <c r="C73" s="118"/>
      <c r="D73" s="118"/>
      <c r="E73" s="118"/>
      <c r="F73" s="118"/>
      <c r="G73" s="92"/>
      <c r="H73" s="88"/>
      <c r="I73" s="88"/>
      <c r="J73" s="88"/>
      <c r="K73" s="123" t="str">
        <f>VLOOKUP(K72,A76:B77,2,0)</f>
        <v>NIP 198008062010121001</v>
      </c>
      <c r="L73" s="92"/>
    </row>
    <row r="74" spans="1:12" ht="14" x14ac:dyDescent="0.25">
      <c r="A74" s="92"/>
      <c r="B74" s="88"/>
      <c r="C74" s="118"/>
      <c r="D74" s="118"/>
      <c r="E74" s="118"/>
      <c r="F74" s="118"/>
      <c r="G74" s="92"/>
      <c r="H74" s="88"/>
      <c r="I74" s="88"/>
      <c r="J74" s="88"/>
      <c r="L74" s="132" t="s">
        <v>249</v>
      </c>
    </row>
    <row r="76" spans="1:12" ht="14" x14ac:dyDescent="0.25">
      <c r="A76" s="130" t="s">
        <v>248</v>
      </c>
      <c r="B76" s="123" t="s">
        <v>250</v>
      </c>
    </row>
    <row r="77" spans="1:12" ht="14" x14ac:dyDescent="0.25">
      <c r="A77" s="130" t="s">
        <v>181</v>
      </c>
      <c r="B77" s="123" t="s">
        <v>251</v>
      </c>
    </row>
    <row r="80" spans="1:12" x14ac:dyDescent="0.25">
      <c r="F80" s="839"/>
    </row>
  </sheetData>
  <sheetProtection formatCells="0" formatColumns="0" formatRows="0" insertColumns="0" insertRows="0" deleteColumns="0" deleteRows="0"/>
  <mergeCells count="35">
    <mergeCell ref="M41:M42"/>
    <mergeCell ref="C43:C46"/>
    <mergeCell ref="D43:E43"/>
    <mergeCell ref="B41:B42"/>
    <mergeCell ref="C41:C42"/>
    <mergeCell ref="D41:E42"/>
    <mergeCell ref="F41:F42"/>
    <mergeCell ref="G41:G42"/>
    <mergeCell ref="H43:H46"/>
    <mergeCell ref="H41:H42"/>
    <mergeCell ref="C67:D67"/>
    <mergeCell ref="E67:F67"/>
    <mergeCell ref="D31:E31"/>
    <mergeCell ref="C32:C38"/>
    <mergeCell ref="D32:E32"/>
    <mergeCell ref="D44:E44"/>
    <mergeCell ref="D45:E45"/>
    <mergeCell ref="D46:E46"/>
    <mergeCell ref="D34:E34"/>
    <mergeCell ref="D35:E35"/>
    <mergeCell ref="D36:E36"/>
    <mergeCell ref="D37:E37"/>
    <mergeCell ref="D38:E38"/>
    <mergeCell ref="B60:K62"/>
    <mergeCell ref="I41:J42"/>
    <mergeCell ref="B23:B24"/>
    <mergeCell ref="A1:L1"/>
    <mergeCell ref="A2:L2"/>
    <mergeCell ref="C23:H24"/>
    <mergeCell ref="D33:E33"/>
    <mergeCell ref="H32:H38"/>
    <mergeCell ref="I23:J24"/>
    <mergeCell ref="I31:J31"/>
    <mergeCell ref="E7:F7"/>
    <mergeCell ref="E8:F8"/>
  </mergeCells>
  <dataValidations disablePrompts="1" count="1">
    <dataValidation type="list" allowBlank="1" showInputMessage="1" showErrorMessage="1" sqref="K72" xr:uid="{00000000-0002-0000-0600-000000000000}">
      <formula1>$A$76:$A$77</formula1>
    </dataValidation>
  </dataValidations>
  <printOptions horizontalCentered="1"/>
  <pageMargins left="0.6" right="0.25" top="0.5" bottom="0.4" header="0.25" footer="0.25"/>
  <pageSetup paperSize="9" scale="70" orientation="portrait" horizontalDpi="4294967293" r:id="rId1"/>
  <headerFooter>
    <oddHeader xml:space="preserve">&amp;R&amp;"-,Regular"&amp;8OA.041-18 </oddHeader>
    <oddFooter>&amp;C&amp;"-,Regular"&amp;8Dilarang keras mengutip/memperbanyak dan atau mempublikasikan sebagian isi sertifikat ini tanpa seijin LPFK Banjarbaru
Sertifikat ini sah apabila telah dibubuhi cap LPFK Banjarbaru dan ditandatangani oleh pejabat yang berwenang</oddFooter>
  </headerFooter>
  <ignoredErrors>
    <ignoredError sqref="I25:I27" unlocked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00"/>
  </sheetPr>
  <dimension ref="A1:O86"/>
  <sheetViews>
    <sheetView showGridLines="0" view="pageLayout" topLeftCell="C25" zoomScaleNormal="100" zoomScaleSheetLayoutView="100" workbookViewId="0">
      <selection activeCell="I26" sqref="I26"/>
    </sheetView>
  </sheetViews>
  <sheetFormatPr defaultColWidth="9.08984375" defaultRowHeight="12.5" x14ac:dyDescent="0.25"/>
  <cols>
    <col min="1" max="1" width="4" style="31" customWidth="1"/>
    <col min="2" max="2" width="4.08984375" style="31" customWidth="1"/>
    <col min="3" max="3" width="18.54296875" style="31" customWidth="1"/>
    <col min="4" max="4" width="7" style="31" customWidth="1"/>
    <col min="5" max="5" width="12.453125" style="31" customWidth="1"/>
    <col min="6" max="6" width="12.08984375" style="31" customWidth="1"/>
    <col min="7" max="7" width="14.36328125" style="31" customWidth="1"/>
    <col min="8" max="8" width="12.6328125" style="31" customWidth="1"/>
    <col min="9" max="9" width="16" style="31" customWidth="1"/>
    <col min="10" max="10" width="15.90625" style="31" customWidth="1"/>
    <col min="11" max="11" width="10" style="31" customWidth="1"/>
    <col min="12" max="12" width="6.54296875" style="31" customWidth="1"/>
    <col min="13" max="13" width="9.08984375" style="31"/>
    <col min="14" max="14" width="9.453125" style="31" bestFit="1" customWidth="1"/>
    <col min="15" max="16384" width="9.08984375" style="31"/>
  </cols>
  <sheetData>
    <row r="1" spans="1:12" ht="18" x14ac:dyDescent="0.25">
      <c r="A1" s="1073" t="s">
        <v>231</v>
      </c>
      <c r="B1" s="1073"/>
      <c r="C1" s="1073"/>
      <c r="D1" s="1073"/>
      <c r="E1" s="1073"/>
      <c r="F1" s="1073"/>
      <c r="G1" s="1073"/>
      <c r="H1" s="1073"/>
      <c r="I1" s="1073"/>
      <c r="J1" s="1073"/>
      <c r="K1" s="1073"/>
      <c r="L1" s="1073"/>
    </row>
    <row r="2" spans="1:12" ht="17.25" customHeight="1" x14ac:dyDescent="0.25">
      <c r="A2" s="1074" t="str">
        <f>ID!H2&amp;" "&amp;ID!I2</f>
        <v>Nomor Sertifikat : 42 / 1 / IV - 21 / E - 050.000 DL</v>
      </c>
      <c r="B2" s="1074"/>
      <c r="C2" s="1074"/>
      <c r="D2" s="1074"/>
      <c r="E2" s="1074"/>
      <c r="F2" s="1074"/>
      <c r="G2" s="1074"/>
      <c r="H2" s="1074"/>
      <c r="I2" s="1074"/>
      <c r="J2" s="1074"/>
      <c r="K2" s="1074"/>
      <c r="L2" s="1074"/>
    </row>
    <row r="3" spans="1:12" ht="14.25" customHeight="1" x14ac:dyDescent="0.25">
      <c r="B3" s="81"/>
      <c r="C3" s="81"/>
      <c r="D3" s="81"/>
      <c r="E3" s="81"/>
      <c r="F3" s="81"/>
      <c r="G3" s="81"/>
      <c r="H3" s="81"/>
      <c r="I3" s="81"/>
      <c r="J3" s="82"/>
      <c r="K3" s="82"/>
    </row>
    <row r="4" spans="1:12" ht="14" x14ac:dyDescent="0.25">
      <c r="A4" s="91" t="str">
        <f>ID!A4</f>
        <v>Merek</v>
      </c>
      <c r="B4" s="92"/>
      <c r="C4" s="91"/>
      <c r="D4" s="94" t="s">
        <v>23</v>
      </c>
      <c r="E4" s="95" t="str">
        <f>ID!E4</f>
        <v>Acare</v>
      </c>
      <c r="G4" s="91"/>
      <c r="H4" s="91"/>
      <c r="I4" s="91"/>
      <c r="J4" s="91"/>
      <c r="K4" s="93"/>
    </row>
    <row r="5" spans="1:12" ht="14" x14ac:dyDescent="0.25">
      <c r="A5" s="91" t="str">
        <f>ID!A5</f>
        <v>Model/Tipe</v>
      </c>
      <c r="B5" s="92"/>
      <c r="C5" s="91"/>
      <c r="D5" s="94" t="s">
        <v>23</v>
      </c>
      <c r="E5" s="95" t="str">
        <f>ID!E5</f>
        <v>-</v>
      </c>
      <c r="G5" s="91"/>
      <c r="H5" s="91"/>
      <c r="I5" s="91"/>
      <c r="J5" s="91"/>
      <c r="K5" s="93"/>
    </row>
    <row r="6" spans="1:12" ht="14" x14ac:dyDescent="0.25">
      <c r="A6" s="91" t="str">
        <f>ID!A6</f>
        <v>No. Seri</v>
      </c>
      <c r="B6" s="92"/>
      <c r="C6" s="91"/>
      <c r="D6" s="94" t="s">
        <v>23</v>
      </c>
      <c r="E6" s="95" t="str">
        <f>ID!E6</f>
        <v>-</v>
      </c>
      <c r="G6" s="91"/>
      <c r="H6" s="91"/>
      <c r="I6" s="91"/>
      <c r="J6" s="91"/>
      <c r="K6" s="93"/>
    </row>
    <row r="7" spans="1:12" ht="14" x14ac:dyDescent="0.25">
      <c r="A7" s="91" t="str">
        <f>ID!A7</f>
        <v>Tanggal Penerimaan Alat</v>
      </c>
      <c r="B7" s="92"/>
      <c r="C7" s="91"/>
      <c r="D7" s="94" t="s">
        <v>23</v>
      </c>
      <c r="E7" s="95">
        <f>ID!E7</f>
        <v>43630</v>
      </c>
      <c r="G7" s="91"/>
      <c r="H7" s="91"/>
      <c r="I7" s="91"/>
      <c r="J7" s="91"/>
      <c r="K7" s="93"/>
    </row>
    <row r="8" spans="1:12" ht="14" x14ac:dyDescent="0.25">
      <c r="A8" s="91" t="str">
        <f>ID!A8</f>
        <v>Tanggal Kalibrasi</v>
      </c>
      <c r="B8" s="92"/>
      <c r="C8" s="91"/>
      <c r="D8" s="94" t="s">
        <v>23</v>
      </c>
      <c r="E8" s="95" t="str">
        <f>ID!E8</f>
        <v>14 Juni 2019</v>
      </c>
      <c r="G8" s="91"/>
      <c r="H8" s="91"/>
      <c r="I8" s="91"/>
      <c r="J8" s="91"/>
      <c r="K8" s="93"/>
    </row>
    <row r="9" spans="1:12" ht="14" x14ac:dyDescent="0.25">
      <c r="A9" s="91" t="str">
        <f>ID!A9</f>
        <v>Tempat Kalibrasi</v>
      </c>
      <c r="B9" s="92"/>
      <c r="C9" s="91"/>
      <c r="D9" s="94" t="s">
        <v>23</v>
      </c>
      <c r="E9" s="95" t="str">
        <f>ID!E9</f>
        <v>UGD</v>
      </c>
      <c r="G9" s="91"/>
      <c r="H9" s="91"/>
      <c r="I9" s="91"/>
      <c r="J9" s="91"/>
      <c r="K9" s="93"/>
    </row>
    <row r="10" spans="1:12" ht="14" x14ac:dyDescent="0.25">
      <c r="A10" s="91" t="str">
        <f>ID!A10</f>
        <v>Nama Ruang</v>
      </c>
      <c r="B10" s="92"/>
      <c r="C10" s="91"/>
      <c r="D10" s="94" t="s">
        <v>23</v>
      </c>
      <c r="E10" s="95" t="str">
        <f>ID!E10</f>
        <v>UGD</v>
      </c>
      <c r="G10" s="91"/>
      <c r="H10" s="91"/>
      <c r="I10" s="91"/>
      <c r="J10" s="91"/>
      <c r="K10" s="93"/>
    </row>
    <row r="11" spans="1:12" ht="14" x14ac:dyDescent="0.25">
      <c r="A11" s="91" t="str">
        <f>ID!A11</f>
        <v>Metode Kerja</v>
      </c>
      <c r="B11" s="92"/>
      <c r="C11" s="91"/>
      <c r="D11" s="94" t="s">
        <v>23</v>
      </c>
      <c r="E11" s="95" t="str">
        <f>ID!E11</f>
        <v>MK 041 - 18</v>
      </c>
      <c r="G11" s="91"/>
      <c r="H11" s="91"/>
      <c r="I11" s="91"/>
      <c r="J11" s="91"/>
      <c r="K11" s="93"/>
    </row>
    <row r="12" spans="1:12" ht="6" customHeight="1" x14ac:dyDescent="0.25">
      <c r="A12" s="92"/>
      <c r="B12" s="91"/>
      <c r="C12" s="91"/>
      <c r="D12" s="93"/>
      <c r="E12" s="91"/>
      <c r="F12" s="91"/>
      <c r="G12" s="91"/>
      <c r="H12" s="91"/>
      <c r="I12" s="91"/>
      <c r="J12" s="91"/>
      <c r="K12" s="93"/>
    </row>
    <row r="13" spans="1:12" ht="14" x14ac:dyDescent="0.25">
      <c r="A13" s="96" t="s">
        <v>14</v>
      </c>
      <c r="B13" s="96" t="str">
        <f>ID!B13</f>
        <v>Kondisi Ruang</v>
      </c>
      <c r="C13" s="92"/>
      <c r="D13" s="93"/>
      <c r="E13" s="96"/>
      <c r="F13" s="96"/>
      <c r="G13" s="96"/>
      <c r="H13" s="96"/>
      <c r="I13" s="96"/>
      <c r="J13" s="96"/>
      <c r="K13" s="93"/>
    </row>
    <row r="14" spans="1:12" ht="16.5" x14ac:dyDescent="0.25">
      <c r="A14" s="92"/>
      <c r="B14" s="91" t="str">
        <f>ID!B15</f>
        <v xml:space="preserve">1. Suhu </v>
      </c>
      <c r="C14" s="92"/>
      <c r="D14" s="94" t="s">
        <v>23</v>
      </c>
      <c r="E14" s="244">
        <f>'DB Thermohygro'!M348</f>
        <v>36.717581043770814</v>
      </c>
      <c r="F14" s="243" t="str">
        <f>'DB Thermohygro'!N366</f>
        <v xml:space="preserve"> ± </v>
      </c>
      <c r="G14" s="243">
        <f>'DB Thermohygro'!O348</f>
        <v>0.4</v>
      </c>
      <c r="H14" s="335" t="str">
        <f>'DB Thermohygro'!O364</f>
        <v xml:space="preserve"> °C</v>
      </c>
      <c r="J14" s="277"/>
      <c r="K14" s="93"/>
    </row>
    <row r="15" spans="1:12" ht="14" x14ac:dyDescent="0.25">
      <c r="A15" s="92"/>
      <c r="B15" s="91" t="str">
        <f>ID!B16</f>
        <v>2. Kelembaban</v>
      </c>
      <c r="C15" s="92"/>
      <c r="D15" s="94" t="s">
        <v>23</v>
      </c>
      <c r="E15" s="244">
        <f>'DB Thermohygro'!M349</f>
        <v>57.654285714285713</v>
      </c>
      <c r="F15" s="336" t="str">
        <f>'DB Thermohygro'!N366</f>
        <v xml:space="preserve"> ± </v>
      </c>
      <c r="G15" s="336">
        <f>'DB Thermohygro'!O349</f>
        <v>2.2000000000000002</v>
      </c>
      <c r="H15" s="103" t="str">
        <f>'DB Thermohygro'!O365</f>
        <v xml:space="preserve"> %RH</v>
      </c>
      <c r="I15" s="91"/>
      <c r="J15" s="275"/>
      <c r="K15" s="93"/>
    </row>
    <row r="16" spans="1:12" ht="14" x14ac:dyDescent="0.25">
      <c r="A16" s="92"/>
      <c r="B16" s="91" t="str">
        <f>ID!B17</f>
        <v>3. Tegangan Jala - jala</v>
      </c>
      <c r="C16" s="92"/>
      <c r="D16" s="94" t="s">
        <v>23</v>
      </c>
      <c r="E16" s="273">
        <f>FORECAST!K56</f>
        <v>220.61830434440205</v>
      </c>
      <c r="F16" s="92" t="s">
        <v>24</v>
      </c>
      <c r="G16" s="274"/>
      <c r="H16" s="93"/>
      <c r="I16" s="93"/>
      <c r="J16" s="91"/>
      <c r="K16" s="93"/>
    </row>
    <row r="17" spans="1:15" ht="4.5" customHeight="1" x14ac:dyDescent="0.25">
      <c r="A17" s="92"/>
      <c r="B17" s="91"/>
      <c r="C17" s="97"/>
      <c r="D17" s="97"/>
      <c r="E17" s="94"/>
      <c r="F17" s="98"/>
      <c r="G17" s="98"/>
      <c r="H17" s="91"/>
      <c r="I17" s="91"/>
      <c r="J17" s="91"/>
      <c r="K17" s="93"/>
    </row>
    <row r="18" spans="1:15" ht="14" x14ac:dyDescent="0.25">
      <c r="A18" s="96" t="s">
        <v>25</v>
      </c>
      <c r="B18" s="96" t="str">
        <f>ID!B19</f>
        <v>Pemeriksaan Kondisi Fisik dan Fungsi Alat</v>
      </c>
      <c r="C18" s="92"/>
      <c r="D18" s="93"/>
      <c r="E18" s="96"/>
      <c r="F18" s="96"/>
      <c r="G18" s="96"/>
      <c r="H18" s="96"/>
      <c r="I18" s="96"/>
      <c r="J18" s="96"/>
      <c r="K18" s="93"/>
      <c r="L18" s="135" t="s">
        <v>27</v>
      </c>
    </row>
    <row r="19" spans="1:15" ht="14" x14ac:dyDescent="0.2">
      <c r="A19" s="92"/>
      <c r="B19" s="91" t="str">
        <f>ID!B20</f>
        <v>1. Fisik</v>
      </c>
      <c r="C19" s="92"/>
      <c r="D19" s="94" t="s">
        <v>23</v>
      </c>
      <c r="E19" s="91" t="str">
        <f>ID!E20</f>
        <v>Baik</v>
      </c>
      <c r="G19" s="91"/>
      <c r="H19" s="91"/>
      <c r="I19" s="91"/>
      <c r="J19" s="91"/>
      <c r="K19" s="93"/>
      <c r="L19" s="803">
        <f>IF(E19="baik",5,IF(E19="Tidak Baik",0))</f>
        <v>5</v>
      </c>
    </row>
    <row r="20" spans="1:15" ht="14" x14ac:dyDescent="0.2">
      <c r="A20" s="92"/>
      <c r="B20" s="91" t="str">
        <f>ID!B21</f>
        <v>2. Fungsi</v>
      </c>
      <c r="C20" s="92"/>
      <c r="D20" s="94" t="s">
        <v>23</v>
      </c>
      <c r="E20" s="91" t="str">
        <f>ID!E21</f>
        <v>Baik</v>
      </c>
      <c r="G20" s="91"/>
      <c r="H20" s="91"/>
      <c r="I20" s="91"/>
      <c r="J20" s="91"/>
      <c r="K20" s="93"/>
      <c r="L20" s="803">
        <f>IF(E20="baik",5,IF(E20="Tidak Baik",0))</f>
        <v>5</v>
      </c>
    </row>
    <row r="21" spans="1:15" ht="7.5" customHeight="1" x14ac:dyDescent="0.25">
      <c r="A21" s="92"/>
      <c r="B21" s="91"/>
      <c r="C21" s="91"/>
      <c r="D21" s="91"/>
      <c r="E21" s="91"/>
      <c r="F21" s="91"/>
      <c r="G21" s="91"/>
      <c r="H21" s="91"/>
      <c r="I21" s="91"/>
      <c r="J21" s="93"/>
      <c r="K21" s="93"/>
    </row>
    <row r="22" spans="1:15" ht="14" x14ac:dyDescent="0.25">
      <c r="A22" s="96" t="s">
        <v>31</v>
      </c>
      <c r="B22" s="96" t="str">
        <f>ID!B23</f>
        <v>Pengujian Keselamatan Listrik</v>
      </c>
      <c r="C22" s="92"/>
      <c r="D22" s="96"/>
      <c r="E22" s="96"/>
      <c r="F22" s="96"/>
      <c r="G22" s="99"/>
      <c r="H22" s="100"/>
      <c r="I22" s="100"/>
      <c r="J22" s="93"/>
      <c r="K22" s="93"/>
    </row>
    <row r="23" spans="1:15" ht="12" customHeight="1" x14ac:dyDescent="0.25">
      <c r="A23" s="92"/>
      <c r="B23" s="1072" t="s">
        <v>33</v>
      </c>
      <c r="C23" s="1075" t="s">
        <v>34</v>
      </c>
      <c r="D23" s="1076"/>
      <c r="E23" s="1076"/>
      <c r="F23" s="1076"/>
      <c r="G23" s="1076"/>
      <c r="H23" s="1077"/>
      <c r="I23" s="1085" t="s">
        <v>35</v>
      </c>
      <c r="J23" s="58" t="s">
        <v>36</v>
      </c>
      <c r="K23" s="92"/>
      <c r="L23" s="1058" t="s">
        <v>27</v>
      </c>
    </row>
    <row r="24" spans="1:15" ht="19.5" customHeight="1" x14ac:dyDescent="0.25">
      <c r="A24" s="92"/>
      <c r="B24" s="1072"/>
      <c r="C24" s="1078"/>
      <c r="D24" s="1079"/>
      <c r="E24" s="1079"/>
      <c r="F24" s="1079"/>
      <c r="G24" s="1079"/>
      <c r="H24" s="1080"/>
      <c r="I24" s="1087"/>
      <c r="J24" s="59" t="s">
        <v>37</v>
      </c>
      <c r="K24" s="92"/>
      <c r="L24" s="1058"/>
    </row>
    <row r="25" spans="1:15" ht="18" customHeight="1" x14ac:dyDescent="0.35">
      <c r="A25" s="92"/>
      <c r="B25" s="52">
        <v>1</v>
      </c>
      <c r="C25" s="41" t="str">
        <f>ID!C26</f>
        <v>Resistansi isolasi</v>
      </c>
      <c r="D25" s="54"/>
      <c r="E25" s="54"/>
      <c r="F25" s="54"/>
      <c r="G25" s="54"/>
      <c r="H25" s="101"/>
      <c r="I25" s="139" t="str">
        <f>FORECAST!K57</f>
        <v>OL</v>
      </c>
      <c r="J25" s="102" t="str">
        <f>ID!M26</f>
        <v xml:space="preserve">&gt; 2 MΩ
</v>
      </c>
      <c r="K25" s="92"/>
      <c r="L25" s="804">
        <f>IF(I25="OL",10,IF(I25="-",0,IF(I25&gt;2,10,0)))</f>
        <v>10</v>
      </c>
      <c r="N25" s="289" t="s">
        <v>466</v>
      </c>
      <c r="O25" s="92">
        <v>500</v>
      </c>
    </row>
    <row r="26" spans="1:15" ht="18" customHeight="1" x14ac:dyDescent="0.35">
      <c r="A26" s="92"/>
      <c r="B26" s="52">
        <v>2</v>
      </c>
      <c r="C26" s="41" t="str">
        <f>ID!C27</f>
        <v>Resistansi Pembumian Protektif</v>
      </c>
      <c r="D26" s="54"/>
      <c r="E26" s="54"/>
      <c r="F26" s="54"/>
      <c r="G26" s="54"/>
      <c r="H26" s="101"/>
      <c r="I26" s="394">
        <f>FORECAST!K58</f>
        <v>0.12280698752254468</v>
      </c>
      <c r="J26" s="102" t="str">
        <f>ID!M27</f>
        <v>≤ 0.2 Ω</v>
      </c>
      <c r="K26" s="92"/>
      <c r="L26" s="804">
        <f>IF(I26="OL",10,IF(I26="-",0,IF(I26&lt;=0.2,10,0)))</f>
        <v>10</v>
      </c>
      <c r="N26" s="289" t="s">
        <v>467</v>
      </c>
      <c r="O26" s="92">
        <v>100</v>
      </c>
    </row>
    <row r="27" spans="1:15" ht="18" customHeight="1" x14ac:dyDescent="0.25">
      <c r="A27" s="92"/>
      <c r="B27" s="52">
        <v>3</v>
      </c>
      <c r="C27" s="41" t="str">
        <f>ID!C28</f>
        <v>Arus bocor peralatan untuk perangkat elektromedik kelas I</v>
      </c>
      <c r="D27" s="54"/>
      <c r="E27" s="54"/>
      <c r="F27" s="54"/>
      <c r="G27" s="54"/>
      <c r="H27" s="101"/>
      <c r="I27" s="848">
        <f>FORECAST!K59</f>
        <v>120.71352466260672</v>
      </c>
      <c r="J27" s="102" t="str">
        <f>ID!M28</f>
        <v>≤ 100 µA</v>
      </c>
      <c r="K27" s="92"/>
      <c r="L27" s="804">
        <f>IF(I27="OL",20,IF(I27="-",0,IF(I27&lt;=O27,20,0)))</f>
        <v>20</v>
      </c>
      <c r="O27" s="31">
        <f>VLOOKUP(C27,N25:O26,2,FALSE)</f>
        <v>500</v>
      </c>
    </row>
    <row r="28" spans="1:15" ht="6.75" customHeight="1" x14ac:dyDescent="0.25">
      <c r="A28" s="92"/>
      <c r="B28" s="103"/>
      <c r="C28" s="95"/>
      <c r="D28" s="95"/>
      <c r="E28" s="95"/>
      <c r="F28" s="95"/>
      <c r="G28" s="95"/>
      <c r="H28" s="104"/>
      <c r="I28" s="104"/>
      <c r="J28" s="93"/>
      <c r="K28" s="93"/>
      <c r="L28" s="140"/>
    </row>
    <row r="29" spans="1:15" ht="14" x14ac:dyDescent="0.25">
      <c r="A29" s="96" t="s">
        <v>49</v>
      </c>
      <c r="B29" s="96" t="str">
        <f>ID!B30</f>
        <v>Pengujian Kinerja</v>
      </c>
      <c r="C29" s="92"/>
      <c r="D29" s="96"/>
      <c r="E29" s="96"/>
      <c r="F29" s="96"/>
      <c r="G29" s="96"/>
      <c r="H29" s="103"/>
      <c r="I29" s="103"/>
      <c r="J29" s="93"/>
      <c r="K29" s="93"/>
    </row>
    <row r="30" spans="1:15" ht="14" x14ac:dyDescent="0.25">
      <c r="A30" s="96"/>
      <c r="B30" s="96" t="s">
        <v>146</v>
      </c>
      <c r="C30" s="92"/>
      <c r="D30" s="96"/>
      <c r="E30" s="96"/>
      <c r="F30" s="96"/>
      <c r="G30" s="96"/>
      <c r="H30" s="103"/>
      <c r="I30" s="103"/>
      <c r="J30" s="93"/>
      <c r="K30" s="93"/>
    </row>
    <row r="31" spans="1:15" ht="36.75" customHeight="1" x14ac:dyDescent="0.25">
      <c r="A31" s="92"/>
      <c r="B31" s="83" t="s">
        <v>96</v>
      </c>
      <c r="C31" s="84" t="s">
        <v>34</v>
      </c>
      <c r="D31" s="1093" t="s">
        <v>232</v>
      </c>
      <c r="E31" s="1093"/>
      <c r="F31" s="85" t="s">
        <v>233</v>
      </c>
      <c r="G31" s="86" t="s">
        <v>164</v>
      </c>
      <c r="H31" s="133" t="s">
        <v>53</v>
      </c>
      <c r="I31" s="83" t="s">
        <v>234</v>
      </c>
      <c r="K31" s="93"/>
      <c r="L31" s="141" t="s">
        <v>235</v>
      </c>
      <c r="O31" s="134"/>
    </row>
    <row r="32" spans="1:15" ht="15.75" customHeight="1" x14ac:dyDescent="0.25">
      <c r="A32" s="92"/>
      <c r="B32" s="105" t="s">
        <v>149</v>
      </c>
      <c r="C32" s="1094" t="s">
        <v>61</v>
      </c>
      <c r="D32" s="1081">
        <f>ID!D34</f>
        <v>100</v>
      </c>
      <c r="E32" s="1081"/>
      <c r="F32" s="106">
        <f>IFERROR(FORECAST!L20,"-")</f>
        <v>99.000010000000003</v>
      </c>
      <c r="G32" s="107">
        <f>IFERROR(FORECAST!M20,"-")</f>
        <v>-0.99998999999999683</v>
      </c>
      <c r="H32" s="1082" t="s">
        <v>62</v>
      </c>
      <c r="I32" s="136">
        <f>IFERROR(ID!P89,"-")</f>
        <v>0.57982691537132647</v>
      </c>
      <c r="J32" s="687"/>
      <c r="K32" s="93"/>
      <c r="L32" s="1114">
        <f>IF(M32&gt;=70,35,0)</f>
        <v>35</v>
      </c>
      <c r="M32" s="1114">
        <f>SUM(N32:N38)</f>
        <v>100.00000009999999</v>
      </c>
      <c r="N32" s="141">
        <f>IF(O32&lt;=1,14.2857143,IF(O32="-",14.2857143,IF(O32&gt;1,0)))</f>
        <v>14.2857143</v>
      </c>
      <c r="O32" s="135">
        <f>ABS(G32)</f>
        <v>0.99998999999999683</v>
      </c>
    </row>
    <row r="33" spans="1:15" ht="14" x14ac:dyDescent="0.25">
      <c r="A33" s="92"/>
      <c r="B33" s="105" t="s">
        <v>64</v>
      </c>
      <c r="C33" s="1095"/>
      <c r="D33" s="1081">
        <f>ID!D35</f>
        <v>99</v>
      </c>
      <c r="E33" s="1081"/>
      <c r="F33" s="106">
        <f>IFERROR(FORECAST!L21,"-")</f>
        <v>99.000010000000003</v>
      </c>
      <c r="G33" s="107">
        <f>IFERROR(FORECAST!M21,"-")</f>
        <v>1.0000000003174137E-5</v>
      </c>
      <c r="H33" s="1083"/>
      <c r="I33" s="136">
        <f>IFERROR(ID!P90,"-")</f>
        <v>0.57982691537132647</v>
      </c>
      <c r="K33" s="93"/>
      <c r="L33" s="1114"/>
      <c r="M33" s="1114"/>
      <c r="N33" s="141">
        <f t="shared" ref="N33:N38" si="0">IF(O33&lt;=1,14.2857143,IF(O33="-",14.2857143,IF(O33&gt;1,0)))</f>
        <v>14.2857143</v>
      </c>
      <c r="O33" s="135">
        <f t="shared" ref="O33:O38" si="1">ABS(G33)</f>
        <v>1.0000000003174137E-5</v>
      </c>
    </row>
    <row r="34" spans="1:15" ht="14" x14ac:dyDescent="0.25">
      <c r="A34" s="92"/>
      <c r="B34" s="105" t="s">
        <v>65</v>
      </c>
      <c r="C34" s="1095"/>
      <c r="D34" s="1081">
        <f>ID!D36</f>
        <v>98</v>
      </c>
      <c r="E34" s="1081"/>
      <c r="F34" s="106">
        <f>IFERROR(FORECAST!L22,"-")</f>
        <v>98.000010000000003</v>
      </c>
      <c r="G34" s="107">
        <f>IFERROR(FORECAST!M22,"-")</f>
        <v>1.0000000003174137E-5</v>
      </c>
      <c r="H34" s="1083"/>
      <c r="I34" s="136">
        <f>IFERROR(ID!P91,"-")</f>
        <v>0.57982691537132647</v>
      </c>
      <c r="K34" s="93"/>
      <c r="L34" s="1114"/>
      <c r="M34" s="1114"/>
      <c r="N34" s="141">
        <f t="shared" si="0"/>
        <v>14.2857143</v>
      </c>
      <c r="O34" s="135">
        <f t="shared" si="1"/>
        <v>1.0000000003174137E-5</v>
      </c>
    </row>
    <row r="35" spans="1:15" ht="15.75" customHeight="1" x14ac:dyDescent="0.25">
      <c r="A35" s="92"/>
      <c r="B35" s="105" t="s">
        <v>66</v>
      </c>
      <c r="C35" s="1095"/>
      <c r="D35" s="1081">
        <f>ID!D37</f>
        <v>97</v>
      </c>
      <c r="E35" s="1081"/>
      <c r="F35" s="106">
        <f>IFERROR(FORECAST!L23,"-")</f>
        <v>97.000010000000003</v>
      </c>
      <c r="G35" s="107">
        <f>IFERROR(FORECAST!M23,"-")</f>
        <v>1.0000000003174137E-5</v>
      </c>
      <c r="H35" s="1083"/>
      <c r="I35" s="136">
        <f>IFERROR(ID!P92,"-")</f>
        <v>0.57982691537132647</v>
      </c>
      <c r="K35" s="93"/>
      <c r="L35" s="1114"/>
      <c r="M35" s="1114"/>
      <c r="N35" s="141">
        <f t="shared" si="0"/>
        <v>14.2857143</v>
      </c>
      <c r="O35" s="135">
        <f t="shared" si="1"/>
        <v>1.0000000003174137E-5</v>
      </c>
    </row>
    <row r="36" spans="1:15" ht="14" x14ac:dyDescent="0.25">
      <c r="A36" s="92"/>
      <c r="B36" s="105" t="s">
        <v>67</v>
      </c>
      <c r="C36" s="1095"/>
      <c r="D36" s="1081">
        <f>ID!D38</f>
        <v>95</v>
      </c>
      <c r="E36" s="1081"/>
      <c r="F36" s="106">
        <f>IFERROR(FORECAST!L24,"-")</f>
        <v>95.000010000000003</v>
      </c>
      <c r="G36" s="107">
        <f>IFERROR(FORECAST!M24,"-")</f>
        <v>1.0000000003174137E-5</v>
      </c>
      <c r="H36" s="1083"/>
      <c r="I36" s="136">
        <f>IFERROR(ID!P93,"-")</f>
        <v>0.57982691537132647</v>
      </c>
      <c r="K36" s="93"/>
      <c r="L36" s="1114"/>
      <c r="M36" s="1114"/>
      <c r="N36" s="141">
        <f t="shared" si="0"/>
        <v>14.2857143</v>
      </c>
      <c r="O36" s="135">
        <f t="shared" si="1"/>
        <v>1.0000000003174137E-5</v>
      </c>
    </row>
    <row r="37" spans="1:15" ht="14" x14ac:dyDescent="0.25">
      <c r="A37" s="92"/>
      <c r="B37" s="105" t="s">
        <v>68</v>
      </c>
      <c r="C37" s="1095"/>
      <c r="D37" s="1081">
        <f>ID!D39</f>
        <v>90</v>
      </c>
      <c r="E37" s="1081"/>
      <c r="F37" s="106">
        <f>IFERROR(FORECAST!L25,"-")</f>
        <v>90.000010000000003</v>
      </c>
      <c r="G37" s="107">
        <f>IFERROR(FORECAST!M25,"-")</f>
        <v>1.0000000003174137E-5</v>
      </c>
      <c r="H37" s="1083"/>
      <c r="I37" s="136">
        <f>IFERROR(ID!P94,"-")</f>
        <v>0.57982691537132647</v>
      </c>
      <c r="K37" s="93"/>
      <c r="L37" s="1114"/>
      <c r="M37" s="1114"/>
      <c r="N37" s="141">
        <f t="shared" si="0"/>
        <v>14.2857143</v>
      </c>
      <c r="O37" s="135">
        <f t="shared" si="1"/>
        <v>1.0000000003174137E-5</v>
      </c>
    </row>
    <row r="38" spans="1:15" ht="12.75" customHeight="1" x14ac:dyDescent="0.25">
      <c r="A38" s="92"/>
      <c r="B38" s="105" t="s">
        <v>69</v>
      </c>
      <c r="C38" s="1096"/>
      <c r="D38" s="1081">
        <f>ID!D40</f>
        <v>85</v>
      </c>
      <c r="E38" s="1081"/>
      <c r="F38" s="106">
        <f>IFERROR(FORECAST!L26,"-")</f>
        <v>85.000010000000003</v>
      </c>
      <c r="G38" s="107">
        <f>IFERROR(FORECAST!M26,"-")</f>
        <v>1.0000000003174137E-5</v>
      </c>
      <c r="H38" s="1084"/>
      <c r="I38" s="136">
        <f>IFERROR(ID!P95,"-")</f>
        <v>0.57982691537132647</v>
      </c>
      <c r="K38" s="93"/>
      <c r="L38" s="1114"/>
      <c r="M38" s="1114"/>
      <c r="N38" s="141">
        <f t="shared" si="0"/>
        <v>14.2857143</v>
      </c>
      <c r="O38" s="135">
        <f t="shared" si="1"/>
        <v>1.0000000003174137E-5</v>
      </c>
    </row>
    <row r="39" spans="1:15" ht="12.75" customHeight="1" x14ac:dyDescent="0.25">
      <c r="A39" s="92"/>
      <c r="B39" s="108"/>
      <c r="C39" s="109"/>
      <c r="D39" s="125"/>
      <c r="E39" s="125"/>
      <c r="F39" s="110"/>
      <c r="G39" s="111"/>
      <c r="H39" s="111"/>
      <c r="I39" s="111"/>
      <c r="J39" s="112"/>
      <c r="K39" s="93"/>
    </row>
    <row r="40" spans="1:15" ht="12.75" customHeight="1" x14ac:dyDescent="0.25">
      <c r="A40" s="92"/>
      <c r="B40" s="96" t="s">
        <v>70</v>
      </c>
      <c r="C40" s="109"/>
      <c r="D40" s="125"/>
      <c r="E40" s="125"/>
      <c r="F40" s="110"/>
      <c r="G40" s="111"/>
      <c r="H40" s="111"/>
      <c r="I40" s="111"/>
      <c r="J40" s="112"/>
      <c r="K40" s="93"/>
    </row>
    <row r="41" spans="1:15" ht="16.5" customHeight="1" x14ac:dyDescent="0.25">
      <c r="A41" s="92"/>
      <c r="B41" s="1104" t="s">
        <v>33</v>
      </c>
      <c r="C41" s="1104" t="s">
        <v>34</v>
      </c>
      <c r="D41" s="1104" t="s">
        <v>232</v>
      </c>
      <c r="E41" s="1104"/>
      <c r="F41" s="1093" t="s">
        <v>233</v>
      </c>
      <c r="G41" s="1105" t="s">
        <v>164</v>
      </c>
      <c r="H41" s="1121" t="s">
        <v>53</v>
      </c>
      <c r="I41" s="1115" t="s">
        <v>234</v>
      </c>
      <c r="K41" s="93"/>
      <c r="L41" s="1114" t="s">
        <v>235</v>
      </c>
      <c r="N41" s="1114" t="s">
        <v>235</v>
      </c>
      <c r="O41" s="1115" t="s">
        <v>236</v>
      </c>
    </row>
    <row r="42" spans="1:15" ht="13.5" customHeight="1" x14ac:dyDescent="0.25">
      <c r="A42" s="92"/>
      <c r="B42" s="1104"/>
      <c r="C42" s="1104"/>
      <c r="D42" s="1104"/>
      <c r="E42" s="1104"/>
      <c r="F42" s="1093"/>
      <c r="G42" s="1105"/>
      <c r="H42" s="1122"/>
      <c r="I42" s="1116"/>
      <c r="K42" s="93"/>
      <c r="L42" s="1114"/>
      <c r="N42" s="1114"/>
      <c r="O42" s="1116"/>
    </row>
    <row r="43" spans="1:15" ht="17.25" customHeight="1" x14ac:dyDescent="0.25">
      <c r="A43" s="92"/>
      <c r="B43" s="79" t="s">
        <v>149</v>
      </c>
      <c r="C43" s="1097" t="s">
        <v>72</v>
      </c>
      <c r="D43" s="1097">
        <v>30</v>
      </c>
      <c r="E43" s="1097"/>
      <c r="F43" s="113">
        <f>IFERROR(FORECAST!L13,"-")</f>
        <v>30.00001</v>
      </c>
      <c r="G43" s="107">
        <f>IFERROR(FORECAST!M13,"-")</f>
        <v>9.9999999996214228E-6</v>
      </c>
      <c r="H43" s="1118" t="s">
        <v>237</v>
      </c>
      <c r="I43" s="622">
        <f>IFERROR(ID!O82,"-")</f>
        <v>0.57982691537132647</v>
      </c>
      <c r="K43" s="93"/>
      <c r="L43" s="1124">
        <f>IF(M43&gt;=70,15,0)</f>
        <v>15</v>
      </c>
      <c r="M43" s="1124">
        <f>SUM(N43:N46)</f>
        <v>100</v>
      </c>
      <c r="N43" s="141">
        <f>IF(O43&lt;=5,25,IF(O43="-",25,0))</f>
        <v>25</v>
      </c>
      <c r="O43" s="805">
        <f>IFERROR(ID!N82,"-")</f>
        <v>1.9327563845710882</v>
      </c>
    </row>
    <row r="44" spans="1:15" ht="18" customHeight="1" x14ac:dyDescent="0.25">
      <c r="A44" s="92"/>
      <c r="B44" s="64" t="s">
        <v>64</v>
      </c>
      <c r="C44" s="1097"/>
      <c r="D44" s="1117">
        <v>60</v>
      </c>
      <c r="E44" s="1117"/>
      <c r="F44" s="113">
        <f>IFERROR(FORECAST!L14,"-")</f>
        <v>60.000010000000003</v>
      </c>
      <c r="G44" s="107">
        <f>IFERROR(FORECAST!M14,"-")</f>
        <v>1.0000000003174137E-5</v>
      </c>
      <c r="H44" s="1119"/>
      <c r="I44" s="622">
        <f>IFERROR(ID!O83,"-")</f>
        <v>0.57982691537132647</v>
      </c>
      <c r="K44" s="93"/>
      <c r="L44" s="1125"/>
      <c r="M44" s="1125"/>
      <c r="N44" s="141">
        <f>IF(O44&lt;=5,25,IF(O44="-",25,0))</f>
        <v>25</v>
      </c>
      <c r="O44" s="805">
        <f>ID!N83</f>
        <v>0.96637819228554411</v>
      </c>
    </row>
    <row r="45" spans="1:15" ht="15.75" customHeight="1" x14ac:dyDescent="0.25">
      <c r="A45" s="92"/>
      <c r="B45" s="64" t="s">
        <v>65</v>
      </c>
      <c r="C45" s="1097"/>
      <c r="D45" s="1117">
        <v>120</v>
      </c>
      <c r="E45" s="1117"/>
      <c r="F45" s="113">
        <f>IFERROR(FORECAST!L15,"-")</f>
        <v>120.00001</v>
      </c>
      <c r="G45" s="107">
        <f>IFERROR(FORECAST!M15,"-")</f>
        <v>1.0000000003174137E-5</v>
      </c>
      <c r="H45" s="1119"/>
      <c r="I45" s="622">
        <f>IFERROR(ID!O84,"-")</f>
        <v>0.57982691537132647</v>
      </c>
      <c r="K45" s="93"/>
      <c r="L45" s="1125"/>
      <c r="M45" s="1125"/>
      <c r="N45" s="141">
        <f>IF(O45&lt;=5,25,IF(O45="-",25,0))</f>
        <v>25</v>
      </c>
      <c r="O45" s="805">
        <f>ID!N84</f>
        <v>0.48318909614277206</v>
      </c>
    </row>
    <row r="46" spans="1:15" ht="15.75" customHeight="1" x14ac:dyDescent="0.25">
      <c r="A46" s="92"/>
      <c r="B46" s="64" t="s">
        <v>66</v>
      </c>
      <c r="C46" s="1097"/>
      <c r="D46" s="1117">
        <v>240</v>
      </c>
      <c r="E46" s="1117"/>
      <c r="F46" s="113">
        <f>IFERROR(FORECAST!L16,"-")</f>
        <v>240.00001</v>
      </c>
      <c r="G46" s="107">
        <f>IFERROR(FORECAST!M16,"-")</f>
        <v>1.0000000003174137E-5</v>
      </c>
      <c r="H46" s="1120"/>
      <c r="I46" s="622">
        <f>IFERROR(ID!O85,"-")</f>
        <v>0.57982691537132647</v>
      </c>
      <c r="K46" s="93"/>
      <c r="L46" s="1126"/>
      <c r="M46" s="1126"/>
      <c r="N46" s="141">
        <f>IF(O46&lt;=5,25,IF(O46="-",25,0))</f>
        <v>25</v>
      </c>
      <c r="O46" s="805">
        <f>ID!N85</f>
        <v>0.24159454807138603</v>
      </c>
    </row>
    <row r="47" spans="1:15" ht="15.75" customHeight="1" x14ac:dyDescent="0.25">
      <c r="A47" s="92"/>
      <c r="B47" s="103"/>
      <c r="C47" s="103"/>
      <c r="D47" s="95"/>
      <c r="E47" s="103"/>
      <c r="F47" s="103"/>
      <c r="G47" s="103"/>
      <c r="H47" s="103"/>
      <c r="I47" s="103"/>
      <c r="J47" s="93"/>
      <c r="K47" s="93"/>
    </row>
    <row r="48" spans="1:15" ht="14" x14ac:dyDescent="0.25">
      <c r="A48" s="96" t="s">
        <v>74</v>
      </c>
      <c r="B48" s="96" t="s">
        <v>75</v>
      </c>
      <c r="C48" s="92"/>
      <c r="D48" s="91"/>
      <c r="E48" s="91"/>
      <c r="F48" s="91"/>
      <c r="G48" s="91"/>
      <c r="H48" s="91"/>
      <c r="I48" s="91"/>
      <c r="J48" s="93"/>
      <c r="K48" s="93"/>
    </row>
    <row r="49" spans="1:11" ht="14" x14ac:dyDescent="0.25">
      <c r="A49" s="92"/>
      <c r="B49" s="95" t="str">
        <f>ID!B51</f>
        <v>Ketidakpastian pengukuran diperoleh dari sumber kesalahan tipe A dan tipe B</v>
      </c>
      <c r="C49" s="92"/>
      <c r="D49" s="91"/>
      <c r="E49" s="91"/>
      <c r="F49" s="91"/>
      <c r="G49" s="91"/>
      <c r="H49" s="91"/>
      <c r="I49" s="91"/>
      <c r="J49" s="93"/>
      <c r="K49" s="93"/>
    </row>
    <row r="50" spans="1:11" ht="15.75" customHeight="1" x14ac:dyDescent="0.25">
      <c r="A50" s="92"/>
      <c r="B50" s="95" t="str">
        <f>ID!B52</f>
        <v>Hasil pengujian Keselamatan Listrik tertelusur ke Satuan Internasional ( SI ) melalui PT. Kaliman (LK-032-IDN)</v>
      </c>
      <c r="C50" s="92"/>
      <c r="D50" s="91"/>
      <c r="E50" s="91"/>
      <c r="F50" s="91"/>
      <c r="G50" s="91"/>
      <c r="H50" s="91"/>
      <c r="I50" s="91"/>
      <c r="J50" s="93"/>
      <c r="K50" s="93"/>
    </row>
    <row r="51" spans="1:11" ht="14" x14ac:dyDescent="0.25">
      <c r="A51" s="92"/>
      <c r="B51" s="95" t="str">
        <f>ID!B53</f>
        <v>Hasil Kalibrasi Saturasi Oksigen tertelusur ke Satuan Internasional ( SI ) melalui CALTEK PTE LTD</v>
      </c>
      <c r="C51" s="92"/>
      <c r="D51" s="88"/>
      <c r="E51" s="88"/>
      <c r="F51" s="88"/>
      <c r="G51" s="88"/>
      <c r="H51" s="88"/>
      <c r="I51" s="88"/>
      <c r="J51" s="92"/>
      <c r="K51" s="92"/>
    </row>
    <row r="52" spans="1:11" ht="14" x14ac:dyDescent="0.25">
      <c r="A52" s="92"/>
      <c r="B52" s="95" t="str">
        <f>ID!B54</f>
        <v>Hasil Kalibrasi Frekuensi Heart Rate (BPM) tertelusur ke Satuan Internasional ( SI ) melalui CALTEK PTE LTD</v>
      </c>
      <c r="C52" s="92"/>
      <c r="D52" s="88"/>
      <c r="E52" s="88"/>
      <c r="F52" s="88"/>
      <c r="G52" s="88"/>
      <c r="H52" s="88"/>
      <c r="I52" s="88"/>
      <c r="J52" s="92"/>
      <c r="K52" s="92"/>
    </row>
    <row r="53" spans="1:11" ht="14" x14ac:dyDescent="0.25">
      <c r="A53" s="92"/>
      <c r="B53" s="95" t="str">
        <f>ID!B55</f>
        <v>-</v>
      </c>
      <c r="C53" s="92"/>
      <c r="D53" s="88"/>
      <c r="E53" s="88"/>
      <c r="F53" s="88"/>
      <c r="G53" s="88"/>
      <c r="H53" s="88"/>
      <c r="I53" s="88"/>
      <c r="J53" s="92"/>
      <c r="K53" s="92"/>
    </row>
    <row r="54" spans="1:11" ht="13.5" customHeight="1" x14ac:dyDescent="0.25">
      <c r="A54" s="92"/>
      <c r="B54" s="88"/>
      <c r="C54" s="114"/>
      <c r="D54" s="88"/>
      <c r="E54" s="88"/>
      <c r="F54" s="88"/>
      <c r="G54" s="88"/>
      <c r="H54" s="88"/>
      <c r="I54" s="88"/>
      <c r="J54" s="92"/>
      <c r="K54" s="92"/>
    </row>
    <row r="55" spans="1:11" ht="13.5" customHeight="1" x14ac:dyDescent="0.25">
      <c r="A55" s="92"/>
      <c r="B55" s="88"/>
      <c r="C55" s="114"/>
      <c r="D55" s="88"/>
      <c r="E55" s="88"/>
      <c r="F55" s="88"/>
      <c r="G55" s="88"/>
      <c r="H55" s="88"/>
      <c r="I55" s="88"/>
      <c r="J55" s="92"/>
      <c r="K55" s="92"/>
    </row>
    <row r="56" spans="1:11" ht="14" x14ac:dyDescent="0.25">
      <c r="A56" s="96" t="s">
        <v>78</v>
      </c>
      <c r="B56" s="96" t="s">
        <v>79</v>
      </c>
      <c r="C56" s="92"/>
      <c r="D56" s="96"/>
      <c r="E56" s="91"/>
      <c r="F56" s="91"/>
      <c r="G56" s="91"/>
      <c r="H56" s="91"/>
      <c r="I56" s="91"/>
      <c r="J56" s="93"/>
      <c r="K56" s="93"/>
    </row>
    <row r="57" spans="1:11" ht="14" x14ac:dyDescent="0.25">
      <c r="A57" s="92"/>
      <c r="B57" s="91" t="str">
        <f>ID!B58</f>
        <v>SPO₂ Simulator, Merek : Fluke, Model : SPOT LIGHT, SN : 4404040</v>
      </c>
      <c r="C57" s="92"/>
      <c r="D57" s="91"/>
      <c r="E57" s="91"/>
      <c r="F57" s="91"/>
      <c r="G57" s="91"/>
      <c r="H57" s="91"/>
      <c r="I57" s="91"/>
      <c r="J57" s="93"/>
      <c r="K57" s="93"/>
    </row>
    <row r="58" spans="1:11" ht="14.25" customHeight="1" x14ac:dyDescent="0.25">
      <c r="A58" s="92"/>
      <c r="B58" s="91" t="str">
        <f>IF(E16="-","",ID!B59)</f>
        <v>Electrical Safety Analyzer, Merek : Fluke, Model : ESA 615, SN : 2853078</v>
      </c>
      <c r="C58" s="92"/>
      <c r="D58" s="91"/>
      <c r="E58" s="91"/>
      <c r="F58" s="91"/>
      <c r="G58" s="91"/>
      <c r="H58" s="91"/>
      <c r="I58" s="91"/>
      <c r="J58" s="93"/>
      <c r="K58" s="93"/>
    </row>
    <row r="59" spans="1:11" ht="8.25" customHeight="1" x14ac:dyDescent="0.25">
      <c r="A59" s="92"/>
      <c r="B59" s="815" t="s">
        <v>190</v>
      </c>
      <c r="C59" s="88"/>
      <c r="D59" s="88"/>
      <c r="E59" s="88"/>
      <c r="F59" s="88"/>
      <c r="G59" s="88"/>
      <c r="H59" s="88"/>
      <c r="I59" s="88"/>
      <c r="J59" s="92"/>
      <c r="K59" s="92"/>
    </row>
    <row r="60" spans="1:11" ht="14" x14ac:dyDescent="0.25">
      <c r="A60" s="115" t="s">
        <v>90</v>
      </c>
      <c r="B60" s="115" t="s">
        <v>91</v>
      </c>
      <c r="C60" s="92"/>
      <c r="D60" s="88"/>
      <c r="E60" s="88"/>
      <c r="F60" s="88"/>
      <c r="G60" s="88"/>
      <c r="H60" s="88"/>
      <c r="I60" s="88"/>
      <c r="J60" s="92"/>
      <c r="K60" s="92"/>
    </row>
    <row r="61" spans="1:11" ht="19.5" customHeight="1" x14ac:dyDescent="0.25">
      <c r="A61" s="115"/>
      <c r="B61" s="1123" t="str">
        <f>ID!B63</f>
        <v>Alat yang dikalibrasi dalam batas toleransi dan dinyatakan LAIK PAKAI, dimana hasil atau skor akhir sama dengan atau melampaui 70 % berdasarkan Keputusan Direktur Jenderal Pelayanan Kesehatan No : HK.02.02/V/0412/2020</v>
      </c>
      <c r="C61" s="1123"/>
      <c r="D61" s="1123"/>
      <c r="E61" s="1123"/>
      <c r="F61" s="1123"/>
      <c r="G61" s="1123"/>
      <c r="H61" s="1123"/>
      <c r="I61" s="1123"/>
      <c r="J61" s="1123"/>
      <c r="K61" s="1123"/>
    </row>
    <row r="62" spans="1:11" ht="14.25" customHeight="1" x14ac:dyDescent="0.25">
      <c r="A62" s="92"/>
      <c r="B62" s="1123"/>
      <c r="C62" s="1123"/>
      <c r="D62" s="1123"/>
      <c r="E62" s="1123"/>
      <c r="F62" s="1123"/>
      <c r="G62" s="1123"/>
      <c r="H62" s="1123"/>
      <c r="I62" s="1123"/>
      <c r="J62" s="1123"/>
      <c r="K62" s="1123"/>
    </row>
    <row r="63" spans="1:11" ht="6" customHeight="1" x14ac:dyDescent="0.25">
      <c r="A63" s="92"/>
      <c r="B63" s="131"/>
      <c r="C63" s="131"/>
      <c r="D63" s="131"/>
      <c r="E63" s="131"/>
      <c r="F63" s="131"/>
      <c r="G63" s="131"/>
      <c r="H63" s="131"/>
      <c r="I63" s="131"/>
      <c r="J63" s="131"/>
      <c r="K63" s="92"/>
    </row>
    <row r="64" spans="1:11" ht="14" x14ac:dyDescent="0.25">
      <c r="A64" s="115" t="s">
        <v>93</v>
      </c>
      <c r="B64" s="115" t="str">
        <f>ID!B66</f>
        <v>Petugas Kalibrasi</v>
      </c>
      <c r="C64" s="92"/>
      <c r="D64" s="88"/>
      <c r="E64" s="88"/>
      <c r="F64" s="88"/>
      <c r="G64" s="88"/>
      <c r="H64" s="88"/>
      <c r="I64" s="88"/>
      <c r="J64" s="92"/>
      <c r="K64" s="92"/>
    </row>
    <row r="65" spans="1:15" ht="14" x14ac:dyDescent="0.25">
      <c r="A65" s="92"/>
      <c r="B65" s="88" t="str">
        <f>ID!B67</f>
        <v>Septia Khairunnisa</v>
      </c>
      <c r="C65" s="92"/>
      <c r="D65" s="88"/>
      <c r="E65" s="88"/>
      <c r="F65" s="88"/>
      <c r="G65" s="88"/>
      <c r="H65" s="88"/>
      <c r="I65" s="88"/>
      <c r="J65" s="92"/>
      <c r="K65" s="92"/>
    </row>
    <row r="66" spans="1:15" ht="6.75" customHeight="1" x14ac:dyDescent="0.25">
      <c r="A66" s="92"/>
      <c r="B66" s="88"/>
      <c r="C66" s="88"/>
      <c r="D66" s="88"/>
      <c r="E66" s="116"/>
      <c r="F66" s="116"/>
      <c r="G66" s="88"/>
      <c r="H66" s="88"/>
      <c r="I66" s="88"/>
      <c r="J66" s="92"/>
      <c r="K66" s="92"/>
    </row>
    <row r="67" spans="1:15" ht="14" x14ac:dyDescent="0.25">
      <c r="A67" s="92"/>
      <c r="B67" s="115"/>
      <c r="C67" s="117"/>
      <c r="D67" s="118"/>
      <c r="E67" s="118"/>
      <c r="F67" s="118"/>
      <c r="G67" s="92"/>
      <c r="H67" s="88"/>
      <c r="I67" s="88"/>
      <c r="J67" s="92"/>
      <c r="K67" s="92"/>
    </row>
    <row r="68" spans="1:15" ht="14" x14ac:dyDescent="0.25">
      <c r="A68" s="92"/>
      <c r="B68" s="88"/>
      <c r="C68" s="87" t="s">
        <v>238</v>
      </c>
      <c r="D68" s="1112" t="str">
        <f>B65</f>
        <v>Septia Khairunnisa</v>
      </c>
      <c r="E68" s="1112"/>
      <c r="F68" s="1112"/>
      <c r="G68" s="393">
        <f>ID!B69</f>
        <v>44631</v>
      </c>
      <c r="H68" s="119" t="s">
        <v>239</v>
      </c>
      <c r="I68" s="144" t="s">
        <v>240</v>
      </c>
      <c r="J68" s="92"/>
      <c r="K68" s="92"/>
    </row>
    <row r="69" spans="1:15" ht="14" x14ac:dyDescent="0.25">
      <c r="A69" s="92"/>
      <c r="B69" s="88"/>
      <c r="C69" s="87" t="s">
        <v>241</v>
      </c>
      <c r="D69" s="1113"/>
      <c r="E69" s="1113"/>
      <c r="F69" s="1113"/>
      <c r="G69" s="119"/>
      <c r="H69" s="119" t="s">
        <v>239</v>
      </c>
      <c r="I69" s="395">
        <f>SUM(N75,O74,O73)</f>
        <v>80</v>
      </c>
      <c r="J69" s="92"/>
      <c r="K69" s="92"/>
    </row>
    <row r="70" spans="1:15" ht="14" x14ac:dyDescent="0.25">
      <c r="A70" s="92"/>
      <c r="B70" s="88"/>
      <c r="C70" s="1092"/>
      <c r="D70" s="1092"/>
      <c r="E70" s="1092"/>
      <c r="F70" s="1092"/>
      <c r="G70" s="92"/>
      <c r="H70" s="88"/>
      <c r="I70" s="88"/>
      <c r="J70" s="92"/>
      <c r="K70" s="92"/>
    </row>
    <row r="71" spans="1:15" ht="14" x14ac:dyDescent="0.25">
      <c r="A71" s="92"/>
      <c r="B71" s="88"/>
      <c r="C71" s="1111"/>
      <c r="D71" s="1111"/>
      <c r="E71" s="1092"/>
      <c r="F71" s="1092"/>
      <c r="G71" s="92"/>
      <c r="H71" s="88"/>
      <c r="I71" s="88"/>
      <c r="J71" s="92"/>
      <c r="K71" s="92"/>
      <c r="M71" s="806">
        <f>SUM(L32,L43)</f>
        <v>50</v>
      </c>
    </row>
    <row r="72" spans="1:15" ht="14" x14ac:dyDescent="0.25">
      <c r="A72" s="92"/>
      <c r="B72" s="88"/>
      <c r="C72" s="120"/>
      <c r="D72" s="120"/>
      <c r="E72" s="120"/>
      <c r="F72" s="120"/>
      <c r="G72" s="92"/>
      <c r="H72" s="88"/>
      <c r="I72" s="88"/>
      <c r="J72" s="92"/>
      <c r="K72" s="92"/>
    </row>
    <row r="73" spans="1:15" ht="14" x14ac:dyDescent="0.25">
      <c r="A73" s="92"/>
      <c r="B73" s="88"/>
      <c r="C73" s="121"/>
      <c r="D73" s="122"/>
      <c r="E73" s="89"/>
      <c r="F73" s="89"/>
      <c r="G73" s="92"/>
      <c r="H73" s="88"/>
      <c r="I73" s="88"/>
      <c r="J73" s="92"/>
      <c r="K73" s="92"/>
      <c r="M73" s="149" t="s">
        <v>242</v>
      </c>
      <c r="N73" s="806">
        <f>SUM(L19:L20)</f>
        <v>10</v>
      </c>
      <c r="O73" s="31">
        <v>10</v>
      </c>
    </row>
    <row r="74" spans="1:15" ht="14" x14ac:dyDescent="0.25">
      <c r="A74" s="92"/>
      <c r="B74" s="88"/>
      <c r="C74" s="121"/>
      <c r="D74" s="89"/>
      <c r="E74" s="89"/>
      <c r="F74" s="89"/>
      <c r="G74" s="92"/>
      <c r="H74" s="88"/>
      <c r="I74" s="88"/>
      <c r="J74" s="92"/>
      <c r="K74" s="92"/>
      <c r="M74" s="92" t="s">
        <v>243</v>
      </c>
      <c r="N74" s="806">
        <f>ID!S69</f>
        <v>40</v>
      </c>
      <c r="O74" s="31">
        <v>20</v>
      </c>
    </row>
    <row r="75" spans="1:15" ht="14" x14ac:dyDescent="0.25">
      <c r="A75" s="92"/>
      <c r="B75" s="88"/>
      <c r="C75" s="89"/>
      <c r="D75" s="89"/>
      <c r="E75" s="89"/>
      <c r="F75" s="89"/>
      <c r="G75" s="92"/>
      <c r="H75" s="88"/>
      <c r="I75" s="88"/>
      <c r="J75" s="92"/>
      <c r="K75" s="92"/>
      <c r="M75" s="92" t="s">
        <v>244</v>
      </c>
      <c r="N75" s="335">
        <f>IF(M71&lt;=35,0,IF(M71&gt;35,M71))</f>
        <v>50</v>
      </c>
      <c r="O75" s="31">
        <v>50</v>
      </c>
    </row>
    <row r="76" spans="1:15" ht="14" x14ac:dyDescent="0.25">
      <c r="A76" s="92"/>
      <c r="B76" s="88"/>
      <c r="C76" s="89"/>
      <c r="D76" s="89"/>
      <c r="E76" s="89"/>
      <c r="F76" s="89"/>
      <c r="G76" s="90"/>
      <c r="H76" s="89"/>
      <c r="I76" s="89"/>
      <c r="J76" s="92"/>
      <c r="K76" s="92"/>
    </row>
    <row r="83" spans="7:7" x14ac:dyDescent="0.25">
      <c r="G83" s="687"/>
    </row>
    <row r="84" spans="7:7" x14ac:dyDescent="0.25">
      <c r="G84" s="687"/>
    </row>
    <row r="85" spans="7:7" x14ac:dyDescent="0.25">
      <c r="G85" s="687"/>
    </row>
    <row r="86" spans="7:7" x14ac:dyDescent="0.25">
      <c r="G86" s="687"/>
    </row>
  </sheetData>
  <sheetProtection formatCells="0" formatColumns="0" formatRows="0" insertColumns="0" insertRows="0" deleteColumns="0" deleteRows="0"/>
  <mergeCells count="43">
    <mergeCell ref="M32:M38"/>
    <mergeCell ref="N41:N42"/>
    <mergeCell ref="L23:L24"/>
    <mergeCell ref="B61:K62"/>
    <mergeCell ref="G41:G42"/>
    <mergeCell ref="B41:B42"/>
    <mergeCell ref="I23:I24"/>
    <mergeCell ref="C23:H24"/>
    <mergeCell ref="H32:H38"/>
    <mergeCell ref="L41:L42"/>
    <mergeCell ref="L43:L46"/>
    <mergeCell ref="M43:M46"/>
    <mergeCell ref="O41:O42"/>
    <mergeCell ref="I41:I42"/>
    <mergeCell ref="C43:C46"/>
    <mergeCell ref="D41:E42"/>
    <mergeCell ref="D43:E43"/>
    <mergeCell ref="D44:E44"/>
    <mergeCell ref="D45:E45"/>
    <mergeCell ref="D46:E46"/>
    <mergeCell ref="H43:H46"/>
    <mergeCell ref="H41:H42"/>
    <mergeCell ref="A1:L1"/>
    <mergeCell ref="A2:L2"/>
    <mergeCell ref="D38:E38"/>
    <mergeCell ref="B23:B24"/>
    <mergeCell ref="L32:L38"/>
    <mergeCell ref="C70:D70"/>
    <mergeCell ref="E70:F70"/>
    <mergeCell ref="C71:D71"/>
    <mergeCell ref="E71:F71"/>
    <mergeCell ref="D31:E31"/>
    <mergeCell ref="C32:C38"/>
    <mergeCell ref="D32:E32"/>
    <mergeCell ref="D33:E33"/>
    <mergeCell ref="D34:E34"/>
    <mergeCell ref="D35:E35"/>
    <mergeCell ref="D36:E36"/>
    <mergeCell ref="D37:E37"/>
    <mergeCell ref="D68:F68"/>
    <mergeCell ref="D69:F69"/>
    <mergeCell ref="F41:F42"/>
    <mergeCell ref="C41:C42"/>
  </mergeCells>
  <printOptions horizontalCentered="1"/>
  <pageMargins left="0.6" right="0.25" top="0.5" bottom="0.4" header="0.25" footer="0.25"/>
  <pageSetup paperSize="9" scale="72" orientation="portrait" horizontalDpi="4294967293" r:id="rId1"/>
  <headerFooter>
    <oddHeader>&amp;R&amp;"-,Regular"&amp;8OA.LP - 041-18 / REV : 0</oddHeader>
    <oddFooter>&amp;R&amp;9&amp;K00-022Pulse 8.4.2022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30524-D7B9-4A02-8CDD-0D344715ED24}">
  <sheetPr>
    <tabColor rgb="FF00B0F0"/>
  </sheetPr>
  <dimension ref="A1:AE383"/>
  <sheetViews>
    <sheetView view="pageBreakPreview" topLeftCell="A362" zoomScale="85" zoomScaleNormal="100" zoomScaleSheetLayoutView="85" workbookViewId="0">
      <selection activeCell="R378" sqref="R378"/>
    </sheetView>
  </sheetViews>
  <sheetFormatPr defaultColWidth="8.7265625" defaultRowHeight="12.5" x14ac:dyDescent="0.25"/>
  <cols>
    <col min="1" max="5" width="8.7265625" style="397"/>
    <col min="6" max="6" width="11.54296875" style="397" customWidth="1"/>
    <col min="7" max="16384" width="8.7265625" style="397"/>
  </cols>
  <sheetData>
    <row r="1" spans="1:31" ht="18" thickBot="1" x14ac:dyDescent="0.35">
      <c r="A1" s="1205" t="s">
        <v>294</v>
      </c>
      <c r="B1" s="1206"/>
      <c r="C1" s="1206"/>
      <c r="D1" s="1206"/>
      <c r="E1" s="1206"/>
      <c r="F1" s="1206"/>
      <c r="G1" s="1207"/>
      <c r="H1" s="1206"/>
      <c r="I1" s="1206"/>
      <c r="J1" s="1206"/>
      <c r="K1" s="1206"/>
      <c r="L1" s="1206"/>
      <c r="M1" s="1207"/>
      <c r="N1" s="1206"/>
      <c r="O1" s="1208"/>
      <c r="P1" s="396"/>
      <c r="Q1" s="1205" t="s">
        <v>294</v>
      </c>
      <c r="R1" s="1206"/>
      <c r="S1" s="1206"/>
      <c r="T1" s="1206"/>
      <c r="U1" s="1206"/>
      <c r="V1" s="1206"/>
      <c r="W1" s="1207"/>
      <c r="X1" s="1206"/>
      <c r="Y1" s="1206"/>
      <c r="Z1" s="1206"/>
      <c r="AA1" s="1206"/>
      <c r="AB1" s="1206"/>
      <c r="AC1" s="1207"/>
      <c r="AD1" s="1206"/>
      <c r="AE1" s="1208"/>
    </row>
    <row r="2" spans="1:31" ht="13.5" thickBot="1" x14ac:dyDescent="0.35">
      <c r="A2" s="1199">
        <v>1</v>
      </c>
      <c r="B2" s="1202" t="s">
        <v>295</v>
      </c>
      <c r="C2" s="1202"/>
      <c r="D2" s="1202"/>
      <c r="E2" s="1202"/>
      <c r="F2" s="1202"/>
      <c r="G2" s="398"/>
      <c r="H2" s="1202" t="str">
        <f>B2</f>
        <v>KOREKSI KIMO THERMOHYGROMETER 15062873</v>
      </c>
      <c r="I2" s="1202"/>
      <c r="J2" s="1202"/>
      <c r="K2" s="1202"/>
      <c r="L2" s="1202"/>
      <c r="M2" s="398"/>
      <c r="N2" s="1203" t="s">
        <v>167</v>
      </c>
      <c r="O2" s="1203"/>
      <c r="P2" s="396"/>
      <c r="Q2" s="1199">
        <v>19</v>
      </c>
      <c r="R2" s="1209" t="s">
        <v>440</v>
      </c>
      <c r="S2" s="1210"/>
      <c r="T2" s="1210"/>
      <c r="U2" s="1210"/>
      <c r="V2" s="1211"/>
      <c r="W2" s="399"/>
      <c r="X2" s="1212" t="str">
        <f>R2</f>
        <v>KOREKSI EXTECH SD700 A.100615</v>
      </c>
      <c r="Y2" s="1213"/>
      <c r="Z2" s="1213"/>
      <c r="AA2" s="1213"/>
      <c r="AB2" s="1214"/>
      <c r="AC2" s="398"/>
      <c r="AD2" s="1203" t="s">
        <v>167</v>
      </c>
      <c r="AE2" s="1203"/>
    </row>
    <row r="3" spans="1:31" ht="13.5" customHeight="1" thickBot="1" x14ac:dyDescent="0.35">
      <c r="A3" s="1200"/>
      <c r="B3" s="1204" t="s">
        <v>220</v>
      </c>
      <c r="C3" s="1204"/>
      <c r="D3" s="1204" t="s">
        <v>253</v>
      </c>
      <c r="E3" s="1204"/>
      <c r="F3" s="1204" t="s">
        <v>222</v>
      </c>
      <c r="H3" s="1204" t="s">
        <v>221</v>
      </c>
      <c r="I3" s="1204"/>
      <c r="J3" s="1204" t="s">
        <v>253</v>
      </c>
      <c r="K3" s="1204"/>
      <c r="L3" s="1204" t="s">
        <v>222</v>
      </c>
      <c r="N3" s="400" t="s">
        <v>220</v>
      </c>
      <c r="O3" s="401">
        <v>0.6</v>
      </c>
      <c r="P3" s="396"/>
      <c r="Q3" s="1200"/>
      <c r="R3" s="1215" t="s">
        <v>220</v>
      </c>
      <c r="S3" s="1216"/>
      <c r="T3" s="1217" t="s">
        <v>253</v>
      </c>
      <c r="U3" s="1218"/>
      <c r="V3" s="1219" t="s">
        <v>222</v>
      </c>
      <c r="W3" s="402"/>
      <c r="X3" s="1215" t="s">
        <v>221</v>
      </c>
      <c r="Y3" s="1216"/>
      <c r="Z3" s="1217" t="s">
        <v>253</v>
      </c>
      <c r="AA3" s="1218"/>
      <c r="AB3" s="1219" t="s">
        <v>222</v>
      </c>
      <c r="AC3" s="402"/>
      <c r="AD3" s="403" t="s">
        <v>220</v>
      </c>
      <c r="AE3" s="404">
        <v>0.1</v>
      </c>
    </row>
    <row r="4" spans="1:31" ht="15" thickBot="1" x14ac:dyDescent="0.35">
      <c r="A4" s="1200"/>
      <c r="B4" s="1197" t="s">
        <v>441</v>
      </c>
      <c r="C4" s="1197"/>
      <c r="D4" s="405">
        <v>2020</v>
      </c>
      <c r="E4" s="405">
        <v>2017</v>
      </c>
      <c r="F4" s="1204"/>
      <c r="H4" s="1198" t="s">
        <v>140</v>
      </c>
      <c r="I4" s="1197"/>
      <c r="J4" s="406">
        <f>D4</f>
        <v>2020</v>
      </c>
      <c r="K4" s="406">
        <f>E4</f>
        <v>2017</v>
      </c>
      <c r="L4" s="1204"/>
      <c r="N4" s="400" t="s">
        <v>140</v>
      </c>
      <c r="O4" s="401">
        <v>3.1</v>
      </c>
      <c r="P4" s="396"/>
      <c r="Q4" s="1200"/>
      <c r="R4" s="1221" t="s">
        <v>441</v>
      </c>
      <c r="S4" s="1222"/>
      <c r="T4" s="407">
        <v>2020</v>
      </c>
      <c r="U4" s="408">
        <v>2021</v>
      </c>
      <c r="V4" s="1220"/>
      <c r="W4" s="402"/>
      <c r="X4" s="1223" t="s">
        <v>140</v>
      </c>
      <c r="Y4" s="1224"/>
      <c r="Z4" s="409">
        <f>T4</f>
        <v>2020</v>
      </c>
      <c r="AA4" s="410">
        <f>U4</f>
        <v>2021</v>
      </c>
      <c r="AB4" s="1220"/>
      <c r="AC4" s="402"/>
      <c r="AD4" s="411" t="s">
        <v>140</v>
      </c>
      <c r="AE4" s="412">
        <v>1.5</v>
      </c>
    </row>
    <row r="5" spans="1:31" ht="13" x14ac:dyDescent="0.3">
      <c r="A5" s="1200"/>
      <c r="B5" s="413"/>
      <c r="C5" s="414">
        <v>15</v>
      </c>
      <c r="D5" s="414">
        <v>-0.5</v>
      </c>
      <c r="E5" s="414">
        <v>0.3</v>
      </c>
      <c r="F5" s="415">
        <f t="shared" ref="F5:F11" si="0">0.5*(MAX(D5:E5)-MIN(D5:E5))</f>
        <v>0.4</v>
      </c>
      <c r="H5" s="413"/>
      <c r="I5" s="414">
        <v>35</v>
      </c>
      <c r="J5" s="414">
        <v>-6</v>
      </c>
      <c r="K5" s="414">
        <v>-9.4</v>
      </c>
      <c r="L5" s="415">
        <f t="shared" ref="L5:L11" si="1">0.5*(MAX(J5:K5)-MIN(J5:K5))</f>
        <v>1.7000000000000002</v>
      </c>
      <c r="O5" s="416"/>
      <c r="P5" s="396"/>
      <c r="Q5" s="1200"/>
      <c r="R5" s="402"/>
      <c r="S5" s="417">
        <v>15</v>
      </c>
      <c r="T5" s="418">
        <v>0</v>
      </c>
      <c r="U5" s="419">
        <v>0</v>
      </c>
      <c r="V5" s="420">
        <f t="shared" ref="V5:V11" si="2">0.5*(MAX(T5:U5)-MIN(T5:U5))</f>
        <v>0</v>
      </c>
      <c r="W5" s="402"/>
      <c r="X5" s="421"/>
      <c r="Y5" s="417">
        <v>35</v>
      </c>
      <c r="Z5" s="418">
        <v>-0.4</v>
      </c>
      <c r="AA5" s="419">
        <v>-1.5</v>
      </c>
      <c r="AB5" s="420">
        <f t="shared" ref="AB5:AB11" si="3">0.5*(MAX(Z5:AA5)-MIN(Z5:AA5))</f>
        <v>0.55000000000000004</v>
      </c>
      <c r="AC5" s="402"/>
      <c r="AD5" s="402"/>
      <c r="AE5" s="422"/>
    </row>
    <row r="6" spans="1:31" ht="13" x14ac:dyDescent="0.3">
      <c r="A6" s="1200"/>
      <c r="B6" s="413"/>
      <c r="C6" s="414">
        <v>20</v>
      </c>
      <c r="D6" s="414">
        <v>-0.2</v>
      </c>
      <c r="E6" s="414">
        <v>0.2</v>
      </c>
      <c r="F6" s="415">
        <f>0.5*(MAX(D6:E6)-MIN(D6:E6))</f>
        <v>0.2</v>
      </c>
      <c r="H6" s="413"/>
      <c r="I6" s="414">
        <v>40</v>
      </c>
      <c r="J6" s="414">
        <v>-5.8</v>
      </c>
      <c r="K6" s="414">
        <v>-8.6</v>
      </c>
      <c r="L6" s="415">
        <f t="shared" si="1"/>
        <v>1.4</v>
      </c>
      <c r="O6" s="416"/>
      <c r="P6" s="396"/>
      <c r="Q6" s="1200"/>
      <c r="R6" s="402"/>
      <c r="S6" s="423">
        <v>20</v>
      </c>
      <c r="T6" s="424">
        <v>-0.1</v>
      </c>
      <c r="U6" s="425">
        <v>0.1</v>
      </c>
      <c r="V6" s="426">
        <f t="shared" si="2"/>
        <v>0.1</v>
      </c>
      <c r="W6" s="402"/>
      <c r="X6" s="421"/>
      <c r="Y6" s="423">
        <v>40</v>
      </c>
      <c r="Z6" s="424">
        <v>-0.2</v>
      </c>
      <c r="AA6" s="425">
        <v>-0.8</v>
      </c>
      <c r="AB6" s="426">
        <f t="shared" si="3"/>
        <v>0.30000000000000004</v>
      </c>
      <c r="AC6" s="402"/>
      <c r="AD6" s="402"/>
      <c r="AE6" s="422"/>
    </row>
    <row r="7" spans="1:31" ht="13" x14ac:dyDescent="0.3">
      <c r="A7" s="1200"/>
      <c r="B7" s="413"/>
      <c r="C7" s="414">
        <v>25</v>
      </c>
      <c r="D7" s="414">
        <v>9.9999999999999995E-7</v>
      </c>
      <c r="E7" s="414">
        <v>0.1</v>
      </c>
      <c r="F7" s="415">
        <f t="shared" si="0"/>
        <v>4.9999500000000002E-2</v>
      </c>
      <c r="H7" s="413"/>
      <c r="I7" s="414">
        <v>50</v>
      </c>
      <c r="J7" s="414">
        <v>-5.3</v>
      </c>
      <c r="K7" s="414">
        <v>-7.2</v>
      </c>
      <c r="L7" s="415">
        <f t="shared" si="1"/>
        <v>0.95000000000000018</v>
      </c>
      <c r="O7" s="416"/>
      <c r="P7" s="396"/>
      <c r="Q7" s="1200"/>
      <c r="R7" s="402"/>
      <c r="S7" s="423">
        <v>25</v>
      </c>
      <c r="T7" s="424">
        <v>-0.2</v>
      </c>
      <c r="U7" s="425">
        <v>0</v>
      </c>
      <c r="V7" s="426">
        <f t="shared" si="2"/>
        <v>0.1</v>
      </c>
      <c r="W7" s="402"/>
      <c r="X7" s="421"/>
      <c r="Y7" s="423">
        <v>50</v>
      </c>
      <c r="Z7" s="424">
        <v>-0.2</v>
      </c>
      <c r="AA7" s="425">
        <v>-0.2</v>
      </c>
      <c r="AB7" s="426">
        <f t="shared" si="3"/>
        <v>0</v>
      </c>
      <c r="AC7" s="402"/>
      <c r="AD7" s="402"/>
      <c r="AE7" s="422"/>
    </row>
    <row r="8" spans="1:31" ht="13" x14ac:dyDescent="0.3">
      <c r="A8" s="1200"/>
      <c r="B8" s="413"/>
      <c r="C8" s="427">
        <v>30</v>
      </c>
      <c r="D8" s="428">
        <v>9.9999999999999995E-7</v>
      </c>
      <c r="E8" s="428">
        <v>-0.2</v>
      </c>
      <c r="F8" s="415">
        <f t="shared" si="0"/>
        <v>0.10000050000000001</v>
      </c>
      <c r="H8" s="413"/>
      <c r="I8" s="427">
        <v>60</v>
      </c>
      <c r="J8" s="428">
        <v>-4.4000000000000004</v>
      </c>
      <c r="K8" s="428">
        <v>-5.2</v>
      </c>
      <c r="L8" s="415">
        <f t="shared" si="1"/>
        <v>0.39999999999999991</v>
      </c>
      <c r="O8" s="416"/>
      <c r="P8" s="396"/>
      <c r="Q8" s="1200"/>
      <c r="R8" s="402"/>
      <c r="S8" s="429">
        <v>30</v>
      </c>
      <c r="T8" s="430">
        <v>-0.2</v>
      </c>
      <c r="U8" s="431">
        <v>-0.1</v>
      </c>
      <c r="V8" s="426">
        <f t="shared" si="2"/>
        <v>0.05</v>
      </c>
      <c r="W8" s="402"/>
      <c r="X8" s="421"/>
      <c r="Y8" s="429">
        <v>60</v>
      </c>
      <c r="Z8" s="430">
        <v>-0.2</v>
      </c>
      <c r="AA8" s="431">
        <v>0.2</v>
      </c>
      <c r="AB8" s="426">
        <f t="shared" si="3"/>
        <v>0.2</v>
      </c>
      <c r="AC8" s="402"/>
      <c r="AD8" s="402"/>
      <c r="AE8" s="422"/>
    </row>
    <row r="9" spans="1:31" ht="13.5" customHeight="1" x14ac:dyDescent="0.3">
      <c r="A9" s="1200"/>
      <c r="B9" s="413"/>
      <c r="C9" s="427">
        <v>35</v>
      </c>
      <c r="D9" s="428">
        <v>-0.1</v>
      </c>
      <c r="E9" s="428">
        <v>-0.5</v>
      </c>
      <c r="F9" s="415">
        <f t="shared" si="0"/>
        <v>0.2</v>
      </c>
      <c r="H9" s="413"/>
      <c r="I9" s="427">
        <v>70</v>
      </c>
      <c r="J9" s="428">
        <v>-3.2</v>
      </c>
      <c r="K9" s="428">
        <v>-2.6</v>
      </c>
      <c r="L9" s="415">
        <f t="shared" si="1"/>
        <v>0.30000000000000004</v>
      </c>
      <c r="O9" s="416"/>
      <c r="P9" s="396"/>
      <c r="Q9" s="1200"/>
      <c r="R9" s="402"/>
      <c r="S9" s="429">
        <v>35</v>
      </c>
      <c r="T9" s="430">
        <v>-0.3</v>
      </c>
      <c r="U9" s="431">
        <v>-0.1</v>
      </c>
      <c r="V9" s="426">
        <f t="shared" si="2"/>
        <v>9.9999999999999992E-2</v>
      </c>
      <c r="W9" s="402"/>
      <c r="X9" s="421"/>
      <c r="Y9" s="429">
        <v>70</v>
      </c>
      <c r="Z9" s="430">
        <v>-0.3</v>
      </c>
      <c r="AA9" s="431">
        <v>-0.7</v>
      </c>
      <c r="AB9" s="426">
        <f t="shared" si="3"/>
        <v>0.19999999999999998</v>
      </c>
      <c r="AC9" s="402"/>
      <c r="AD9" s="402"/>
      <c r="AE9" s="422"/>
    </row>
    <row r="10" spans="1:31" ht="13.5" customHeight="1" x14ac:dyDescent="0.3">
      <c r="A10" s="1200"/>
      <c r="B10" s="413"/>
      <c r="C10" s="427">
        <v>37</v>
      </c>
      <c r="D10" s="428">
        <v>-0.2</v>
      </c>
      <c r="E10" s="428">
        <v>-0.6</v>
      </c>
      <c r="F10" s="415">
        <f t="shared" si="0"/>
        <v>0.19999999999999998</v>
      </c>
      <c r="H10" s="413"/>
      <c r="I10" s="427">
        <v>80</v>
      </c>
      <c r="J10" s="428">
        <v>-1.6</v>
      </c>
      <c r="K10" s="428">
        <v>0.7</v>
      </c>
      <c r="L10" s="415">
        <f t="shared" si="1"/>
        <v>1.1499999999999999</v>
      </c>
      <c r="O10" s="416"/>
      <c r="P10" s="396"/>
      <c r="Q10" s="1200"/>
      <c r="R10" s="402"/>
      <c r="S10" s="429">
        <v>37</v>
      </c>
      <c r="T10" s="430">
        <v>-0.3</v>
      </c>
      <c r="U10" s="431">
        <v>0</v>
      </c>
      <c r="V10" s="426">
        <f t="shared" si="2"/>
        <v>0.15</v>
      </c>
      <c r="W10" s="402"/>
      <c r="X10" s="421"/>
      <c r="Y10" s="429">
        <v>80</v>
      </c>
      <c r="Z10" s="430">
        <v>-0.5</v>
      </c>
      <c r="AA10" s="431">
        <v>-0.9</v>
      </c>
      <c r="AB10" s="426">
        <f t="shared" si="3"/>
        <v>0.2</v>
      </c>
      <c r="AC10" s="402"/>
      <c r="AD10" s="402"/>
      <c r="AE10" s="422"/>
    </row>
    <row r="11" spans="1:31" ht="13.5" thickBot="1" x14ac:dyDescent="0.35">
      <c r="A11" s="1201"/>
      <c r="B11" s="413"/>
      <c r="C11" s="427">
        <v>40</v>
      </c>
      <c r="D11" s="428">
        <v>-0.3</v>
      </c>
      <c r="E11" s="428">
        <v>-0.8</v>
      </c>
      <c r="F11" s="415">
        <f t="shared" si="0"/>
        <v>0.25</v>
      </c>
      <c r="G11" s="432"/>
      <c r="H11" s="413"/>
      <c r="I11" s="427">
        <v>90</v>
      </c>
      <c r="J11" s="428">
        <v>0.3</v>
      </c>
      <c r="K11" s="428">
        <v>4.5</v>
      </c>
      <c r="L11" s="415">
        <f t="shared" si="1"/>
        <v>2.1</v>
      </c>
      <c r="M11" s="432"/>
      <c r="N11" s="432"/>
      <c r="O11" s="433"/>
      <c r="P11" s="396"/>
      <c r="Q11" s="1201"/>
      <c r="R11" s="434"/>
      <c r="S11" s="435">
        <v>40</v>
      </c>
      <c r="T11" s="436">
        <v>-0.4</v>
      </c>
      <c r="U11" s="437">
        <v>0.2</v>
      </c>
      <c r="V11" s="438">
        <f t="shared" si="2"/>
        <v>0.30000000000000004</v>
      </c>
      <c r="W11" s="434"/>
      <c r="X11" s="439"/>
      <c r="Y11" s="435">
        <v>90</v>
      </c>
      <c r="Z11" s="436">
        <v>-0.8</v>
      </c>
      <c r="AA11" s="437">
        <v>-0.6</v>
      </c>
      <c r="AB11" s="438">
        <f t="shared" si="3"/>
        <v>0.10000000000000003</v>
      </c>
      <c r="AC11" s="434"/>
      <c r="AD11" s="434"/>
      <c r="AE11" s="440"/>
    </row>
    <row r="12" spans="1:31" ht="13.5" thickBot="1" x14ac:dyDescent="0.35">
      <c r="A12" s="441"/>
      <c r="B12" s="441"/>
      <c r="O12" s="416"/>
      <c r="P12" s="396"/>
    </row>
    <row r="13" spans="1:31" ht="13" x14ac:dyDescent="0.3">
      <c r="A13" s="1199">
        <v>2</v>
      </c>
      <c r="B13" s="1202" t="s">
        <v>296</v>
      </c>
      <c r="C13" s="1202"/>
      <c r="D13" s="1202"/>
      <c r="E13" s="1202"/>
      <c r="F13" s="1202"/>
      <c r="G13" s="398"/>
      <c r="H13" s="1202" t="str">
        <f>B13</f>
        <v>KOREKSI KIMO THERMOHYGROMETER 15062874</v>
      </c>
      <c r="I13" s="1202"/>
      <c r="J13" s="1202"/>
      <c r="K13" s="1202"/>
      <c r="L13" s="1202"/>
      <c r="M13" s="398"/>
      <c r="N13" s="1203" t="s">
        <v>167</v>
      </c>
      <c r="O13" s="1203"/>
      <c r="P13" s="396"/>
    </row>
    <row r="14" spans="1:31" ht="13" x14ac:dyDescent="0.3">
      <c r="A14" s="1200"/>
      <c r="B14" s="1204" t="s">
        <v>220</v>
      </c>
      <c r="C14" s="1204"/>
      <c r="D14" s="1204" t="s">
        <v>253</v>
      </c>
      <c r="E14" s="1204"/>
      <c r="F14" s="1204" t="s">
        <v>222</v>
      </c>
      <c r="H14" s="1204" t="s">
        <v>221</v>
      </c>
      <c r="I14" s="1204"/>
      <c r="J14" s="1204" t="s">
        <v>253</v>
      </c>
      <c r="K14" s="1204"/>
      <c r="L14" s="1204" t="s">
        <v>222</v>
      </c>
      <c r="N14" s="400" t="s">
        <v>220</v>
      </c>
      <c r="O14" s="442">
        <v>0.3</v>
      </c>
      <c r="P14" s="396"/>
    </row>
    <row r="15" spans="1:31" ht="14.5" x14ac:dyDescent="0.3">
      <c r="A15" s="1200"/>
      <c r="B15" s="1197" t="s">
        <v>441</v>
      </c>
      <c r="C15" s="1197"/>
      <c r="D15" s="443">
        <v>2021</v>
      </c>
      <c r="E15" s="405">
        <v>2018</v>
      </c>
      <c r="F15" s="1204"/>
      <c r="H15" s="1198" t="s">
        <v>140</v>
      </c>
      <c r="I15" s="1197"/>
      <c r="J15" s="444">
        <f>'DB Thermohygro'!D15</f>
        <v>2021</v>
      </c>
      <c r="K15" s="406">
        <f>E15</f>
        <v>2018</v>
      </c>
      <c r="L15" s="1204"/>
      <c r="N15" s="400" t="s">
        <v>140</v>
      </c>
      <c r="O15" s="442">
        <v>3.3</v>
      </c>
      <c r="P15" s="396"/>
    </row>
    <row r="16" spans="1:31" ht="13" x14ac:dyDescent="0.3">
      <c r="A16" s="1200"/>
      <c r="B16" s="413"/>
      <c r="C16" s="414">
        <v>15</v>
      </c>
      <c r="D16" s="424">
        <v>0.4</v>
      </c>
      <c r="E16" s="414">
        <v>9.9999999999999995E-7</v>
      </c>
      <c r="F16" s="415">
        <f t="shared" ref="F16:F22" si="4">0.5*(MAX(E16:E16)-MIN(E16:E16))</f>
        <v>0</v>
      </c>
      <c r="H16" s="413"/>
      <c r="I16" s="414">
        <v>35</v>
      </c>
      <c r="J16" s="424">
        <v>9.9999999999999995E-7</v>
      </c>
      <c r="K16" s="414">
        <v>-1.6</v>
      </c>
      <c r="L16" s="415">
        <f t="shared" ref="L16:L22" si="5">0.5*(MAX(K16:K16)-MIN(K16:K16))</f>
        <v>0</v>
      </c>
      <c r="O16" s="416"/>
      <c r="P16" s="396"/>
    </row>
    <row r="17" spans="1:16" ht="13" x14ac:dyDescent="0.3">
      <c r="A17" s="1200"/>
      <c r="B17" s="413"/>
      <c r="C17" s="414">
        <v>20</v>
      </c>
      <c r="D17" s="424">
        <v>0.7</v>
      </c>
      <c r="E17" s="414">
        <v>-0.1</v>
      </c>
      <c r="F17" s="415">
        <f t="shared" si="4"/>
        <v>0</v>
      </c>
      <c r="H17" s="413"/>
      <c r="I17" s="414">
        <v>40</v>
      </c>
      <c r="J17" s="424">
        <v>-6.2</v>
      </c>
      <c r="K17" s="414">
        <v>-1.6</v>
      </c>
      <c r="L17" s="415">
        <f t="shared" si="5"/>
        <v>0</v>
      </c>
      <c r="O17" s="416"/>
      <c r="P17" s="396"/>
    </row>
    <row r="18" spans="1:16" ht="13" x14ac:dyDescent="0.3">
      <c r="A18" s="1200"/>
      <c r="B18" s="413"/>
      <c r="C18" s="414">
        <v>25</v>
      </c>
      <c r="D18" s="424">
        <v>0.5</v>
      </c>
      <c r="E18" s="414">
        <v>-0.2</v>
      </c>
      <c r="F18" s="415">
        <f t="shared" si="4"/>
        <v>0</v>
      </c>
      <c r="H18" s="413"/>
      <c r="I18" s="414">
        <v>50</v>
      </c>
      <c r="J18" s="424">
        <v>-5.3</v>
      </c>
      <c r="K18" s="414">
        <v>-1.5</v>
      </c>
      <c r="L18" s="415">
        <f t="shared" si="5"/>
        <v>0</v>
      </c>
      <c r="O18" s="416"/>
      <c r="P18" s="396"/>
    </row>
    <row r="19" spans="1:16" ht="13" x14ac:dyDescent="0.3">
      <c r="A19" s="1200"/>
      <c r="B19" s="413"/>
      <c r="C19" s="427">
        <v>30</v>
      </c>
      <c r="D19" s="430">
        <v>0.2</v>
      </c>
      <c r="E19" s="445">
        <v>-0.3</v>
      </c>
      <c r="F19" s="415">
        <f t="shared" si="4"/>
        <v>0</v>
      </c>
      <c r="H19" s="413"/>
      <c r="I19" s="427">
        <v>60</v>
      </c>
      <c r="J19" s="430">
        <v>-4</v>
      </c>
      <c r="K19" s="445">
        <v>-1.3</v>
      </c>
      <c r="L19" s="415">
        <f t="shared" si="5"/>
        <v>0</v>
      </c>
      <c r="O19" s="416"/>
      <c r="P19" s="396"/>
    </row>
    <row r="20" spans="1:16" ht="13" x14ac:dyDescent="0.3">
      <c r="A20" s="1200"/>
      <c r="B20" s="413"/>
      <c r="C20" s="427">
        <v>35</v>
      </c>
      <c r="D20" s="430">
        <v>-0.1</v>
      </c>
      <c r="E20" s="445">
        <v>-0.3</v>
      </c>
      <c r="F20" s="415">
        <f t="shared" si="4"/>
        <v>0</v>
      </c>
      <c r="H20" s="413"/>
      <c r="I20" s="427">
        <v>70</v>
      </c>
      <c r="J20" s="430">
        <v>-2.4</v>
      </c>
      <c r="K20" s="445">
        <v>-1.1000000000000001</v>
      </c>
      <c r="L20" s="415">
        <f t="shared" si="5"/>
        <v>0</v>
      </c>
      <c r="O20" s="416"/>
      <c r="P20" s="396"/>
    </row>
    <row r="21" spans="1:16" ht="13" x14ac:dyDescent="0.3">
      <c r="A21" s="1200"/>
      <c r="B21" s="413"/>
      <c r="C21" s="427">
        <v>37</v>
      </c>
      <c r="D21" s="430">
        <v>-0.2</v>
      </c>
      <c r="E21" s="445">
        <v>-0.3</v>
      </c>
      <c r="F21" s="415">
        <f t="shared" si="4"/>
        <v>0</v>
      </c>
      <c r="H21" s="413"/>
      <c r="I21" s="427">
        <v>80</v>
      </c>
      <c r="J21" s="430">
        <v>-0.5</v>
      </c>
      <c r="K21" s="445">
        <v>-0.7</v>
      </c>
      <c r="L21" s="415">
        <f t="shared" si="5"/>
        <v>0</v>
      </c>
      <c r="O21" s="416"/>
      <c r="P21" s="396"/>
    </row>
    <row r="22" spans="1:16" ht="13.5" thickBot="1" x14ac:dyDescent="0.35">
      <c r="A22" s="1201"/>
      <c r="B22" s="413"/>
      <c r="C22" s="427">
        <v>40</v>
      </c>
      <c r="D22" s="430">
        <v>-0.1</v>
      </c>
      <c r="E22" s="445">
        <v>-0.3</v>
      </c>
      <c r="F22" s="415">
        <f t="shared" si="4"/>
        <v>0</v>
      </c>
      <c r="G22" s="432"/>
      <c r="H22" s="413"/>
      <c r="I22" s="427">
        <v>90</v>
      </c>
      <c r="J22" s="430">
        <v>1.7</v>
      </c>
      <c r="K22" s="445">
        <v>-0.3</v>
      </c>
      <c r="L22" s="415">
        <f t="shared" si="5"/>
        <v>0</v>
      </c>
      <c r="M22" s="432"/>
      <c r="N22" s="432"/>
      <c r="O22" s="433"/>
      <c r="P22" s="396"/>
    </row>
    <row r="23" spans="1:16" ht="13.5" thickBot="1" x14ac:dyDescent="0.35">
      <c r="A23" s="441"/>
      <c r="B23" s="441"/>
      <c r="O23" s="416"/>
      <c r="P23" s="396"/>
    </row>
    <row r="24" spans="1:16" ht="13" x14ac:dyDescent="0.3">
      <c r="A24" s="1199">
        <v>3</v>
      </c>
      <c r="B24" s="1202" t="s">
        <v>297</v>
      </c>
      <c r="C24" s="1202"/>
      <c r="D24" s="1202"/>
      <c r="E24" s="1202"/>
      <c r="F24" s="1202"/>
      <c r="G24" s="398"/>
      <c r="H24" s="1202" t="str">
        <f>B24</f>
        <v>KOREKSI KIMO THERMOHYGROMETER 14082463</v>
      </c>
      <c r="I24" s="1202"/>
      <c r="J24" s="1202"/>
      <c r="K24" s="1202"/>
      <c r="L24" s="1202"/>
      <c r="M24" s="398"/>
      <c r="N24" s="1203" t="s">
        <v>167</v>
      </c>
      <c r="O24" s="1203"/>
      <c r="P24" s="396"/>
    </row>
    <row r="25" spans="1:16" ht="13" x14ac:dyDescent="0.3">
      <c r="A25" s="1200"/>
      <c r="B25" s="1204" t="s">
        <v>220</v>
      </c>
      <c r="C25" s="1204"/>
      <c r="D25" s="1204" t="s">
        <v>253</v>
      </c>
      <c r="E25" s="1204"/>
      <c r="F25" s="1204" t="s">
        <v>222</v>
      </c>
      <c r="H25" s="1204" t="s">
        <v>221</v>
      </c>
      <c r="I25" s="1204"/>
      <c r="J25" s="1204" t="s">
        <v>253</v>
      </c>
      <c r="K25" s="1204"/>
      <c r="L25" s="1204" t="s">
        <v>222</v>
      </c>
      <c r="N25" s="400" t="s">
        <v>220</v>
      </c>
      <c r="O25" s="442">
        <v>0.3</v>
      </c>
      <c r="P25" s="396"/>
    </row>
    <row r="26" spans="1:16" ht="14.5" x14ac:dyDescent="0.3">
      <c r="A26" s="1200"/>
      <c r="B26" s="1197" t="s">
        <v>441</v>
      </c>
      <c r="C26" s="1197"/>
      <c r="D26" s="443">
        <v>2021</v>
      </c>
      <c r="E26" s="405">
        <v>2018</v>
      </c>
      <c r="F26" s="1204"/>
      <c r="H26" s="1198" t="s">
        <v>140</v>
      </c>
      <c r="I26" s="1197"/>
      <c r="J26" s="444">
        <f>'DB Thermohygro'!D26</f>
        <v>2021</v>
      </c>
      <c r="K26" s="406">
        <f>E26</f>
        <v>2018</v>
      </c>
      <c r="L26" s="1204"/>
      <c r="N26" s="400" t="s">
        <v>140</v>
      </c>
      <c r="O26" s="442">
        <v>3.1</v>
      </c>
      <c r="P26" s="396"/>
    </row>
    <row r="27" spans="1:16" ht="13" x14ac:dyDescent="0.3">
      <c r="A27" s="1200"/>
      <c r="B27" s="413"/>
      <c r="C27" s="414">
        <v>15</v>
      </c>
      <c r="D27" s="424">
        <v>0.4</v>
      </c>
      <c r="E27" s="414">
        <v>9.9999999999999995E-7</v>
      </c>
      <c r="F27" s="415">
        <f t="shared" ref="F27:F33" si="6">0.5*(MAX(E27:E27)-MIN(E27:E27))</f>
        <v>0</v>
      </c>
      <c r="H27" s="413"/>
      <c r="I27" s="414">
        <v>30</v>
      </c>
      <c r="J27" s="424">
        <v>9.9999999999999995E-7</v>
      </c>
      <c r="K27" s="414">
        <v>-5.7</v>
      </c>
      <c r="L27" s="415">
        <f t="shared" ref="L27:L33" si="7">0.5*(MAX(K27:K27)-MIN(K27:K27))</f>
        <v>0</v>
      </c>
      <c r="O27" s="416"/>
      <c r="P27" s="396"/>
    </row>
    <row r="28" spans="1:16" ht="13" x14ac:dyDescent="0.3">
      <c r="A28" s="1200"/>
      <c r="B28" s="413"/>
      <c r="C28" s="414">
        <v>20</v>
      </c>
      <c r="D28" s="424">
        <v>1</v>
      </c>
      <c r="E28" s="414">
        <v>0</v>
      </c>
      <c r="F28" s="415">
        <f t="shared" si="6"/>
        <v>0</v>
      </c>
      <c r="H28" s="413"/>
      <c r="I28" s="414">
        <v>40</v>
      </c>
      <c r="J28" s="424">
        <v>-5.9</v>
      </c>
      <c r="K28" s="414">
        <v>-5.3</v>
      </c>
      <c r="L28" s="415">
        <f t="shared" si="7"/>
        <v>0</v>
      </c>
      <c r="O28" s="416"/>
      <c r="P28" s="396"/>
    </row>
    <row r="29" spans="1:16" ht="13" x14ac:dyDescent="0.3">
      <c r="A29" s="1200"/>
      <c r="B29" s="413"/>
      <c r="C29" s="414">
        <v>25</v>
      </c>
      <c r="D29" s="424">
        <v>0.7</v>
      </c>
      <c r="E29" s="414">
        <v>-0.1</v>
      </c>
      <c r="F29" s="415">
        <f t="shared" si="6"/>
        <v>0</v>
      </c>
      <c r="H29" s="413"/>
      <c r="I29" s="414">
        <v>50</v>
      </c>
      <c r="J29" s="424">
        <v>-4.5</v>
      </c>
      <c r="K29" s="414">
        <v>-4.9000000000000004</v>
      </c>
      <c r="L29" s="415">
        <f t="shared" si="7"/>
        <v>0</v>
      </c>
      <c r="O29" s="416"/>
      <c r="P29" s="396"/>
    </row>
    <row r="30" spans="1:16" ht="13" x14ac:dyDescent="0.3">
      <c r="A30" s="1200"/>
      <c r="B30" s="413"/>
      <c r="C30" s="427">
        <v>30</v>
      </c>
      <c r="D30" s="430">
        <v>9.9999999999999995E-7</v>
      </c>
      <c r="E30" s="445">
        <v>-0.3</v>
      </c>
      <c r="F30" s="415">
        <f t="shared" si="6"/>
        <v>0</v>
      </c>
      <c r="H30" s="413"/>
      <c r="I30" s="427">
        <v>60</v>
      </c>
      <c r="J30" s="430">
        <v>-3.2</v>
      </c>
      <c r="K30" s="445">
        <v>-4.3</v>
      </c>
      <c r="L30" s="415">
        <f t="shared" si="7"/>
        <v>0</v>
      </c>
      <c r="O30" s="416"/>
      <c r="P30" s="396"/>
    </row>
    <row r="31" spans="1:16" ht="13" x14ac:dyDescent="0.3">
      <c r="A31" s="1200"/>
      <c r="B31" s="413"/>
      <c r="C31" s="427">
        <v>35</v>
      </c>
      <c r="D31" s="430">
        <v>-0.3</v>
      </c>
      <c r="E31" s="445">
        <v>-0.5</v>
      </c>
      <c r="F31" s="415">
        <f t="shared" si="6"/>
        <v>0</v>
      </c>
      <c r="H31" s="413"/>
      <c r="I31" s="427">
        <v>70</v>
      </c>
      <c r="J31" s="430">
        <v>-2</v>
      </c>
      <c r="K31" s="445">
        <v>-3.6</v>
      </c>
      <c r="L31" s="415">
        <f t="shared" si="7"/>
        <v>0</v>
      </c>
      <c r="O31" s="416"/>
      <c r="P31" s="396"/>
    </row>
    <row r="32" spans="1:16" ht="13" x14ac:dyDescent="0.3">
      <c r="A32" s="1200"/>
      <c r="B32" s="413"/>
      <c r="C32" s="427">
        <v>37</v>
      </c>
      <c r="D32" s="430">
        <v>-0.2</v>
      </c>
      <c r="E32" s="445">
        <v>-0.6</v>
      </c>
      <c r="F32" s="415">
        <f t="shared" si="6"/>
        <v>0</v>
      </c>
      <c r="H32" s="413"/>
      <c r="I32" s="427">
        <v>80</v>
      </c>
      <c r="J32" s="430">
        <v>-0.8</v>
      </c>
      <c r="K32" s="445">
        <v>-2.9</v>
      </c>
      <c r="L32" s="415">
        <f t="shared" si="7"/>
        <v>0</v>
      </c>
      <c r="O32" s="416"/>
      <c r="P32" s="396"/>
    </row>
    <row r="33" spans="1:16" ht="13.5" thickBot="1" x14ac:dyDescent="0.35">
      <c r="A33" s="1201"/>
      <c r="B33" s="413"/>
      <c r="C33" s="427">
        <v>40</v>
      </c>
      <c r="D33" s="430">
        <v>0.2</v>
      </c>
      <c r="E33" s="445">
        <v>-0.7</v>
      </c>
      <c r="F33" s="415">
        <f t="shared" si="6"/>
        <v>0</v>
      </c>
      <c r="G33" s="432"/>
      <c r="H33" s="413"/>
      <c r="I33" s="427">
        <v>90</v>
      </c>
      <c r="J33" s="430">
        <v>0.3</v>
      </c>
      <c r="K33" s="445">
        <v>-2</v>
      </c>
      <c r="L33" s="415">
        <f t="shared" si="7"/>
        <v>0</v>
      </c>
      <c r="M33" s="432"/>
      <c r="N33" s="432"/>
      <c r="O33" s="433"/>
      <c r="P33" s="396"/>
    </row>
    <row r="34" spans="1:16" ht="13.5" thickBot="1" x14ac:dyDescent="0.35">
      <c r="A34" s="441"/>
      <c r="B34" s="441"/>
      <c r="H34" s="446"/>
      <c r="O34" s="416"/>
      <c r="P34" s="396"/>
    </row>
    <row r="35" spans="1:16" ht="13.5" thickBot="1" x14ac:dyDescent="0.35">
      <c r="A35" s="1180">
        <v>4</v>
      </c>
      <c r="B35" s="1183" t="s">
        <v>298</v>
      </c>
      <c r="C35" s="1184"/>
      <c r="D35" s="1184"/>
      <c r="E35" s="1184"/>
      <c r="F35" s="1185"/>
      <c r="G35" s="398"/>
      <c r="H35" s="1183" t="str">
        <f>B35</f>
        <v>KOREKSI KIMO THERMOHYGROMETER 15062872</v>
      </c>
      <c r="I35" s="1184"/>
      <c r="J35" s="1184"/>
      <c r="K35" s="1184"/>
      <c r="L35" s="1185"/>
      <c r="M35" s="398"/>
      <c r="N35" s="1186" t="s">
        <v>167</v>
      </c>
      <c r="O35" s="1187"/>
      <c r="P35" s="396"/>
    </row>
    <row r="36" spans="1:16" ht="13.5" thickBot="1" x14ac:dyDescent="0.35">
      <c r="A36" s="1181"/>
      <c r="B36" s="1188" t="s">
        <v>220</v>
      </c>
      <c r="C36" s="1189"/>
      <c r="D36" s="1190" t="s">
        <v>253</v>
      </c>
      <c r="E36" s="1191"/>
      <c r="F36" s="1192" t="s">
        <v>222</v>
      </c>
      <c r="H36" s="1188" t="s">
        <v>221</v>
      </c>
      <c r="I36" s="1189"/>
      <c r="J36" s="1190" t="s">
        <v>253</v>
      </c>
      <c r="K36" s="1191"/>
      <c r="L36" s="1192" t="s">
        <v>222</v>
      </c>
      <c r="N36" s="447" t="s">
        <v>220</v>
      </c>
      <c r="O36" s="448">
        <v>0.6</v>
      </c>
      <c r="P36" s="396"/>
    </row>
    <row r="37" spans="1:16" ht="15" thickBot="1" x14ac:dyDescent="0.35">
      <c r="A37" s="1181"/>
      <c r="B37" s="1176" t="s">
        <v>441</v>
      </c>
      <c r="C37" s="1177"/>
      <c r="D37" s="407">
        <v>2019</v>
      </c>
      <c r="E37" s="449">
        <v>2017</v>
      </c>
      <c r="F37" s="1193"/>
      <c r="H37" s="1178" t="s">
        <v>140</v>
      </c>
      <c r="I37" s="1179"/>
      <c r="J37" s="409">
        <f>D37</f>
        <v>2019</v>
      </c>
      <c r="K37" s="450">
        <f>E37</f>
        <v>2017</v>
      </c>
      <c r="L37" s="1193"/>
      <c r="N37" s="451" t="s">
        <v>140</v>
      </c>
      <c r="O37" s="452">
        <v>2.6</v>
      </c>
      <c r="P37" s="396"/>
    </row>
    <row r="38" spans="1:16" ht="13" x14ac:dyDescent="0.3">
      <c r="A38" s="1181"/>
      <c r="C38" s="453">
        <v>15</v>
      </c>
      <c r="D38" s="418">
        <v>-0.2</v>
      </c>
      <c r="E38" s="454">
        <v>-0.1</v>
      </c>
      <c r="F38" s="455">
        <f t="shared" ref="F38:F44" si="8">0.5*(MAX(E38:E38)-MIN(E38:E38))</f>
        <v>0</v>
      </c>
      <c r="H38" s="441"/>
      <c r="I38" s="453">
        <v>35</v>
      </c>
      <c r="J38" s="418">
        <v>-4.5</v>
      </c>
      <c r="K38" s="454">
        <v>-1.7</v>
      </c>
      <c r="L38" s="455">
        <f t="shared" ref="L38:L44" si="9">0.5*(MAX(K38:K38)-MIN(K38:K38))</f>
        <v>0</v>
      </c>
      <c r="O38" s="416"/>
      <c r="P38" s="396"/>
    </row>
    <row r="39" spans="1:16" ht="13" x14ac:dyDescent="0.3">
      <c r="A39" s="1181"/>
      <c r="C39" s="456">
        <v>20</v>
      </c>
      <c r="D39" s="424">
        <v>-0.1</v>
      </c>
      <c r="E39" s="414">
        <v>-0.3</v>
      </c>
      <c r="F39" s="457">
        <f t="shared" si="8"/>
        <v>0</v>
      </c>
      <c r="H39" s="441"/>
      <c r="I39" s="456">
        <v>40</v>
      </c>
      <c r="J39" s="424">
        <v>-4.4000000000000004</v>
      </c>
      <c r="K39" s="414">
        <v>-1.5</v>
      </c>
      <c r="L39" s="457">
        <f t="shared" si="9"/>
        <v>0</v>
      </c>
      <c r="O39" s="416"/>
      <c r="P39" s="396"/>
    </row>
    <row r="40" spans="1:16" ht="13" x14ac:dyDescent="0.3">
      <c r="A40" s="1181"/>
      <c r="C40" s="456">
        <v>25</v>
      </c>
      <c r="D40" s="424">
        <v>-0.1</v>
      </c>
      <c r="E40" s="414">
        <v>-0.5</v>
      </c>
      <c r="F40" s="457">
        <f t="shared" si="8"/>
        <v>0</v>
      </c>
      <c r="H40" s="441"/>
      <c r="I40" s="456">
        <v>50</v>
      </c>
      <c r="J40" s="424">
        <v>-4.3</v>
      </c>
      <c r="K40" s="414">
        <v>-1</v>
      </c>
      <c r="L40" s="457">
        <f t="shared" si="9"/>
        <v>0</v>
      </c>
      <c r="O40" s="416"/>
      <c r="P40" s="396"/>
    </row>
    <row r="41" spans="1:16" ht="13" x14ac:dyDescent="0.3">
      <c r="A41" s="1181"/>
      <c r="C41" s="458">
        <v>30</v>
      </c>
      <c r="D41" s="430">
        <v>-0.1</v>
      </c>
      <c r="E41" s="428">
        <v>-0.6</v>
      </c>
      <c r="F41" s="457">
        <f t="shared" si="8"/>
        <v>0</v>
      </c>
      <c r="H41" s="441"/>
      <c r="I41" s="458">
        <v>60</v>
      </c>
      <c r="J41" s="430">
        <v>-4.2</v>
      </c>
      <c r="K41" s="428">
        <v>-0.3</v>
      </c>
      <c r="L41" s="457">
        <f t="shared" si="9"/>
        <v>0</v>
      </c>
      <c r="O41" s="416"/>
      <c r="P41" s="396"/>
    </row>
    <row r="42" spans="1:16" ht="13" x14ac:dyDescent="0.3">
      <c r="A42" s="1181"/>
      <c r="C42" s="458">
        <v>35</v>
      </c>
      <c r="D42" s="430">
        <v>-0.3</v>
      </c>
      <c r="E42" s="428">
        <v>-0.6</v>
      </c>
      <c r="F42" s="457">
        <f t="shared" si="8"/>
        <v>0</v>
      </c>
      <c r="H42" s="441"/>
      <c r="I42" s="458">
        <v>70</v>
      </c>
      <c r="J42" s="430">
        <v>-4</v>
      </c>
      <c r="K42" s="428">
        <v>0.7</v>
      </c>
      <c r="L42" s="457">
        <f t="shared" si="9"/>
        <v>0</v>
      </c>
      <c r="O42" s="416"/>
      <c r="P42" s="396"/>
    </row>
    <row r="43" spans="1:16" ht="13" x14ac:dyDescent="0.3">
      <c r="A43" s="1181"/>
      <c r="C43" s="458">
        <v>37</v>
      </c>
      <c r="D43" s="430">
        <v>-0.4</v>
      </c>
      <c r="E43" s="428">
        <v>-0.6</v>
      </c>
      <c r="F43" s="457">
        <f t="shared" si="8"/>
        <v>0</v>
      </c>
      <c r="H43" s="441"/>
      <c r="I43" s="458">
        <v>80</v>
      </c>
      <c r="J43" s="430">
        <v>-3.8</v>
      </c>
      <c r="K43" s="428">
        <v>1.9</v>
      </c>
      <c r="L43" s="457">
        <f t="shared" si="9"/>
        <v>0</v>
      </c>
      <c r="O43" s="416"/>
      <c r="P43" s="396"/>
    </row>
    <row r="44" spans="1:16" ht="13.5" thickBot="1" x14ac:dyDescent="0.35">
      <c r="A44" s="1182"/>
      <c r="B44" s="432"/>
      <c r="C44" s="459">
        <v>40</v>
      </c>
      <c r="D44" s="436">
        <v>-0.5</v>
      </c>
      <c r="E44" s="428">
        <v>-0.6</v>
      </c>
      <c r="F44" s="460">
        <f t="shared" si="8"/>
        <v>0</v>
      </c>
      <c r="G44" s="432"/>
      <c r="H44" s="461"/>
      <c r="I44" s="459">
        <v>90</v>
      </c>
      <c r="J44" s="436">
        <v>-3.5</v>
      </c>
      <c r="K44" s="462">
        <v>3.3</v>
      </c>
      <c r="L44" s="460">
        <f t="shared" si="9"/>
        <v>0</v>
      </c>
      <c r="M44" s="432"/>
      <c r="N44" s="432"/>
      <c r="O44" s="433"/>
      <c r="P44" s="396"/>
    </row>
    <row r="45" spans="1:16" ht="13.5" thickBot="1" x14ac:dyDescent="0.35">
      <c r="A45" s="441"/>
      <c r="B45" s="441"/>
      <c r="O45" s="416"/>
      <c r="P45" s="396"/>
    </row>
    <row r="46" spans="1:16" ht="13.5" thickBot="1" x14ac:dyDescent="0.35">
      <c r="A46" s="1180">
        <v>5</v>
      </c>
      <c r="B46" s="1183" t="s">
        <v>299</v>
      </c>
      <c r="C46" s="1184"/>
      <c r="D46" s="1184"/>
      <c r="E46" s="1184"/>
      <c r="F46" s="1185"/>
      <c r="G46" s="398"/>
      <c r="H46" s="1183" t="str">
        <f>B46</f>
        <v>KOREKSI KIMO THERMOHYGROMETER 15062875</v>
      </c>
      <c r="I46" s="1184"/>
      <c r="J46" s="1184"/>
      <c r="K46" s="1184"/>
      <c r="L46" s="1185"/>
      <c r="M46" s="398"/>
      <c r="N46" s="1186" t="s">
        <v>167</v>
      </c>
      <c r="O46" s="1187"/>
      <c r="P46" s="396"/>
    </row>
    <row r="47" spans="1:16" ht="13.5" thickBot="1" x14ac:dyDescent="0.35">
      <c r="A47" s="1181"/>
      <c r="B47" s="1188" t="s">
        <v>220</v>
      </c>
      <c r="C47" s="1189"/>
      <c r="D47" s="1190" t="s">
        <v>253</v>
      </c>
      <c r="E47" s="1191"/>
      <c r="F47" s="1192" t="s">
        <v>222</v>
      </c>
      <c r="H47" s="1188" t="s">
        <v>221</v>
      </c>
      <c r="I47" s="1189"/>
      <c r="J47" s="1190" t="s">
        <v>253</v>
      </c>
      <c r="K47" s="1191"/>
      <c r="L47" s="1192" t="s">
        <v>222</v>
      </c>
      <c r="N47" s="447" t="s">
        <v>220</v>
      </c>
      <c r="O47" s="448">
        <v>0.4</v>
      </c>
      <c r="P47" s="396"/>
    </row>
    <row r="48" spans="1:16" ht="15" thickBot="1" x14ac:dyDescent="0.35">
      <c r="A48" s="1181"/>
      <c r="B48" s="1176" t="s">
        <v>441</v>
      </c>
      <c r="C48" s="1177"/>
      <c r="D48" s="449">
        <v>2020</v>
      </c>
      <c r="E48" s="449">
        <v>2017</v>
      </c>
      <c r="F48" s="1193"/>
      <c r="H48" s="1178" t="s">
        <v>140</v>
      </c>
      <c r="I48" s="1179"/>
      <c r="J48" s="450">
        <f>D48</f>
        <v>2020</v>
      </c>
      <c r="K48" s="450">
        <f>E48</f>
        <v>2017</v>
      </c>
      <c r="L48" s="1193"/>
      <c r="N48" s="451" t="s">
        <v>140</v>
      </c>
      <c r="O48" s="452">
        <v>2.8</v>
      </c>
      <c r="P48" s="396"/>
    </row>
    <row r="49" spans="1:16" ht="13" x14ac:dyDescent="0.3">
      <c r="A49" s="1181"/>
      <c r="C49" s="453">
        <v>15</v>
      </c>
      <c r="D49" s="454">
        <v>-0.3</v>
      </c>
      <c r="E49" s="454">
        <v>0.3</v>
      </c>
      <c r="F49" s="455">
        <f t="shared" ref="F49:F55" si="10">0.5*(MAX(D49:E49)-MIN(D49:E49))</f>
        <v>0.3</v>
      </c>
      <c r="H49" s="441"/>
      <c r="I49" s="453">
        <v>35</v>
      </c>
      <c r="J49" s="454">
        <v>-7.7</v>
      </c>
      <c r="K49" s="454">
        <v>-9.6</v>
      </c>
      <c r="L49" s="455">
        <f t="shared" ref="L49:L55" si="11">0.5*(MAX(J49:K49)-MIN(J49:K49))</f>
        <v>0.94999999999999973</v>
      </c>
      <c r="O49" s="416"/>
      <c r="P49" s="396"/>
    </row>
    <row r="50" spans="1:16" ht="13" x14ac:dyDescent="0.3">
      <c r="A50" s="1181"/>
      <c r="C50" s="456">
        <v>20</v>
      </c>
      <c r="D50" s="414">
        <v>0.1</v>
      </c>
      <c r="E50" s="414">
        <v>0.3</v>
      </c>
      <c r="F50" s="457">
        <f t="shared" si="10"/>
        <v>9.9999999999999992E-2</v>
      </c>
      <c r="H50" s="441"/>
      <c r="I50" s="456">
        <v>40</v>
      </c>
      <c r="J50" s="414">
        <v>-7.2</v>
      </c>
      <c r="K50" s="414">
        <v>-8</v>
      </c>
      <c r="L50" s="457">
        <f t="shared" si="11"/>
        <v>0.39999999999999991</v>
      </c>
      <c r="O50" s="416"/>
      <c r="P50" s="396"/>
    </row>
    <row r="51" spans="1:16" ht="13" x14ac:dyDescent="0.3">
      <c r="A51" s="1181"/>
      <c r="C51" s="456">
        <v>25</v>
      </c>
      <c r="D51" s="414">
        <v>0.4</v>
      </c>
      <c r="E51" s="414">
        <v>0.2</v>
      </c>
      <c r="F51" s="457">
        <f t="shared" si="10"/>
        <v>0.1</v>
      </c>
      <c r="H51" s="441"/>
      <c r="I51" s="456">
        <v>50</v>
      </c>
      <c r="J51" s="414">
        <v>-6.2</v>
      </c>
      <c r="K51" s="414">
        <v>-6.2</v>
      </c>
      <c r="L51" s="457">
        <f t="shared" si="11"/>
        <v>0</v>
      </c>
      <c r="O51" s="416"/>
      <c r="P51" s="396"/>
    </row>
    <row r="52" spans="1:16" ht="13" x14ac:dyDescent="0.3">
      <c r="A52" s="1181"/>
      <c r="C52" s="458">
        <v>30</v>
      </c>
      <c r="D52" s="428">
        <v>0.6</v>
      </c>
      <c r="E52" s="428">
        <v>0.1</v>
      </c>
      <c r="F52" s="457">
        <f t="shared" si="10"/>
        <v>0.25</v>
      </c>
      <c r="H52" s="441"/>
      <c r="I52" s="458">
        <v>60</v>
      </c>
      <c r="J52" s="428">
        <v>-5.2</v>
      </c>
      <c r="K52" s="428">
        <v>-4.2</v>
      </c>
      <c r="L52" s="457">
        <f t="shared" si="11"/>
        <v>0.5</v>
      </c>
      <c r="O52" s="416"/>
      <c r="P52" s="396"/>
    </row>
    <row r="53" spans="1:16" ht="13" x14ac:dyDescent="0.3">
      <c r="A53" s="1181"/>
      <c r="C53" s="458">
        <v>35</v>
      </c>
      <c r="D53" s="428">
        <v>0.7</v>
      </c>
      <c r="E53" s="463">
        <v>9.9999999999999995E-7</v>
      </c>
      <c r="F53" s="457">
        <f t="shared" si="10"/>
        <v>0.34999949999999996</v>
      </c>
      <c r="H53" s="441"/>
      <c r="I53" s="458">
        <v>70</v>
      </c>
      <c r="J53" s="428">
        <v>-4.0999999999999996</v>
      </c>
      <c r="K53" s="428">
        <v>-2.1</v>
      </c>
      <c r="L53" s="457">
        <f t="shared" si="11"/>
        <v>0.99999999999999978</v>
      </c>
      <c r="O53" s="416"/>
      <c r="P53" s="396"/>
    </row>
    <row r="54" spans="1:16" ht="13" x14ac:dyDescent="0.3">
      <c r="A54" s="1181"/>
      <c r="C54" s="458">
        <v>37</v>
      </c>
      <c r="D54" s="428">
        <v>0.7</v>
      </c>
      <c r="E54" s="463">
        <v>9.9999999999999995E-7</v>
      </c>
      <c r="F54" s="457">
        <f t="shared" si="10"/>
        <v>0.34999949999999996</v>
      </c>
      <c r="H54" s="441"/>
      <c r="I54" s="458">
        <v>80</v>
      </c>
      <c r="J54" s="428">
        <v>-3</v>
      </c>
      <c r="K54" s="428">
        <v>0.2</v>
      </c>
      <c r="L54" s="457">
        <f t="shared" si="11"/>
        <v>1.6</v>
      </c>
      <c r="O54" s="416"/>
      <c r="P54" s="396"/>
    </row>
    <row r="55" spans="1:16" ht="13.5" thickBot="1" x14ac:dyDescent="0.35">
      <c r="A55" s="1182"/>
      <c r="B55" s="432"/>
      <c r="C55" s="459">
        <v>40</v>
      </c>
      <c r="D55" s="462">
        <v>0.7</v>
      </c>
      <c r="E55" s="462">
        <v>-0.1</v>
      </c>
      <c r="F55" s="460">
        <f t="shared" si="10"/>
        <v>0.39999999999999997</v>
      </c>
      <c r="G55" s="432"/>
      <c r="H55" s="461"/>
      <c r="I55" s="459">
        <v>90</v>
      </c>
      <c r="J55" s="462">
        <v>-1.8</v>
      </c>
      <c r="K55" s="462">
        <v>2.7</v>
      </c>
      <c r="L55" s="460">
        <f t="shared" si="11"/>
        <v>2.25</v>
      </c>
      <c r="M55" s="432"/>
      <c r="N55" s="432"/>
      <c r="O55" s="433"/>
      <c r="P55" s="396"/>
    </row>
    <row r="56" spans="1:16" ht="13.5" thickBot="1" x14ac:dyDescent="0.35">
      <c r="A56" s="464"/>
      <c r="B56" s="465"/>
      <c r="C56" s="465"/>
      <c r="D56" s="465"/>
      <c r="E56" s="466"/>
      <c r="F56" s="467"/>
      <c r="G56" s="468"/>
      <c r="H56" s="465"/>
      <c r="I56" s="465"/>
      <c r="J56" s="465"/>
      <c r="K56" s="466"/>
      <c r="L56" s="467"/>
      <c r="O56" s="416"/>
      <c r="P56" s="396"/>
    </row>
    <row r="57" spans="1:16" ht="13.5" thickBot="1" x14ac:dyDescent="0.35">
      <c r="A57" s="1180">
        <v>6</v>
      </c>
      <c r="B57" s="1183" t="s">
        <v>300</v>
      </c>
      <c r="C57" s="1184"/>
      <c r="D57" s="1184"/>
      <c r="E57" s="1184"/>
      <c r="F57" s="1185"/>
      <c r="G57" s="398"/>
      <c r="H57" s="1183" t="str">
        <f>B57</f>
        <v>KOREKSI GREISINGER 34903046</v>
      </c>
      <c r="I57" s="1184"/>
      <c r="J57" s="1184"/>
      <c r="K57" s="1184"/>
      <c r="L57" s="1185"/>
      <c r="M57" s="398"/>
      <c r="N57" s="1186" t="s">
        <v>167</v>
      </c>
      <c r="O57" s="1187"/>
      <c r="P57" s="396"/>
    </row>
    <row r="58" spans="1:16" ht="13.5" thickBot="1" x14ac:dyDescent="0.35">
      <c r="A58" s="1181"/>
      <c r="B58" s="1188" t="s">
        <v>220</v>
      </c>
      <c r="C58" s="1189"/>
      <c r="D58" s="1190" t="s">
        <v>253</v>
      </c>
      <c r="E58" s="1191"/>
      <c r="F58" s="1192" t="s">
        <v>222</v>
      </c>
      <c r="H58" s="1188" t="s">
        <v>221</v>
      </c>
      <c r="I58" s="1189"/>
      <c r="J58" s="1190" t="s">
        <v>253</v>
      </c>
      <c r="K58" s="1191"/>
      <c r="L58" s="1192" t="s">
        <v>222</v>
      </c>
      <c r="N58" s="447" t="s">
        <v>220</v>
      </c>
      <c r="O58" s="448">
        <v>0.8</v>
      </c>
      <c r="P58" s="396"/>
    </row>
    <row r="59" spans="1:16" ht="15" thickBot="1" x14ac:dyDescent="0.35">
      <c r="A59" s="1181"/>
      <c r="B59" s="1176" t="s">
        <v>441</v>
      </c>
      <c r="C59" s="1177"/>
      <c r="D59" s="449">
        <v>2019</v>
      </c>
      <c r="E59" s="449">
        <v>2018</v>
      </c>
      <c r="F59" s="1193"/>
      <c r="H59" s="1178" t="s">
        <v>140</v>
      </c>
      <c r="I59" s="1179"/>
      <c r="J59" s="450">
        <f>D59</f>
        <v>2019</v>
      </c>
      <c r="K59" s="450">
        <f>E59</f>
        <v>2018</v>
      </c>
      <c r="L59" s="1193"/>
      <c r="N59" s="451" t="s">
        <v>140</v>
      </c>
      <c r="O59" s="469">
        <v>2.6</v>
      </c>
      <c r="P59" s="396"/>
    </row>
    <row r="60" spans="1:16" ht="13" x14ac:dyDescent="0.3">
      <c r="A60" s="1181"/>
      <c r="C60" s="453">
        <v>15</v>
      </c>
      <c r="D60" s="454">
        <v>0.4</v>
      </c>
      <c r="E60" s="454">
        <v>0.4</v>
      </c>
      <c r="F60" s="455">
        <f t="shared" ref="F60:F66" si="12">0.5*(MAX(D60:E60)-MIN(D60:E60))</f>
        <v>0</v>
      </c>
      <c r="H60" s="441"/>
      <c r="I60" s="453">
        <v>30</v>
      </c>
      <c r="J60" s="454">
        <v>-1.5</v>
      </c>
      <c r="K60" s="454">
        <v>-4.9000000000000004</v>
      </c>
      <c r="L60" s="455">
        <f t="shared" ref="L60:L66" si="13">0.5*(MAX(J60:K60)-MIN(J60:K60))</f>
        <v>1.7000000000000002</v>
      </c>
      <c r="O60" s="416"/>
      <c r="P60" s="396"/>
    </row>
    <row r="61" spans="1:16" ht="13" x14ac:dyDescent="0.3">
      <c r="A61" s="1181"/>
      <c r="C61" s="456">
        <v>20</v>
      </c>
      <c r="D61" s="414">
        <v>0.3</v>
      </c>
      <c r="E61" s="414">
        <v>0.2</v>
      </c>
      <c r="F61" s="457">
        <f t="shared" si="12"/>
        <v>4.9999999999999989E-2</v>
      </c>
      <c r="H61" s="441"/>
      <c r="I61" s="456">
        <v>40</v>
      </c>
      <c r="J61" s="414">
        <v>-3.8</v>
      </c>
      <c r="K61" s="414">
        <v>-3.4</v>
      </c>
      <c r="L61" s="457">
        <f t="shared" si="13"/>
        <v>0.19999999999999996</v>
      </c>
      <c r="O61" s="416"/>
      <c r="P61" s="396"/>
    </row>
    <row r="62" spans="1:16" ht="13" x14ac:dyDescent="0.3">
      <c r="A62" s="1181"/>
      <c r="C62" s="456">
        <v>25</v>
      </c>
      <c r="D62" s="414">
        <v>0.2</v>
      </c>
      <c r="E62" s="414">
        <v>-0.1</v>
      </c>
      <c r="F62" s="457">
        <f t="shared" si="12"/>
        <v>0.15000000000000002</v>
      </c>
      <c r="H62" s="441"/>
      <c r="I62" s="456">
        <v>50</v>
      </c>
      <c r="J62" s="414">
        <v>-5.4</v>
      </c>
      <c r="K62" s="414">
        <v>-2.5</v>
      </c>
      <c r="L62" s="457">
        <f t="shared" si="13"/>
        <v>1.4500000000000002</v>
      </c>
      <c r="O62" s="416"/>
      <c r="P62" s="396"/>
    </row>
    <row r="63" spans="1:16" ht="13" x14ac:dyDescent="0.3">
      <c r="A63" s="1181"/>
      <c r="C63" s="458">
        <v>30</v>
      </c>
      <c r="D63" s="427">
        <v>0.1</v>
      </c>
      <c r="E63" s="427">
        <v>-0.5</v>
      </c>
      <c r="F63" s="457">
        <f t="shared" si="12"/>
        <v>0.3</v>
      </c>
      <c r="H63" s="441"/>
      <c r="I63" s="458">
        <v>60</v>
      </c>
      <c r="J63" s="427">
        <v>-6.4</v>
      </c>
      <c r="K63" s="427">
        <v>-2</v>
      </c>
      <c r="L63" s="457">
        <f t="shared" si="13"/>
        <v>2.2000000000000002</v>
      </c>
      <c r="O63" s="416"/>
      <c r="P63" s="396"/>
    </row>
    <row r="64" spans="1:16" ht="13" x14ac:dyDescent="0.3">
      <c r="A64" s="1181"/>
      <c r="C64" s="458">
        <v>35</v>
      </c>
      <c r="D64" s="427">
        <v>0.1</v>
      </c>
      <c r="E64" s="427">
        <v>-0.9</v>
      </c>
      <c r="F64" s="457">
        <f t="shared" si="12"/>
        <v>0.5</v>
      </c>
      <c r="H64" s="441"/>
      <c r="I64" s="458">
        <v>70</v>
      </c>
      <c r="J64" s="427">
        <v>-6.7</v>
      </c>
      <c r="K64" s="427">
        <v>-2.1</v>
      </c>
      <c r="L64" s="457">
        <f t="shared" si="13"/>
        <v>2.2999999999999998</v>
      </c>
      <c r="O64" s="416"/>
      <c r="P64" s="396"/>
    </row>
    <row r="65" spans="1:16" ht="13" x14ac:dyDescent="0.3">
      <c r="A65" s="1181"/>
      <c r="C65" s="458">
        <v>37</v>
      </c>
      <c r="D65" s="427">
        <v>0.1</v>
      </c>
      <c r="E65" s="427">
        <v>-1.1000000000000001</v>
      </c>
      <c r="F65" s="457">
        <f t="shared" si="12"/>
        <v>0.60000000000000009</v>
      </c>
      <c r="H65" s="441"/>
      <c r="I65" s="458">
        <v>80</v>
      </c>
      <c r="J65" s="427">
        <v>-6.3</v>
      </c>
      <c r="K65" s="427">
        <v>-2.6</v>
      </c>
      <c r="L65" s="457">
        <f t="shared" si="13"/>
        <v>1.8499999999999999</v>
      </c>
      <c r="O65" s="416"/>
      <c r="P65" s="396"/>
    </row>
    <row r="66" spans="1:16" ht="13.5" thickBot="1" x14ac:dyDescent="0.35">
      <c r="A66" s="1182"/>
      <c r="B66" s="432"/>
      <c r="C66" s="459">
        <v>40</v>
      </c>
      <c r="D66" s="470">
        <v>0.1</v>
      </c>
      <c r="E66" s="470">
        <v>-1.4</v>
      </c>
      <c r="F66" s="460">
        <f t="shared" si="12"/>
        <v>0.75</v>
      </c>
      <c r="G66" s="432"/>
      <c r="H66" s="461"/>
      <c r="I66" s="459">
        <v>90</v>
      </c>
      <c r="J66" s="470">
        <v>-5.2</v>
      </c>
      <c r="K66" s="470">
        <v>-2.6</v>
      </c>
      <c r="L66" s="460">
        <f t="shared" si="13"/>
        <v>1.3</v>
      </c>
      <c r="M66" s="432"/>
      <c r="N66" s="432"/>
      <c r="O66" s="433"/>
      <c r="P66" s="396"/>
    </row>
    <row r="67" spans="1:16" ht="13.5" thickBot="1" x14ac:dyDescent="0.35">
      <c r="A67" s="464"/>
      <c r="B67" s="465"/>
      <c r="C67" s="465"/>
      <c r="D67" s="465"/>
      <c r="E67" s="466"/>
      <c r="F67" s="467"/>
      <c r="G67" s="468"/>
      <c r="H67" s="465"/>
      <c r="I67" s="465"/>
      <c r="J67" s="465"/>
      <c r="K67" s="466"/>
      <c r="L67" s="467"/>
      <c r="O67" s="416"/>
      <c r="P67" s="396"/>
    </row>
    <row r="68" spans="1:16" ht="13.5" thickBot="1" x14ac:dyDescent="0.35">
      <c r="A68" s="1180">
        <v>7</v>
      </c>
      <c r="B68" s="1183" t="s">
        <v>301</v>
      </c>
      <c r="C68" s="1184"/>
      <c r="D68" s="1184"/>
      <c r="E68" s="1184"/>
      <c r="F68" s="1185"/>
      <c r="G68" s="398"/>
      <c r="H68" s="1183" t="str">
        <f>B68</f>
        <v>KOREKSI GREISINGER 34903053</v>
      </c>
      <c r="I68" s="1184"/>
      <c r="J68" s="1184"/>
      <c r="K68" s="1184"/>
      <c r="L68" s="1185"/>
      <c r="M68" s="398"/>
      <c r="N68" s="1186" t="s">
        <v>167</v>
      </c>
      <c r="O68" s="1187"/>
      <c r="P68" s="396"/>
    </row>
    <row r="69" spans="1:16" ht="13.5" thickBot="1" x14ac:dyDescent="0.35">
      <c r="A69" s="1181"/>
      <c r="B69" s="1188" t="s">
        <v>220</v>
      </c>
      <c r="C69" s="1189"/>
      <c r="D69" s="1190" t="s">
        <v>253</v>
      </c>
      <c r="E69" s="1191"/>
      <c r="F69" s="1192" t="s">
        <v>222</v>
      </c>
      <c r="H69" s="1188" t="s">
        <v>221</v>
      </c>
      <c r="I69" s="1189"/>
      <c r="J69" s="1190" t="s">
        <v>253</v>
      </c>
      <c r="K69" s="1191"/>
      <c r="L69" s="1192" t="s">
        <v>222</v>
      </c>
      <c r="N69" s="447" t="s">
        <v>220</v>
      </c>
      <c r="O69" s="448">
        <v>0.3</v>
      </c>
      <c r="P69" s="396"/>
    </row>
    <row r="70" spans="1:16" ht="15" thickBot="1" x14ac:dyDescent="0.35">
      <c r="A70" s="1181"/>
      <c r="B70" s="1176" t="s">
        <v>441</v>
      </c>
      <c r="C70" s="1177"/>
      <c r="D70" s="407">
        <v>2021</v>
      </c>
      <c r="E70" s="449">
        <v>2018</v>
      </c>
      <c r="F70" s="1193"/>
      <c r="H70" s="1178" t="s">
        <v>140</v>
      </c>
      <c r="I70" s="1179"/>
      <c r="J70" s="409">
        <f>'DB Thermohygro'!D70</f>
        <v>2021</v>
      </c>
      <c r="K70" s="450">
        <f>E70</f>
        <v>2018</v>
      </c>
      <c r="L70" s="1193"/>
      <c r="N70" s="451" t="s">
        <v>140</v>
      </c>
      <c r="O70" s="452">
        <v>2.2999999999999998</v>
      </c>
      <c r="P70" s="396"/>
    </row>
    <row r="71" spans="1:16" ht="13" x14ac:dyDescent="0.3">
      <c r="A71" s="1181"/>
      <c r="C71" s="453">
        <v>15</v>
      </c>
      <c r="D71" s="418">
        <v>0.1</v>
      </c>
      <c r="E71" s="454">
        <v>0.3</v>
      </c>
      <c r="F71" s="455">
        <f t="shared" ref="F71:F77" si="14">0.5*(MAX(E71:E71)-MIN(E71:E71))</f>
        <v>0</v>
      </c>
      <c r="H71" s="441"/>
      <c r="I71" s="453">
        <v>30</v>
      </c>
      <c r="J71" s="418">
        <v>-1.9</v>
      </c>
      <c r="K71" s="454">
        <v>1.8</v>
      </c>
      <c r="L71" s="455">
        <f t="shared" ref="L71:L77" si="15">0.5*(MAX(K71:K71)-MIN(K71:K71))</f>
        <v>0</v>
      </c>
      <c r="O71" s="416"/>
      <c r="P71" s="396"/>
    </row>
    <row r="72" spans="1:16" ht="13" x14ac:dyDescent="0.3">
      <c r="A72" s="1181"/>
      <c r="C72" s="456">
        <v>20</v>
      </c>
      <c r="D72" s="424">
        <v>9.9999999999999995E-7</v>
      </c>
      <c r="E72" s="414">
        <v>0.1</v>
      </c>
      <c r="F72" s="457">
        <f t="shared" si="14"/>
        <v>0</v>
      </c>
      <c r="H72" s="441"/>
      <c r="I72" s="456">
        <v>40</v>
      </c>
      <c r="J72" s="424">
        <v>-1.9</v>
      </c>
      <c r="K72" s="414">
        <v>1.2</v>
      </c>
      <c r="L72" s="457">
        <f t="shared" si="15"/>
        <v>0</v>
      </c>
      <c r="O72" s="416"/>
      <c r="P72" s="396"/>
    </row>
    <row r="73" spans="1:16" ht="13" x14ac:dyDescent="0.3">
      <c r="A73" s="1181"/>
      <c r="C73" s="456">
        <v>25</v>
      </c>
      <c r="D73" s="424">
        <v>9.9999999999999995E-7</v>
      </c>
      <c r="E73" s="414">
        <v>-0.2</v>
      </c>
      <c r="F73" s="457">
        <f t="shared" si="14"/>
        <v>0</v>
      </c>
      <c r="H73" s="441"/>
      <c r="I73" s="456">
        <v>50</v>
      </c>
      <c r="J73" s="424">
        <v>-1.9</v>
      </c>
      <c r="K73" s="414">
        <v>0.8</v>
      </c>
      <c r="L73" s="457">
        <f t="shared" si="15"/>
        <v>0</v>
      </c>
      <c r="O73" s="416"/>
      <c r="P73" s="396"/>
    </row>
    <row r="74" spans="1:16" ht="13" x14ac:dyDescent="0.3">
      <c r="A74" s="1181"/>
      <c r="C74" s="458">
        <v>30</v>
      </c>
      <c r="D74" s="430">
        <v>9.9999999999999995E-7</v>
      </c>
      <c r="E74" s="427">
        <v>-0.6</v>
      </c>
      <c r="F74" s="457">
        <f t="shared" si="14"/>
        <v>0</v>
      </c>
      <c r="H74" s="441"/>
      <c r="I74" s="458">
        <v>60</v>
      </c>
      <c r="J74" s="430">
        <v>-2.1</v>
      </c>
      <c r="K74" s="427">
        <v>0.7</v>
      </c>
      <c r="L74" s="457">
        <f t="shared" si="15"/>
        <v>0</v>
      </c>
      <c r="O74" s="416"/>
      <c r="P74" s="396"/>
    </row>
    <row r="75" spans="1:16" ht="13" x14ac:dyDescent="0.3">
      <c r="A75" s="1181"/>
      <c r="C75" s="458">
        <v>35</v>
      </c>
      <c r="D75" s="430">
        <v>9.9999999999999995E-7</v>
      </c>
      <c r="E75" s="427">
        <v>-1.1000000000000001</v>
      </c>
      <c r="F75" s="457">
        <f t="shared" si="14"/>
        <v>0</v>
      </c>
      <c r="H75" s="441"/>
      <c r="I75" s="458">
        <v>70</v>
      </c>
      <c r="J75" s="430">
        <v>-2.2999999999999998</v>
      </c>
      <c r="K75" s="427">
        <v>0.9</v>
      </c>
      <c r="L75" s="457">
        <f t="shared" si="15"/>
        <v>0</v>
      </c>
      <c r="O75" s="416"/>
      <c r="P75" s="396"/>
    </row>
    <row r="76" spans="1:16" ht="13" x14ac:dyDescent="0.3">
      <c r="A76" s="1181"/>
      <c r="C76" s="458">
        <v>37</v>
      </c>
      <c r="D76" s="430">
        <v>9.9999999999999995E-7</v>
      </c>
      <c r="E76" s="427">
        <v>-1.4</v>
      </c>
      <c r="F76" s="457">
        <f t="shared" si="14"/>
        <v>0</v>
      </c>
      <c r="H76" s="441"/>
      <c r="I76" s="458">
        <v>80</v>
      </c>
      <c r="J76" s="430">
        <v>-2.6</v>
      </c>
      <c r="K76" s="427">
        <v>1.2</v>
      </c>
      <c r="L76" s="457">
        <f t="shared" si="15"/>
        <v>0</v>
      </c>
      <c r="O76" s="416"/>
      <c r="P76" s="396"/>
    </row>
    <row r="77" spans="1:16" ht="13.5" thickBot="1" x14ac:dyDescent="0.35">
      <c r="A77" s="1182"/>
      <c r="B77" s="432"/>
      <c r="C77" s="459">
        <v>40</v>
      </c>
      <c r="D77" s="436">
        <v>0.1</v>
      </c>
      <c r="E77" s="470">
        <v>-1.7</v>
      </c>
      <c r="F77" s="460">
        <f t="shared" si="14"/>
        <v>0</v>
      </c>
      <c r="G77" s="432"/>
      <c r="H77" s="461"/>
      <c r="I77" s="459">
        <v>90</v>
      </c>
      <c r="J77" s="436">
        <v>-3</v>
      </c>
      <c r="K77" s="470">
        <v>1.8</v>
      </c>
      <c r="L77" s="460">
        <f t="shared" si="15"/>
        <v>0</v>
      </c>
      <c r="M77" s="432"/>
      <c r="N77" s="432"/>
      <c r="O77" s="433"/>
      <c r="P77" s="396"/>
    </row>
    <row r="78" spans="1:16" ht="13.5" thickBot="1" x14ac:dyDescent="0.35">
      <c r="A78" s="464"/>
      <c r="B78" s="465"/>
      <c r="C78" s="465"/>
      <c r="D78" s="465"/>
      <c r="E78" s="466"/>
      <c r="F78" s="467"/>
      <c r="G78" s="468"/>
      <c r="H78" s="465"/>
      <c r="I78" s="465"/>
      <c r="J78" s="465"/>
      <c r="K78" s="466"/>
      <c r="L78" s="467"/>
      <c r="O78" s="416"/>
      <c r="P78" s="396"/>
    </row>
    <row r="79" spans="1:16" ht="13.5" thickBot="1" x14ac:dyDescent="0.35">
      <c r="A79" s="1180">
        <v>8</v>
      </c>
      <c r="B79" s="1183" t="s">
        <v>302</v>
      </c>
      <c r="C79" s="1184"/>
      <c r="D79" s="1184"/>
      <c r="E79" s="1184"/>
      <c r="F79" s="1185"/>
      <c r="G79" s="398"/>
      <c r="H79" s="1183" t="str">
        <f>B79</f>
        <v>KOREKSI GREISINGER 34903051</v>
      </c>
      <c r="I79" s="1184"/>
      <c r="J79" s="1184"/>
      <c r="K79" s="1184"/>
      <c r="L79" s="1185"/>
      <c r="M79" s="398"/>
      <c r="N79" s="1186" t="s">
        <v>167</v>
      </c>
      <c r="O79" s="1187"/>
      <c r="P79" s="396"/>
    </row>
    <row r="80" spans="1:16" ht="13.5" thickBot="1" x14ac:dyDescent="0.35">
      <c r="A80" s="1181"/>
      <c r="B80" s="1188" t="s">
        <v>220</v>
      </c>
      <c r="C80" s="1189"/>
      <c r="D80" s="1190" t="s">
        <v>253</v>
      </c>
      <c r="E80" s="1191"/>
      <c r="F80" s="1192" t="s">
        <v>222</v>
      </c>
      <c r="H80" s="1188" t="s">
        <v>221</v>
      </c>
      <c r="I80" s="1189"/>
      <c r="J80" s="1190" t="s">
        <v>253</v>
      </c>
      <c r="K80" s="1191"/>
      <c r="L80" s="1192" t="s">
        <v>222</v>
      </c>
      <c r="N80" s="447" t="s">
        <v>220</v>
      </c>
      <c r="O80" s="471">
        <v>0.3</v>
      </c>
      <c r="P80" s="396"/>
    </row>
    <row r="81" spans="1:16" ht="15" thickBot="1" x14ac:dyDescent="0.35">
      <c r="A81" s="1181"/>
      <c r="B81" s="1176" t="s">
        <v>441</v>
      </c>
      <c r="C81" s="1177"/>
      <c r="D81" s="407">
        <v>2021</v>
      </c>
      <c r="E81" s="449">
        <v>2019</v>
      </c>
      <c r="F81" s="1193"/>
      <c r="H81" s="1178" t="s">
        <v>140</v>
      </c>
      <c r="I81" s="1179"/>
      <c r="J81" s="409">
        <f>'DB Thermohygro'!D81</f>
        <v>2021</v>
      </c>
      <c r="K81" s="450">
        <f>E81</f>
        <v>2019</v>
      </c>
      <c r="L81" s="1193"/>
      <c r="N81" s="451" t="s">
        <v>140</v>
      </c>
      <c r="O81" s="469">
        <v>2.6</v>
      </c>
      <c r="P81" s="396"/>
    </row>
    <row r="82" spans="1:16" ht="13" x14ac:dyDescent="0.3">
      <c r="A82" s="1181"/>
      <c r="C82" s="472">
        <v>15</v>
      </c>
      <c r="D82" s="418">
        <v>0.1</v>
      </c>
      <c r="E82" s="454">
        <v>0</v>
      </c>
      <c r="F82" s="455">
        <f t="shared" ref="F82:F88" si="16">0.5*(MAX(E82:E82)-MIN(E82:E82))</f>
        <v>0</v>
      </c>
      <c r="H82" s="441"/>
      <c r="I82" s="472">
        <v>30</v>
      </c>
      <c r="J82" s="418">
        <v>-4</v>
      </c>
      <c r="K82" s="454">
        <v>-1.4</v>
      </c>
      <c r="L82" s="455">
        <f t="shared" ref="L82:L88" si="17">0.5*(MAX(K82:K82)-MIN(K82:K82))</f>
        <v>0</v>
      </c>
      <c r="O82" s="416"/>
      <c r="P82" s="396"/>
    </row>
    <row r="83" spans="1:16" ht="13" x14ac:dyDescent="0.3">
      <c r="A83" s="1181"/>
      <c r="C83" s="473">
        <v>20</v>
      </c>
      <c r="D83" s="418">
        <v>0</v>
      </c>
      <c r="E83" s="454">
        <v>-0.2</v>
      </c>
      <c r="F83" s="457">
        <f t="shared" si="16"/>
        <v>0</v>
      </c>
      <c r="H83" s="441"/>
      <c r="I83" s="473">
        <v>40</v>
      </c>
      <c r="J83" s="424">
        <v>-3.8</v>
      </c>
      <c r="K83" s="414">
        <v>-1.2</v>
      </c>
      <c r="L83" s="457">
        <f t="shared" si="17"/>
        <v>0</v>
      </c>
      <c r="O83" s="416"/>
      <c r="P83" s="396"/>
    </row>
    <row r="84" spans="1:16" ht="13" x14ac:dyDescent="0.3">
      <c r="A84" s="1181"/>
      <c r="C84" s="473">
        <v>25</v>
      </c>
      <c r="D84" s="418">
        <v>-0.1</v>
      </c>
      <c r="E84" s="454">
        <v>-0.4</v>
      </c>
      <c r="F84" s="457">
        <f t="shared" si="16"/>
        <v>0</v>
      </c>
      <c r="H84" s="441"/>
      <c r="I84" s="473">
        <v>50</v>
      </c>
      <c r="J84" s="424">
        <v>-3.8</v>
      </c>
      <c r="K84" s="414">
        <v>-1.2</v>
      </c>
      <c r="L84" s="457">
        <f t="shared" si="17"/>
        <v>0</v>
      </c>
      <c r="O84" s="416"/>
      <c r="P84" s="396"/>
    </row>
    <row r="85" spans="1:16" ht="13" x14ac:dyDescent="0.3">
      <c r="A85" s="1181"/>
      <c r="C85" s="474">
        <v>30</v>
      </c>
      <c r="D85" s="418">
        <v>-0.2</v>
      </c>
      <c r="E85" s="454">
        <v>-0.4</v>
      </c>
      <c r="F85" s="457">
        <f t="shared" si="16"/>
        <v>0</v>
      </c>
      <c r="H85" s="441"/>
      <c r="I85" s="474">
        <v>60</v>
      </c>
      <c r="J85" s="430">
        <v>-3.9</v>
      </c>
      <c r="K85" s="427">
        <v>-1.1000000000000001</v>
      </c>
      <c r="L85" s="457">
        <f t="shared" si="17"/>
        <v>0</v>
      </c>
      <c r="O85" s="416"/>
      <c r="P85" s="396"/>
    </row>
    <row r="86" spans="1:16" ht="13" x14ac:dyDescent="0.3">
      <c r="A86" s="1181"/>
      <c r="C86" s="474">
        <v>35</v>
      </c>
      <c r="D86" s="430">
        <v>-0.1</v>
      </c>
      <c r="E86" s="427">
        <v>-0.5</v>
      </c>
      <c r="F86" s="457">
        <f t="shared" si="16"/>
        <v>0</v>
      </c>
      <c r="H86" s="441"/>
      <c r="I86" s="474">
        <v>70</v>
      </c>
      <c r="J86" s="430">
        <v>-4.0999999999999996</v>
      </c>
      <c r="K86" s="427">
        <v>-1.2</v>
      </c>
      <c r="L86" s="457">
        <f t="shared" si="17"/>
        <v>0</v>
      </c>
      <c r="O86" s="416"/>
      <c r="P86" s="396"/>
    </row>
    <row r="87" spans="1:16" ht="13" x14ac:dyDescent="0.3">
      <c r="A87" s="1181"/>
      <c r="C87" s="474">
        <v>37</v>
      </c>
      <c r="D87" s="430">
        <v>-0.1</v>
      </c>
      <c r="E87" s="427">
        <v>-0.5</v>
      </c>
      <c r="F87" s="457">
        <f t="shared" si="16"/>
        <v>0</v>
      </c>
      <c r="H87" s="441"/>
      <c r="I87" s="474">
        <v>80</v>
      </c>
      <c r="J87" s="430">
        <v>-4.5</v>
      </c>
      <c r="K87" s="427">
        <v>-1.2</v>
      </c>
      <c r="L87" s="457">
        <f t="shared" si="17"/>
        <v>0</v>
      </c>
      <c r="O87" s="416"/>
      <c r="P87" s="396"/>
    </row>
    <row r="88" spans="1:16" ht="13.5" thickBot="1" x14ac:dyDescent="0.35">
      <c r="A88" s="1182"/>
      <c r="B88" s="432"/>
      <c r="C88" s="475">
        <v>40</v>
      </c>
      <c r="D88" s="436">
        <v>0</v>
      </c>
      <c r="E88" s="470">
        <v>-0.4</v>
      </c>
      <c r="F88" s="460">
        <f t="shared" si="16"/>
        <v>0</v>
      </c>
      <c r="G88" s="432"/>
      <c r="H88" s="461"/>
      <c r="I88" s="475">
        <v>90</v>
      </c>
      <c r="J88" s="436">
        <v>-4.9000000000000004</v>
      </c>
      <c r="K88" s="470">
        <v>-1.3</v>
      </c>
      <c r="L88" s="460">
        <f t="shared" si="17"/>
        <v>0</v>
      </c>
      <c r="M88" s="432"/>
      <c r="N88" s="432"/>
      <c r="O88" s="433"/>
      <c r="P88" s="396"/>
    </row>
    <row r="89" spans="1:16" ht="13.5" thickBot="1" x14ac:dyDescent="0.35">
      <c r="A89" s="464"/>
      <c r="B89" s="465"/>
      <c r="C89" s="465"/>
      <c r="D89" s="465"/>
      <c r="E89" s="466"/>
      <c r="F89" s="476"/>
      <c r="G89" s="468"/>
      <c r="H89" s="465"/>
      <c r="I89" s="465"/>
      <c r="J89" s="465"/>
      <c r="K89" s="466"/>
      <c r="L89" s="476"/>
      <c r="O89" s="416"/>
      <c r="P89" s="396"/>
    </row>
    <row r="90" spans="1:16" ht="13.5" thickBot="1" x14ac:dyDescent="0.35">
      <c r="A90" s="1180">
        <v>9</v>
      </c>
      <c r="B90" s="1183" t="s">
        <v>303</v>
      </c>
      <c r="C90" s="1184"/>
      <c r="D90" s="1184"/>
      <c r="E90" s="1184"/>
      <c r="F90" s="1185"/>
      <c r="G90" s="398"/>
      <c r="H90" s="1183" t="str">
        <f>B90</f>
        <v>KOREKSI GREISINGER 34904091</v>
      </c>
      <c r="I90" s="1184"/>
      <c r="J90" s="1184"/>
      <c r="K90" s="1184"/>
      <c r="L90" s="1185"/>
      <c r="M90" s="398"/>
      <c r="N90" s="1186" t="s">
        <v>167</v>
      </c>
      <c r="O90" s="1187"/>
      <c r="P90" s="396"/>
    </row>
    <row r="91" spans="1:16" ht="13.5" thickBot="1" x14ac:dyDescent="0.35">
      <c r="A91" s="1181"/>
      <c r="B91" s="1188" t="s">
        <v>220</v>
      </c>
      <c r="C91" s="1189"/>
      <c r="D91" s="1190" t="s">
        <v>253</v>
      </c>
      <c r="E91" s="1191"/>
      <c r="F91" s="1192" t="s">
        <v>222</v>
      </c>
      <c r="H91" s="1188" t="s">
        <v>221</v>
      </c>
      <c r="I91" s="1189"/>
      <c r="J91" s="1190" t="s">
        <v>253</v>
      </c>
      <c r="K91" s="1191"/>
      <c r="L91" s="1192" t="s">
        <v>222</v>
      </c>
      <c r="N91" s="447" t="s">
        <v>220</v>
      </c>
      <c r="O91" s="471">
        <v>0.3</v>
      </c>
      <c r="P91" s="396"/>
    </row>
    <row r="92" spans="1:16" ht="15" thickBot="1" x14ac:dyDescent="0.35">
      <c r="A92" s="1181"/>
      <c r="B92" s="1176" t="s">
        <v>441</v>
      </c>
      <c r="C92" s="1177"/>
      <c r="D92" s="449">
        <v>2019</v>
      </c>
      <c r="E92" s="477" t="s">
        <v>100</v>
      </c>
      <c r="F92" s="1193"/>
      <c r="H92" s="1178" t="s">
        <v>140</v>
      </c>
      <c r="I92" s="1179"/>
      <c r="J92" s="450">
        <f>D92</f>
        <v>2019</v>
      </c>
      <c r="K92" s="450" t="str">
        <f>E92</f>
        <v>-</v>
      </c>
      <c r="L92" s="1193"/>
      <c r="N92" s="451" t="s">
        <v>140</v>
      </c>
      <c r="O92" s="469">
        <v>2.4</v>
      </c>
      <c r="P92" s="396"/>
    </row>
    <row r="93" spans="1:16" ht="13" x14ac:dyDescent="0.3">
      <c r="A93" s="1181"/>
      <c r="B93" s="441"/>
      <c r="C93" s="472">
        <v>15</v>
      </c>
      <c r="D93" s="454">
        <v>9.9999999999999995E-7</v>
      </c>
      <c r="E93" s="478" t="s">
        <v>100</v>
      </c>
      <c r="F93" s="455">
        <f t="shared" ref="F93" si="18">0.5*(MAX(D93:E93)-MIN(D93:E93))</f>
        <v>0</v>
      </c>
      <c r="H93" s="441"/>
      <c r="I93" s="472">
        <v>30</v>
      </c>
      <c r="J93" s="454">
        <v>-1.2</v>
      </c>
      <c r="K93" s="478" t="s">
        <v>100</v>
      </c>
      <c r="L93" s="455">
        <f t="shared" ref="L93:L99" si="19">0.5*(MAX(J93:K93)-MIN(J93:K93))</f>
        <v>0</v>
      </c>
      <c r="O93" s="416"/>
      <c r="P93" s="396"/>
    </row>
    <row r="94" spans="1:16" ht="13" x14ac:dyDescent="0.3">
      <c r="A94" s="1181"/>
      <c r="B94" s="441"/>
      <c r="C94" s="473">
        <v>20</v>
      </c>
      <c r="D94" s="454">
        <v>-0.2</v>
      </c>
      <c r="E94" s="479" t="s">
        <v>100</v>
      </c>
      <c r="F94" s="457">
        <f>0.5*(MAX(D94:E94)-MIN(D94:E94))</f>
        <v>0</v>
      </c>
      <c r="H94" s="441"/>
      <c r="I94" s="473">
        <v>40</v>
      </c>
      <c r="J94" s="454">
        <v>-1</v>
      </c>
      <c r="K94" s="479" t="s">
        <v>100</v>
      </c>
      <c r="L94" s="457">
        <f t="shared" si="19"/>
        <v>0</v>
      </c>
      <c r="O94" s="416"/>
      <c r="P94" s="396"/>
    </row>
    <row r="95" spans="1:16" ht="13" x14ac:dyDescent="0.3">
      <c r="A95" s="1181"/>
      <c r="B95" s="441"/>
      <c r="C95" s="473">
        <v>25</v>
      </c>
      <c r="D95" s="454">
        <v>-0.4</v>
      </c>
      <c r="E95" s="479" t="s">
        <v>100</v>
      </c>
      <c r="F95" s="457">
        <f t="shared" ref="F95:F99" si="20">0.5*(MAX(D95:E95)-MIN(D95:E95))</f>
        <v>0</v>
      </c>
      <c r="H95" s="441"/>
      <c r="I95" s="473">
        <v>50</v>
      </c>
      <c r="J95" s="454">
        <v>-0.9</v>
      </c>
      <c r="K95" s="479" t="s">
        <v>100</v>
      </c>
      <c r="L95" s="457">
        <f t="shared" si="19"/>
        <v>0</v>
      </c>
      <c r="O95" s="416"/>
      <c r="P95" s="396"/>
    </row>
    <row r="96" spans="1:16" ht="13" x14ac:dyDescent="0.3">
      <c r="A96" s="1181"/>
      <c r="B96" s="441"/>
      <c r="C96" s="474">
        <v>30</v>
      </c>
      <c r="D96" s="454">
        <v>-0.5</v>
      </c>
      <c r="E96" s="428" t="s">
        <v>100</v>
      </c>
      <c r="F96" s="457">
        <f t="shared" si="20"/>
        <v>0</v>
      </c>
      <c r="H96" s="441"/>
      <c r="I96" s="474">
        <v>60</v>
      </c>
      <c r="J96" s="454">
        <v>-0.8</v>
      </c>
      <c r="K96" s="428" t="s">
        <v>100</v>
      </c>
      <c r="L96" s="457">
        <f t="shared" si="19"/>
        <v>0</v>
      </c>
      <c r="O96" s="416"/>
      <c r="P96" s="396"/>
    </row>
    <row r="97" spans="1:16" ht="13" x14ac:dyDescent="0.3">
      <c r="A97" s="1181"/>
      <c r="B97" s="441"/>
      <c r="C97" s="474">
        <v>35</v>
      </c>
      <c r="D97" s="454">
        <v>-0.5</v>
      </c>
      <c r="E97" s="428" t="s">
        <v>100</v>
      </c>
      <c r="F97" s="457">
        <f t="shared" si="20"/>
        <v>0</v>
      </c>
      <c r="H97" s="441"/>
      <c r="I97" s="474">
        <v>70</v>
      </c>
      <c r="J97" s="454">
        <v>-0.6</v>
      </c>
      <c r="K97" s="428" t="s">
        <v>100</v>
      </c>
      <c r="L97" s="457">
        <f t="shared" si="19"/>
        <v>0</v>
      </c>
      <c r="O97" s="416"/>
      <c r="P97" s="396"/>
    </row>
    <row r="98" spans="1:16" ht="13" x14ac:dyDescent="0.3">
      <c r="A98" s="1181"/>
      <c r="B98" s="441"/>
      <c r="C98" s="474">
        <v>37</v>
      </c>
      <c r="D98" s="454">
        <v>-0.5</v>
      </c>
      <c r="E98" s="428" t="s">
        <v>100</v>
      </c>
      <c r="F98" s="457">
        <f t="shared" si="20"/>
        <v>0</v>
      </c>
      <c r="H98" s="441"/>
      <c r="I98" s="474">
        <v>80</v>
      </c>
      <c r="J98" s="454">
        <v>-0.5</v>
      </c>
      <c r="K98" s="428" t="s">
        <v>100</v>
      </c>
      <c r="L98" s="457">
        <f t="shared" si="19"/>
        <v>0</v>
      </c>
      <c r="O98" s="416"/>
      <c r="P98" s="396"/>
    </row>
    <row r="99" spans="1:16" ht="13.5" thickBot="1" x14ac:dyDescent="0.35">
      <c r="A99" s="1182"/>
      <c r="B99" s="461"/>
      <c r="C99" s="475">
        <v>40</v>
      </c>
      <c r="D99" s="480">
        <v>-0.4</v>
      </c>
      <c r="E99" s="462" t="s">
        <v>100</v>
      </c>
      <c r="F99" s="460">
        <f t="shared" si="20"/>
        <v>0</v>
      </c>
      <c r="G99" s="432"/>
      <c r="H99" s="461"/>
      <c r="I99" s="475">
        <v>90</v>
      </c>
      <c r="J99" s="480">
        <v>-0.2</v>
      </c>
      <c r="K99" s="462" t="s">
        <v>100</v>
      </c>
      <c r="L99" s="460">
        <f t="shared" si="19"/>
        <v>0</v>
      </c>
      <c r="M99" s="432"/>
      <c r="N99" s="432"/>
      <c r="O99" s="433"/>
      <c r="P99" s="396"/>
    </row>
    <row r="100" spans="1:16" ht="13.5" thickBot="1" x14ac:dyDescent="0.35">
      <c r="A100" s="464"/>
      <c r="B100" s="465"/>
      <c r="C100" s="465"/>
      <c r="D100" s="465"/>
      <c r="E100" s="466"/>
      <c r="F100" s="476"/>
      <c r="G100" s="468"/>
      <c r="H100" s="465"/>
      <c r="I100" s="465"/>
      <c r="J100" s="465"/>
      <c r="K100" s="466"/>
      <c r="L100" s="476"/>
      <c r="M100" s="468"/>
      <c r="O100" s="416"/>
      <c r="P100" s="396"/>
    </row>
    <row r="101" spans="1:16" ht="13.5" thickBot="1" x14ac:dyDescent="0.35">
      <c r="A101" s="1180">
        <v>10</v>
      </c>
      <c r="B101" s="1183" t="s">
        <v>304</v>
      </c>
      <c r="C101" s="1184"/>
      <c r="D101" s="1184"/>
      <c r="E101" s="1184"/>
      <c r="F101" s="1185"/>
      <c r="G101" s="398"/>
      <c r="H101" s="1194" t="str">
        <f>B101</f>
        <v>KOREKSI Sekonic HE-21.000669</v>
      </c>
      <c r="I101" s="1195"/>
      <c r="J101" s="1195"/>
      <c r="K101" s="1195"/>
      <c r="L101" s="1196"/>
      <c r="M101" s="398"/>
      <c r="N101" s="1186" t="s">
        <v>167</v>
      </c>
      <c r="O101" s="1187"/>
      <c r="P101" s="396"/>
    </row>
    <row r="102" spans="1:16" ht="13.5" thickBot="1" x14ac:dyDescent="0.35">
      <c r="A102" s="1181"/>
      <c r="B102" s="1188" t="s">
        <v>220</v>
      </c>
      <c r="C102" s="1189"/>
      <c r="D102" s="1190" t="s">
        <v>253</v>
      </c>
      <c r="E102" s="1191"/>
      <c r="F102" s="1192" t="s">
        <v>222</v>
      </c>
      <c r="H102" s="1188" t="s">
        <v>221</v>
      </c>
      <c r="I102" s="1189"/>
      <c r="J102" s="1190" t="s">
        <v>253</v>
      </c>
      <c r="K102" s="1191"/>
      <c r="L102" s="1192" t="s">
        <v>222</v>
      </c>
      <c r="N102" s="447" t="s">
        <v>220</v>
      </c>
      <c r="O102" s="471">
        <v>0.3</v>
      </c>
      <c r="P102" s="396"/>
    </row>
    <row r="103" spans="1:16" ht="15" thickBot="1" x14ac:dyDescent="0.35">
      <c r="A103" s="1181"/>
      <c r="B103" s="1176" t="s">
        <v>441</v>
      </c>
      <c r="C103" s="1177"/>
      <c r="D103" s="449">
        <v>2019</v>
      </c>
      <c r="E103" s="449">
        <v>2016</v>
      </c>
      <c r="F103" s="1193"/>
      <c r="H103" s="1178" t="s">
        <v>140</v>
      </c>
      <c r="I103" s="1179"/>
      <c r="J103" s="450">
        <f>D103</f>
        <v>2019</v>
      </c>
      <c r="K103" s="450">
        <f>E103</f>
        <v>2016</v>
      </c>
      <c r="L103" s="1193"/>
      <c r="N103" s="451" t="s">
        <v>140</v>
      </c>
      <c r="O103" s="469">
        <v>1.5</v>
      </c>
      <c r="P103" s="396"/>
    </row>
    <row r="104" spans="1:16" ht="13" x14ac:dyDescent="0.3">
      <c r="A104" s="1181"/>
      <c r="C104" s="472">
        <v>15</v>
      </c>
      <c r="D104" s="454">
        <v>0.2</v>
      </c>
      <c r="E104" s="454">
        <v>0.2</v>
      </c>
      <c r="F104" s="455">
        <f t="shared" ref="F104:F110" si="21">0.5*(MAX(D104:E104)-MIN(D104:E104))</f>
        <v>0</v>
      </c>
      <c r="H104" s="441"/>
      <c r="I104" s="472">
        <v>30</v>
      </c>
      <c r="J104" s="454">
        <v>-2.9</v>
      </c>
      <c r="K104" s="454">
        <v>-5.8</v>
      </c>
      <c r="L104" s="455">
        <f t="shared" ref="L104:L107" si="22">0.5*(MAX(J104:K104)-MIN(J104:K104))</f>
        <v>1.45</v>
      </c>
      <c r="O104" s="416"/>
      <c r="P104" s="396"/>
    </row>
    <row r="105" spans="1:16" ht="13" x14ac:dyDescent="0.3">
      <c r="A105" s="1181"/>
      <c r="C105" s="473">
        <v>20</v>
      </c>
      <c r="D105" s="414">
        <v>0.2</v>
      </c>
      <c r="E105" s="414">
        <v>-0.7</v>
      </c>
      <c r="F105" s="457">
        <f t="shared" si="21"/>
        <v>0.44999999999999996</v>
      </c>
      <c r="H105" s="441"/>
      <c r="I105" s="473">
        <v>40</v>
      </c>
      <c r="J105" s="414">
        <v>-3.3</v>
      </c>
      <c r="K105" s="414">
        <v>-6.4</v>
      </c>
      <c r="L105" s="457">
        <f t="shared" si="22"/>
        <v>1.5500000000000003</v>
      </c>
      <c r="O105" s="416"/>
      <c r="P105" s="396"/>
    </row>
    <row r="106" spans="1:16" ht="13" x14ac:dyDescent="0.3">
      <c r="A106" s="1181"/>
      <c r="C106" s="473">
        <v>25</v>
      </c>
      <c r="D106" s="414">
        <v>0.1</v>
      </c>
      <c r="E106" s="414">
        <v>-0.5</v>
      </c>
      <c r="F106" s="457">
        <f t="shared" si="21"/>
        <v>0.3</v>
      </c>
      <c r="H106" s="441"/>
      <c r="I106" s="473">
        <v>50</v>
      </c>
      <c r="J106" s="414">
        <v>-3.1</v>
      </c>
      <c r="K106" s="414">
        <v>-6.1</v>
      </c>
      <c r="L106" s="457">
        <f t="shared" si="22"/>
        <v>1.4999999999999998</v>
      </c>
      <c r="O106" s="416"/>
      <c r="P106" s="396"/>
    </row>
    <row r="107" spans="1:16" ht="13" x14ac:dyDescent="0.3">
      <c r="A107" s="1181"/>
      <c r="C107" s="474">
        <v>30</v>
      </c>
      <c r="D107" s="427">
        <v>0.1</v>
      </c>
      <c r="E107" s="427">
        <v>0.2</v>
      </c>
      <c r="F107" s="457">
        <f t="shared" si="21"/>
        <v>0.05</v>
      </c>
      <c r="H107" s="441"/>
      <c r="I107" s="474">
        <v>60</v>
      </c>
      <c r="J107" s="427">
        <v>-2.1</v>
      </c>
      <c r="K107" s="427">
        <v>-5.6</v>
      </c>
      <c r="L107" s="457">
        <f t="shared" si="22"/>
        <v>1.7499999999999998</v>
      </c>
      <c r="O107" s="416"/>
      <c r="P107" s="396"/>
    </row>
    <row r="108" spans="1:16" ht="13" x14ac:dyDescent="0.3">
      <c r="A108" s="1181"/>
      <c r="C108" s="474">
        <v>35</v>
      </c>
      <c r="D108" s="427">
        <v>0.2</v>
      </c>
      <c r="E108" s="427">
        <v>0.8</v>
      </c>
      <c r="F108" s="457">
        <f t="shared" si="21"/>
        <v>0.30000000000000004</v>
      </c>
      <c r="H108" s="441"/>
      <c r="I108" s="474">
        <v>70</v>
      </c>
      <c r="J108" s="427">
        <v>-0.3</v>
      </c>
      <c r="K108" s="427">
        <v>-5.0999999999999996</v>
      </c>
      <c r="L108" s="457">
        <f>0.5*(MAX(J108:K108)-MIN(J108:K108))</f>
        <v>2.4</v>
      </c>
      <c r="O108" s="416"/>
      <c r="P108" s="396"/>
    </row>
    <row r="109" spans="1:16" ht="13" x14ac:dyDescent="0.3">
      <c r="A109" s="1181"/>
      <c r="C109" s="474">
        <v>37</v>
      </c>
      <c r="D109" s="427">
        <v>0.2</v>
      </c>
      <c r="E109" s="427">
        <v>0.4</v>
      </c>
      <c r="F109" s="457">
        <f t="shared" si="21"/>
        <v>0.1</v>
      </c>
      <c r="H109" s="441"/>
      <c r="I109" s="474">
        <v>80</v>
      </c>
      <c r="J109" s="427">
        <v>2.2000000000000002</v>
      </c>
      <c r="K109" s="427">
        <v>-4.7</v>
      </c>
      <c r="L109" s="457">
        <f t="shared" ref="L109:L110" si="23">0.5*(MAX(J109:K109)-MIN(J109:K109))</f>
        <v>3.45</v>
      </c>
      <c r="O109" s="416"/>
      <c r="P109" s="396"/>
    </row>
    <row r="110" spans="1:16" ht="13.5" thickBot="1" x14ac:dyDescent="0.35">
      <c r="A110" s="1182"/>
      <c r="B110" s="432"/>
      <c r="C110" s="475">
        <v>40</v>
      </c>
      <c r="D110" s="481">
        <v>0.2</v>
      </c>
      <c r="E110" s="481">
        <v>0</v>
      </c>
      <c r="F110" s="460">
        <f t="shared" si="21"/>
        <v>0.1</v>
      </c>
      <c r="G110" s="432"/>
      <c r="H110" s="461"/>
      <c r="I110" s="475">
        <v>90</v>
      </c>
      <c r="J110" s="459">
        <v>5.4</v>
      </c>
      <c r="K110" s="459">
        <v>0</v>
      </c>
      <c r="L110" s="460">
        <f t="shared" si="23"/>
        <v>2.7</v>
      </c>
      <c r="M110" s="432"/>
      <c r="N110" s="432"/>
      <c r="O110" s="433"/>
      <c r="P110" s="396"/>
    </row>
    <row r="111" spans="1:16" ht="13.5" thickBot="1" x14ac:dyDescent="0.35">
      <c r="A111" s="464"/>
      <c r="B111" s="465"/>
      <c r="C111" s="465"/>
      <c r="D111" s="465"/>
      <c r="E111" s="466"/>
      <c r="F111" s="476"/>
      <c r="G111" s="468"/>
      <c r="H111" s="465"/>
      <c r="I111" s="465"/>
      <c r="J111" s="465"/>
      <c r="K111" s="466"/>
      <c r="L111" s="476"/>
      <c r="M111" s="468"/>
      <c r="O111" s="416"/>
      <c r="P111" s="396"/>
    </row>
    <row r="112" spans="1:16" ht="13.5" thickBot="1" x14ac:dyDescent="0.35">
      <c r="A112" s="1180">
        <v>11</v>
      </c>
      <c r="B112" s="1183" t="s">
        <v>305</v>
      </c>
      <c r="C112" s="1184"/>
      <c r="D112" s="1184"/>
      <c r="E112" s="1184"/>
      <c r="F112" s="1185"/>
      <c r="G112" s="398"/>
      <c r="H112" s="1194" t="str">
        <f>B112</f>
        <v>KOREKSI Sekonic HE-21.000670</v>
      </c>
      <c r="I112" s="1195"/>
      <c r="J112" s="1195"/>
      <c r="K112" s="1195"/>
      <c r="L112" s="1196"/>
      <c r="M112" s="398"/>
      <c r="N112" s="1186" t="s">
        <v>167</v>
      </c>
      <c r="O112" s="1187"/>
      <c r="P112" s="396"/>
    </row>
    <row r="113" spans="1:16" ht="13.5" thickBot="1" x14ac:dyDescent="0.35">
      <c r="A113" s="1181"/>
      <c r="B113" s="1188" t="s">
        <v>220</v>
      </c>
      <c r="C113" s="1189"/>
      <c r="D113" s="1190" t="s">
        <v>253</v>
      </c>
      <c r="E113" s="1191"/>
      <c r="F113" s="1192" t="s">
        <v>222</v>
      </c>
      <c r="H113" s="1188" t="s">
        <v>221</v>
      </c>
      <c r="I113" s="1189"/>
      <c r="J113" s="1190" t="s">
        <v>253</v>
      </c>
      <c r="K113" s="1191"/>
      <c r="L113" s="1192" t="s">
        <v>222</v>
      </c>
      <c r="N113" s="447" t="s">
        <v>220</v>
      </c>
      <c r="O113" s="471">
        <v>0.3</v>
      </c>
      <c r="P113" s="396"/>
    </row>
    <row r="114" spans="1:16" ht="15" thickBot="1" x14ac:dyDescent="0.35">
      <c r="A114" s="1181"/>
      <c r="B114" s="1176" t="s">
        <v>441</v>
      </c>
      <c r="C114" s="1177"/>
      <c r="D114" s="449">
        <v>2020</v>
      </c>
      <c r="E114" s="477" t="s">
        <v>100</v>
      </c>
      <c r="F114" s="1193"/>
      <c r="H114" s="1178" t="s">
        <v>140</v>
      </c>
      <c r="I114" s="1179"/>
      <c r="J114" s="450">
        <f>D114</f>
        <v>2020</v>
      </c>
      <c r="K114" s="450" t="str">
        <f>E114</f>
        <v>-</v>
      </c>
      <c r="L114" s="1193"/>
      <c r="N114" s="451" t="s">
        <v>140</v>
      </c>
      <c r="O114" s="469">
        <v>1.8</v>
      </c>
      <c r="P114" s="396"/>
    </row>
    <row r="115" spans="1:16" ht="13" x14ac:dyDescent="0.3">
      <c r="A115" s="1181"/>
      <c r="C115" s="453">
        <v>15</v>
      </c>
      <c r="D115" s="454">
        <v>0.3</v>
      </c>
      <c r="E115" s="478" t="s">
        <v>100</v>
      </c>
      <c r="F115" s="455">
        <f t="shared" ref="F115:F121" si="24">0.5*(MAX(D115:E115)-MIN(D115:E115))</f>
        <v>0</v>
      </c>
      <c r="H115" s="441"/>
      <c r="I115" s="453">
        <v>35</v>
      </c>
      <c r="J115" s="454">
        <v>-5.2</v>
      </c>
      <c r="K115" s="478" t="s">
        <v>100</v>
      </c>
      <c r="L115" s="455">
        <f t="shared" ref="L115:L121" si="25">0.5*(MAX(J115:K115)-MIN(J115:K115))</f>
        <v>0</v>
      </c>
      <c r="O115" s="416"/>
      <c r="P115" s="396"/>
    </row>
    <row r="116" spans="1:16" ht="13" x14ac:dyDescent="0.3">
      <c r="A116" s="1181"/>
      <c r="C116" s="456">
        <v>20</v>
      </c>
      <c r="D116" s="414">
        <v>0.4</v>
      </c>
      <c r="E116" s="479" t="s">
        <v>100</v>
      </c>
      <c r="F116" s="457">
        <f t="shared" si="24"/>
        <v>0</v>
      </c>
      <c r="H116" s="441"/>
      <c r="I116" s="456">
        <v>40</v>
      </c>
      <c r="J116" s="414">
        <v>-5.5</v>
      </c>
      <c r="K116" s="479" t="s">
        <v>100</v>
      </c>
      <c r="L116" s="457">
        <f t="shared" si="25"/>
        <v>0</v>
      </c>
      <c r="O116" s="416"/>
      <c r="P116" s="396"/>
    </row>
    <row r="117" spans="1:16" ht="13" x14ac:dyDescent="0.3">
      <c r="A117" s="1181"/>
      <c r="C117" s="456">
        <v>25</v>
      </c>
      <c r="D117" s="414">
        <v>0.4</v>
      </c>
      <c r="E117" s="479" t="s">
        <v>100</v>
      </c>
      <c r="F117" s="457">
        <f t="shared" si="24"/>
        <v>0</v>
      </c>
      <c r="H117" s="441"/>
      <c r="I117" s="456">
        <v>50</v>
      </c>
      <c r="J117" s="414">
        <v>-5.5</v>
      </c>
      <c r="K117" s="479" t="s">
        <v>100</v>
      </c>
      <c r="L117" s="457">
        <f t="shared" si="25"/>
        <v>0</v>
      </c>
      <c r="O117" s="416"/>
      <c r="P117" s="396"/>
    </row>
    <row r="118" spans="1:16" ht="13" x14ac:dyDescent="0.3">
      <c r="A118" s="1181"/>
      <c r="C118" s="458">
        <v>30</v>
      </c>
      <c r="D118" s="427">
        <v>0.5</v>
      </c>
      <c r="E118" s="428" t="s">
        <v>100</v>
      </c>
      <c r="F118" s="457">
        <f t="shared" si="24"/>
        <v>0</v>
      </c>
      <c r="H118" s="441"/>
      <c r="I118" s="458">
        <v>60</v>
      </c>
      <c r="J118" s="427">
        <v>-4.8</v>
      </c>
      <c r="K118" s="428" t="s">
        <v>100</v>
      </c>
      <c r="L118" s="457">
        <f t="shared" si="25"/>
        <v>0</v>
      </c>
      <c r="O118" s="416"/>
      <c r="P118" s="396"/>
    </row>
    <row r="119" spans="1:16" ht="13" x14ac:dyDescent="0.3">
      <c r="A119" s="1181"/>
      <c r="C119" s="458">
        <v>35</v>
      </c>
      <c r="D119" s="427">
        <v>0.5</v>
      </c>
      <c r="E119" s="428" t="s">
        <v>100</v>
      </c>
      <c r="F119" s="457">
        <f t="shared" si="24"/>
        <v>0</v>
      </c>
      <c r="H119" s="441"/>
      <c r="I119" s="458">
        <v>70</v>
      </c>
      <c r="J119" s="427">
        <v>-3.4</v>
      </c>
      <c r="K119" s="428" t="s">
        <v>100</v>
      </c>
      <c r="L119" s="457">
        <f t="shared" si="25"/>
        <v>0</v>
      </c>
      <c r="O119" s="416"/>
      <c r="P119" s="396"/>
    </row>
    <row r="120" spans="1:16" ht="13" x14ac:dyDescent="0.3">
      <c r="A120" s="1181"/>
      <c r="C120" s="458">
        <v>37</v>
      </c>
      <c r="D120" s="427">
        <v>0.5</v>
      </c>
      <c r="E120" s="428" t="s">
        <v>100</v>
      </c>
      <c r="F120" s="457">
        <f t="shared" si="24"/>
        <v>0</v>
      </c>
      <c r="H120" s="441"/>
      <c r="I120" s="458">
        <v>80</v>
      </c>
      <c r="J120" s="427">
        <v>-1.4</v>
      </c>
      <c r="K120" s="428" t="s">
        <v>100</v>
      </c>
      <c r="L120" s="457">
        <f t="shared" si="25"/>
        <v>0</v>
      </c>
      <c r="O120" s="416"/>
      <c r="P120" s="396"/>
    </row>
    <row r="121" spans="1:16" ht="13.5" thickBot="1" x14ac:dyDescent="0.35">
      <c r="A121" s="1182"/>
      <c r="B121" s="432"/>
      <c r="C121" s="459">
        <v>40</v>
      </c>
      <c r="D121" s="470">
        <v>0.5</v>
      </c>
      <c r="E121" s="462" t="s">
        <v>100</v>
      </c>
      <c r="F121" s="460">
        <f t="shared" si="24"/>
        <v>0</v>
      </c>
      <c r="G121" s="432"/>
      <c r="H121" s="461"/>
      <c r="I121" s="459">
        <v>90</v>
      </c>
      <c r="J121" s="470">
        <v>1.3</v>
      </c>
      <c r="K121" s="462" t="s">
        <v>100</v>
      </c>
      <c r="L121" s="460">
        <f t="shared" si="25"/>
        <v>0</v>
      </c>
      <c r="M121" s="432"/>
      <c r="N121" s="432"/>
      <c r="O121" s="433"/>
      <c r="P121" s="396"/>
    </row>
    <row r="122" spans="1:16" ht="13.5" thickBot="1" x14ac:dyDescent="0.35">
      <c r="A122" s="464"/>
      <c r="B122" s="465"/>
      <c r="C122" s="465"/>
      <c r="D122" s="465"/>
      <c r="E122" s="466"/>
      <c r="F122" s="476"/>
      <c r="G122" s="468"/>
      <c r="H122" s="465"/>
      <c r="I122" s="465"/>
      <c r="J122" s="465"/>
      <c r="K122" s="466"/>
      <c r="L122" s="476"/>
      <c r="O122" s="416"/>
      <c r="P122" s="396"/>
    </row>
    <row r="123" spans="1:16" ht="13.5" thickBot="1" x14ac:dyDescent="0.35">
      <c r="A123" s="1180">
        <v>12</v>
      </c>
      <c r="B123" s="1183" t="s">
        <v>442</v>
      </c>
      <c r="C123" s="1184"/>
      <c r="D123" s="1184"/>
      <c r="E123" s="1184"/>
      <c r="F123" s="1185"/>
      <c r="G123" s="398"/>
      <c r="H123" s="1183" t="str">
        <f>B123</f>
        <v>KOREKSI EXTECH A.100611</v>
      </c>
      <c r="I123" s="1184"/>
      <c r="J123" s="1184"/>
      <c r="K123" s="1184"/>
      <c r="L123" s="1185"/>
      <c r="M123" s="398"/>
      <c r="N123" s="1186" t="s">
        <v>167</v>
      </c>
      <c r="O123" s="1187"/>
      <c r="P123" s="396"/>
    </row>
    <row r="124" spans="1:16" ht="13.5" thickBot="1" x14ac:dyDescent="0.35">
      <c r="A124" s="1181"/>
      <c r="B124" s="1188" t="s">
        <v>220</v>
      </c>
      <c r="C124" s="1189"/>
      <c r="D124" s="1190" t="s">
        <v>253</v>
      </c>
      <c r="E124" s="1191"/>
      <c r="F124" s="1192" t="s">
        <v>222</v>
      </c>
      <c r="H124" s="1188" t="s">
        <v>221</v>
      </c>
      <c r="I124" s="1189"/>
      <c r="J124" s="1190" t="s">
        <v>253</v>
      </c>
      <c r="K124" s="1191"/>
      <c r="L124" s="1192" t="s">
        <v>222</v>
      </c>
      <c r="N124" s="447" t="s">
        <v>220</v>
      </c>
      <c r="O124" s="471">
        <v>0.3</v>
      </c>
      <c r="P124" s="396"/>
    </row>
    <row r="125" spans="1:16" ht="15" thickBot="1" x14ac:dyDescent="0.35">
      <c r="A125" s="1181"/>
      <c r="B125" s="1176" t="s">
        <v>441</v>
      </c>
      <c r="C125" s="1177"/>
      <c r="D125" s="449">
        <v>2020</v>
      </c>
      <c r="E125" s="477" t="s">
        <v>100</v>
      </c>
      <c r="F125" s="1193"/>
      <c r="H125" s="1178" t="s">
        <v>140</v>
      </c>
      <c r="I125" s="1179"/>
      <c r="J125" s="450">
        <f>D125</f>
        <v>2020</v>
      </c>
      <c r="K125" s="450" t="str">
        <f>E125</f>
        <v>-</v>
      </c>
      <c r="L125" s="1193"/>
      <c r="N125" s="451" t="s">
        <v>140</v>
      </c>
      <c r="O125" s="469">
        <v>2.7</v>
      </c>
      <c r="P125" s="396"/>
    </row>
    <row r="126" spans="1:16" ht="13" x14ac:dyDescent="0.3">
      <c r="A126" s="1181"/>
      <c r="C126" s="453">
        <v>15</v>
      </c>
      <c r="D126" s="454">
        <v>-0.6</v>
      </c>
      <c r="E126" s="478" t="s">
        <v>100</v>
      </c>
      <c r="F126" s="455">
        <f t="shared" ref="F126:F132" si="26">0.5*(MAX(D126:E126)-MIN(D126:E126))</f>
        <v>0</v>
      </c>
      <c r="H126" s="441"/>
      <c r="I126" s="453">
        <v>35</v>
      </c>
      <c r="J126" s="454">
        <v>-0.4</v>
      </c>
      <c r="K126" s="478" t="s">
        <v>100</v>
      </c>
      <c r="L126" s="455">
        <f t="shared" ref="L126:L132" si="27">0.5*(MAX(J126:K126)-MIN(J126:K126))</f>
        <v>0</v>
      </c>
      <c r="O126" s="416"/>
      <c r="P126" s="396"/>
    </row>
    <row r="127" spans="1:16" ht="13" x14ac:dyDescent="0.3">
      <c r="A127" s="1181"/>
      <c r="C127" s="456">
        <v>20</v>
      </c>
      <c r="D127" s="414">
        <v>-0.5</v>
      </c>
      <c r="E127" s="479" t="s">
        <v>100</v>
      </c>
      <c r="F127" s="457">
        <f t="shared" si="26"/>
        <v>0</v>
      </c>
      <c r="H127" s="441"/>
      <c r="I127" s="456">
        <v>40</v>
      </c>
      <c r="J127" s="414">
        <v>-0.3</v>
      </c>
      <c r="K127" s="479" t="s">
        <v>100</v>
      </c>
      <c r="L127" s="457">
        <f t="shared" si="27"/>
        <v>0</v>
      </c>
      <c r="O127" s="416"/>
      <c r="P127" s="396"/>
    </row>
    <row r="128" spans="1:16" ht="13" x14ac:dyDescent="0.3">
      <c r="A128" s="1181"/>
      <c r="C128" s="456">
        <v>25</v>
      </c>
      <c r="D128" s="414">
        <v>-0.4</v>
      </c>
      <c r="E128" s="479" t="s">
        <v>100</v>
      </c>
      <c r="F128" s="457">
        <f t="shared" si="26"/>
        <v>0</v>
      </c>
      <c r="H128" s="441"/>
      <c r="I128" s="456">
        <v>50</v>
      </c>
      <c r="J128" s="414">
        <v>-0.3</v>
      </c>
      <c r="K128" s="479" t="s">
        <v>100</v>
      </c>
      <c r="L128" s="457">
        <f t="shared" si="27"/>
        <v>0</v>
      </c>
      <c r="O128" s="416"/>
      <c r="P128" s="396"/>
    </row>
    <row r="129" spans="1:16" ht="13" x14ac:dyDescent="0.3">
      <c r="A129" s="1181"/>
      <c r="C129" s="458">
        <v>30</v>
      </c>
      <c r="D129" s="427">
        <v>-0.2</v>
      </c>
      <c r="E129" s="428" t="s">
        <v>100</v>
      </c>
      <c r="F129" s="457">
        <f t="shared" si="26"/>
        <v>0</v>
      </c>
      <c r="H129" s="441"/>
      <c r="I129" s="458">
        <v>60</v>
      </c>
      <c r="J129" s="427">
        <v>-0.5</v>
      </c>
      <c r="K129" s="428" t="s">
        <v>100</v>
      </c>
      <c r="L129" s="457">
        <f t="shared" si="27"/>
        <v>0</v>
      </c>
      <c r="O129" s="416"/>
      <c r="P129" s="396"/>
    </row>
    <row r="130" spans="1:16" ht="13" x14ac:dyDescent="0.3">
      <c r="A130" s="1181"/>
      <c r="C130" s="458">
        <v>35</v>
      </c>
      <c r="D130" s="427">
        <v>-0.1</v>
      </c>
      <c r="E130" s="428" t="s">
        <v>100</v>
      </c>
      <c r="F130" s="457">
        <f t="shared" si="26"/>
        <v>0</v>
      </c>
      <c r="H130" s="441"/>
      <c r="I130" s="458">
        <v>70</v>
      </c>
      <c r="J130" s="427">
        <v>-0.8</v>
      </c>
      <c r="K130" s="428" t="s">
        <v>100</v>
      </c>
      <c r="L130" s="457">
        <f t="shared" si="27"/>
        <v>0</v>
      </c>
      <c r="O130" s="416"/>
      <c r="P130" s="396"/>
    </row>
    <row r="131" spans="1:16" ht="13" x14ac:dyDescent="0.3">
      <c r="A131" s="1181"/>
      <c r="C131" s="458">
        <v>37</v>
      </c>
      <c r="D131" s="427">
        <v>-0.1</v>
      </c>
      <c r="E131" s="428" t="s">
        <v>100</v>
      </c>
      <c r="F131" s="457">
        <f t="shared" si="26"/>
        <v>0</v>
      </c>
      <c r="H131" s="441"/>
      <c r="I131" s="458">
        <v>80</v>
      </c>
      <c r="J131" s="427">
        <v>-1.3</v>
      </c>
      <c r="K131" s="428" t="s">
        <v>100</v>
      </c>
      <c r="L131" s="457">
        <f t="shared" si="27"/>
        <v>0</v>
      </c>
      <c r="O131" s="416"/>
      <c r="P131" s="396"/>
    </row>
    <row r="132" spans="1:16" ht="13.5" thickBot="1" x14ac:dyDescent="0.35">
      <c r="A132" s="1182"/>
      <c r="B132" s="432"/>
      <c r="C132" s="459">
        <v>40</v>
      </c>
      <c r="D132" s="470">
        <v>9.9999999999999995E-7</v>
      </c>
      <c r="E132" s="462" t="s">
        <v>100</v>
      </c>
      <c r="F132" s="460">
        <f t="shared" si="26"/>
        <v>0</v>
      </c>
      <c r="G132" s="432"/>
      <c r="H132" s="461"/>
      <c r="I132" s="459">
        <v>90</v>
      </c>
      <c r="J132" s="470">
        <v>-2</v>
      </c>
      <c r="K132" s="462" t="s">
        <v>100</v>
      </c>
      <c r="L132" s="460">
        <f t="shared" si="27"/>
        <v>0</v>
      </c>
      <c r="M132" s="432"/>
      <c r="N132" s="432"/>
      <c r="O132" s="433"/>
      <c r="P132" s="396"/>
    </row>
    <row r="133" spans="1:16" ht="13.5" thickBot="1" x14ac:dyDescent="0.35">
      <c r="A133" s="464"/>
      <c r="B133" s="465"/>
      <c r="C133" s="465"/>
      <c r="D133" s="465"/>
      <c r="E133" s="466"/>
      <c r="F133" s="476"/>
      <c r="G133" s="468"/>
      <c r="H133" s="465"/>
      <c r="I133" s="465"/>
      <c r="J133" s="465"/>
      <c r="K133" s="466"/>
      <c r="L133" s="476"/>
      <c r="O133" s="416"/>
      <c r="P133" s="396"/>
    </row>
    <row r="134" spans="1:16" ht="13.5" thickBot="1" x14ac:dyDescent="0.35">
      <c r="A134" s="1180">
        <v>13</v>
      </c>
      <c r="B134" s="1183" t="s">
        <v>443</v>
      </c>
      <c r="C134" s="1184"/>
      <c r="D134" s="1184"/>
      <c r="E134" s="1184"/>
      <c r="F134" s="1185"/>
      <c r="G134" s="398"/>
      <c r="H134" s="1183" t="str">
        <f>B134</f>
        <v>KOREKSI EXTECH A.100609</v>
      </c>
      <c r="I134" s="1184"/>
      <c r="J134" s="1184"/>
      <c r="K134" s="1184"/>
      <c r="L134" s="1185"/>
      <c r="M134" s="398"/>
      <c r="N134" s="1186" t="s">
        <v>167</v>
      </c>
      <c r="O134" s="1187"/>
      <c r="P134" s="396"/>
    </row>
    <row r="135" spans="1:16" ht="13.5" thickBot="1" x14ac:dyDescent="0.35">
      <c r="A135" s="1181"/>
      <c r="B135" s="1188" t="s">
        <v>220</v>
      </c>
      <c r="C135" s="1189"/>
      <c r="D135" s="1190" t="s">
        <v>253</v>
      </c>
      <c r="E135" s="1191"/>
      <c r="F135" s="1192" t="s">
        <v>222</v>
      </c>
      <c r="H135" s="1188" t="s">
        <v>221</v>
      </c>
      <c r="I135" s="1189"/>
      <c r="J135" s="1190" t="s">
        <v>253</v>
      </c>
      <c r="K135" s="1191"/>
      <c r="L135" s="1192" t="s">
        <v>222</v>
      </c>
      <c r="N135" s="447" t="s">
        <v>220</v>
      </c>
      <c r="O135" s="471">
        <v>0.4</v>
      </c>
      <c r="P135" s="396"/>
    </row>
    <row r="136" spans="1:16" ht="15" thickBot="1" x14ac:dyDescent="0.35">
      <c r="A136" s="1181"/>
      <c r="B136" s="1176" t="s">
        <v>441</v>
      </c>
      <c r="C136" s="1177"/>
      <c r="D136" s="449">
        <v>2020</v>
      </c>
      <c r="E136" s="477" t="s">
        <v>100</v>
      </c>
      <c r="F136" s="1193"/>
      <c r="H136" s="1178" t="s">
        <v>140</v>
      </c>
      <c r="I136" s="1179"/>
      <c r="J136" s="450">
        <f>D136</f>
        <v>2020</v>
      </c>
      <c r="K136" s="450" t="str">
        <f>E136</f>
        <v>-</v>
      </c>
      <c r="L136" s="1193"/>
      <c r="N136" s="451" t="s">
        <v>140</v>
      </c>
      <c r="O136" s="469">
        <v>2.2000000000000002</v>
      </c>
      <c r="P136" s="396"/>
    </row>
    <row r="137" spans="1:16" ht="13" x14ac:dyDescent="0.3">
      <c r="A137" s="1181"/>
      <c r="C137" s="453">
        <v>15</v>
      </c>
      <c r="D137" s="454">
        <v>-0.2</v>
      </c>
      <c r="E137" s="478" t="s">
        <v>100</v>
      </c>
      <c r="F137" s="455">
        <f t="shared" ref="F137:F143" si="28">0.5*(MAX(D137:E137)-MIN(D137:E137))</f>
        <v>0</v>
      </c>
      <c r="H137" s="441"/>
      <c r="I137" s="453">
        <v>35</v>
      </c>
      <c r="J137" s="454">
        <v>0.6</v>
      </c>
      <c r="K137" s="478" t="s">
        <v>100</v>
      </c>
      <c r="L137" s="455">
        <f t="shared" ref="L137:L143" si="29">0.5*(MAX(J137:K137)-MIN(J137:K137))</f>
        <v>0</v>
      </c>
      <c r="O137" s="416"/>
      <c r="P137" s="396"/>
    </row>
    <row r="138" spans="1:16" ht="13" x14ac:dyDescent="0.3">
      <c r="A138" s="1181"/>
      <c r="C138" s="456">
        <v>20</v>
      </c>
      <c r="D138" s="414">
        <v>-0.1</v>
      </c>
      <c r="E138" s="479" t="s">
        <v>100</v>
      </c>
      <c r="F138" s="457">
        <f t="shared" si="28"/>
        <v>0</v>
      </c>
      <c r="H138" s="441"/>
      <c r="I138" s="456">
        <v>40</v>
      </c>
      <c r="J138" s="414">
        <v>0.3</v>
      </c>
      <c r="K138" s="479" t="s">
        <v>100</v>
      </c>
      <c r="L138" s="457">
        <f t="shared" si="29"/>
        <v>0</v>
      </c>
      <c r="O138" s="416"/>
      <c r="P138" s="396"/>
    </row>
    <row r="139" spans="1:16" ht="13" x14ac:dyDescent="0.3">
      <c r="A139" s="1181"/>
      <c r="C139" s="456">
        <v>25</v>
      </c>
      <c r="D139" s="414">
        <v>-0.1</v>
      </c>
      <c r="E139" s="479" t="s">
        <v>100</v>
      </c>
      <c r="F139" s="457">
        <f t="shared" si="28"/>
        <v>0</v>
      </c>
      <c r="H139" s="441"/>
      <c r="I139" s="456">
        <v>50</v>
      </c>
      <c r="J139" s="414">
        <v>-0.2</v>
      </c>
      <c r="K139" s="479" t="s">
        <v>100</v>
      </c>
      <c r="L139" s="457">
        <f t="shared" si="29"/>
        <v>0</v>
      </c>
      <c r="O139" s="416"/>
      <c r="P139" s="396"/>
    </row>
    <row r="140" spans="1:16" ht="13" x14ac:dyDescent="0.3">
      <c r="A140" s="1181"/>
      <c r="C140" s="458">
        <v>30</v>
      </c>
      <c r="D140" s="427">
        <v>-0.3</v>
      </c>
      <c r="E140" s="428" t="s">
        <v>100</v>
      </c>
      <c r="F140" s="457">
        <f t="shared" si="28"/>
        <v>0</v>
      </c>
      <c r="H140" s="441"/>
      <c r="I140" s="458">
        <v>60</v>
      </c>
      <c r="J140" s="427">
        <v>-0.6</v>
      </c>
      <c r="K140" s="428" t="s">
        <v>100</v>
      </c>
      <c r="L140" s="457">
        <f t="shared" si="29"/>
        <v>0</v>
      </c>
      <c r="O140" s="416"/>
      <c r="P140" s="396"/>
    </row>
    <row r="141" spans="1:16" ht="13" x14ac:dyDescent="0.3">
      <c r="A141" s="1181"/>
      <c r="C141" s="458">
        <v>35</v>
      </c>
      <c r="D141" s="427">
        <v>-0.6</v>
      </c>
      <c r="E141" s="428" t="s">
        <v>100</v>
      </c>
      <c r="F141" s="457">
        <f t="shared" si="28"/>
        <v>0</v>
      </c>
      <c r="H141" s="441"/>
      <c r="I141" s="458">
        <v>70</v>
      </c>
      <c r="J141" s="427">
        <v>-0.8</v>
      </c>
      <c r="K141" s="428" t="s">
        <v>100</v>
      </c>
      <c r="L141" s="457">
        <f t="shared" si="29"/>
        <v>0</v>
      </c>
      <c r="O141" s="416"/>
      <c r="P141" s="396"/>
    </row>
    <row r="142" spans="1:16" ht="13" x14ac:dyDescent="0.3">
      <c r="A142" s="1181"/>
      <c r="C142" s="458">
        <v>37</v>
      </c>
      <c r="D142" s="427">
        <v>-0.8</v>
      </c>
      <c r="E142" s="428" t="s">
        <v>100</v>
      </c>
      <c r="F142" s="457">
        <f t="shared" si="28"/>
        <v>0</v>
      </c>
      <c r="H142" s="441"/>
      <c r="I142" s="458">
        <v>80</v>
      </c>
      <c r="J142" s="427">
        <v>-0.9</v>
      </c>
      <c r="K142" s="428" t="s">
        <v>100</v>
      </c>
      <c r="L142" s="457">
        <f t="shared" si="29"/>
        <v>0</v>
      </c>
      <c r="O142" s="416"/>
      <c r="P142" s="396"/>
    </row>
    <row r="143" spans="1:16" ht="13.5" thickBot="1" x14ac:dyDescent="0.35">
      <c r="A143" s="1182"/>
      <c r="B143" s="432"/>
      <c r="C143" s="459">
        <v>40</v>
      </c>
      <c r="D143" s="470">
        <v>-1.1000000000000001</v>
      </c>
      <c r="E143" s="462" t="s">
        <v>100</v>
      </c>
      <c r="F143" s="460">
        <f t="shared" si="28"/>
        <v>0</v>
      </c>
      <c r="G143" s="432"/>
      <c r="H143" s="461"/>
      <c r="I143" s="459">
        <v>90</v>
      </c>
      <c r="J143" s="470">
        <v>-0.8</v>
      </c>
      <c r="K143" s="462" t="s">
        <v>100</v>
      </c>
      <c r="L143" s="460">
        <f t="shared" si="29"/>
        <v>0</v>
      </c>
      <c r="M143" s="432"/>
      <c r="N143" s="432"/>
      <c r="O143" s="433"/>
      <c r="P143" s="396"/>
    </row>
    <row r="144" spans="1:16" ht="13.5" thickBot="1" x14ac:dyDescent="0.35">
      <c r="A144" s="464"/>
      <c r="B144" s="465"/>
      <c r="C144" s="465"/>
      <c r="D144" s="465"/>
      <c r="E144" s="466"/>
      <c r="F144" s="476"/>
      <c r="G144" s="468"/>
      <c r="H144" s="465"/>
      <c r="I144" s="465"/>
      <c r="J144" s="465"/>
      <c r="K144" s="466"/>
      <c r="L144" s="476"/>
      <c r="O144" s="416"/>
      <c r="P144" s="396"/>
    </row>
    <row r="145" spans="1:16" ht="13.5" thickBot="1" x14ac:dyDescent="0.35">
      <c r="A145" s="1180">
        <v>14</v>
      </c>
      <c r="B145" s="1183" t="s">
        <v>444</v>
      </c>
      <c r="C145" s="1184"/>
      <c r="D145" s="1184"/>
      <c r="E145" s="1184"/>
      <c r="F145" s="1185"/>
      <c r="G145" s="398"/>
      <c r="H145" s="1183" t="str">
        <f>B145</f>
        <v>KOREKSI EXTECH A.100605</v>
      </c>
      <c r="I145" s="1184"/>
      <c r="J145" s="1184"/>
      <c r="K145" s="1184"/>
      <c r="L145" s="1185"/>
      <c r="M145" s="398"/>
      <c r="N145" s="1186" t="s">
        <v>167</v>
      </c>
      <c r="O145" s="1187"/>
      <c r="P145" s="396"/>
    </row>
    <row r="146" spans="1:16" ht="13.5" thickBot="1" x14ac:dyDescent="0.35">
      <c r="A146" s="1181"/>
      <c r="B146" s="1188" t="s">
        <v>220</v>
      </c>
      <c r="C146" s="1189"/>
      <c r="D146" s="1190" t="s">
        <v>253</v>
      </c>
      <c r="E146" s="1191"/>
      <c r="F146" s="1192" t="s">
        <v>222</v>
      </c>
      <c r="H146" s="1188" t="s">
        <v>221</v>
      </c>
      <c r="I146" s="1189"/>
      <c r="J146" s="1190" t="s">
        <v>253</v>
      </c>
      <c r="K146" s="1191"/>
      <c r="L146" s="1192" t="s">
        <v>222</v>
      </c>
      <c r="N146" s="447" t="s">
        <v>220</v>
      </c>
      <c r="O146" s="471">
        <v>0.3</v>
      </c>
      <c r="P146" s="396"/>
    </row>
    <row r="147" spans="1:16" ht="15" thickBot="1" x14ac:dyDescent="0.35">
      <c r="A147" s="1181"/>
      <c r="B147" s="1176" t="s">
        <v>441</v>
      </c>
      <c r="C147" s="1177"/>
      <c r="D147" s="449">
        <v>2020</v>
      </c>
      <c r="E147" s="477" t="s">
        <v>100</v>
      </c>
      <c r="F147" s="1193"/>
      <c r="H147" s="1178" t="s">
        <v>140</v>
      </c>
      <c r="I147" s="1179"/>
      <c r="J147" s="450">
        <f>D147</f>
        <v>2020</v>
      </c>
      <c r="K147" s="450" t="str">
        <f>E147</f>
        <v>-</v>
      </c>
      <c r="L147" s="1193"/>
      <c r="N147" s="451" t="s">
        <v>140</v>
      </c>
      <c r="O147" s="469">
        <v>2.7</v>
      </c>
      <c r="P147" s="396"/>
    </row>
    <row r="148" spans="1:16" ht="13" x14ac:dyDescent="0.3">
      <c r="A148" s="1181"/>
      <c r="C148" s="453">
        <v>15</v>
      </c>
      <c r="D148" s="454">
        <v>-0.7</v>
      </c>
      <c r="E148" s="478" t="s">
        <v>100</v>
      </c>
      <c r="F148" s="455">
        <f t="shared" ref="F148:F154" si="30">0.5*(MAX(D148:E148)-MIN(D148:E148))</f>
        <v>0</v>
      </c>
      <c r="H148" s="441"/>
      <c r="I148" s="453">
        <v>35</v>
      </c>
      <c r="J148" s="454">
        <v>-1.4</v>
      </c>
      <c r="K148" s="478" t="s">
        <v>100</v>
      </c>
      <c r="L148" s="455">
        <f t="shared" ref="L148:L154" si="31">0.5*(MAX(J148:K148)-MIN(J148:K148))</f>
        <v>0</v>
      </c>
      <c r="O148" s="416"/>
      <c r="P148" s="396"/>
    </row>
    <row r="149" spans="1:16" ht="13" x14ac:dyDescent="0.3">
      <c r="A149" s="1181"/>
      <c r="C149" s="456">
        <v>20</v>
      </c>
      <c r="D149" s="414">
        <v>-0.4</v>
      </c>
      <c r="E149" s="479" t="s">
        <v>100</v>
      </c>
      <c r="F149" s="457">
        <f t="shared" si="30"/>
        <v>0</v>
      </c>
      <c r="H149" s="441"/>
      <c r="I149" s="456">
        <v>40</v>
      </c>
      <c r="J149" s="414">
        <v>-1.3</v>
      </c>
      <c r="K149" s="479" t="s">
        <v>100</v>
      </c>
      <c r="L149" s="457">
        <f t="shared" si="31"/>
        <v>0</v>
      </c>
      <c r="O149" s="416"/>
      <c r="P149" s="396"/>
    </row>
    <row r="150" spans="1:16" ht="13" x14ac:dyDescent="0.3">
      <c r="A150" s="1181"/>
      <c r="C150" s="456">
        <v>25</v>
      </c>
      <c r="D150" s="414">
        <v>-0.2</v>
      </c>
      <c r="E150" s="479" t="s">
        <v>100</v>
      </c>
      <c r="F150" s="457">
        <f t="shared" si="30"/>
        <v>0</v>
      </c>
      <c r="H150" s="441"/>
      <c r="I150" s="456">
        <v>50</v>
      </c>
      <c r="J150" s="414">
        <v>-1.3</v>
      </c>
      <c r="K150" s="479" t="s">
        <v>100</v>
      </c>
      <c r="L150" s="457">
        <f t="shared" si="31"/>
        <v>0</v>
      </c>
      <c r="O150" s="416"/>
      <c r="P150" s="396"/>
    </row>
    <row r="151" spans="1:16" ht="13" x14ac:dyDescent="0.3">
      <c r="A151" s="1181"/>
      <c r="C151" s="458">
        <v>30</v>
      </c>
      <c r="D151" s="427">
        <v>0.1</v>
      </c>
      <c r="E151" s="428" t="s">
        <v>100</v>
      </c>
      <c r="F151" s="457">
        <f t="shared" si="30"/>
        <v>0</v>
      </c>
      <c r="H151" s="441"/>
      <c r="I151" s="458">
        <v>60</v>
      </c>
      <c r="J151" s="427">
        <v>-1.5</v>
      </c>
      <c r="K151" s="428" t="s">
        <v>100</v>
      </c>
      <c r="L151" s="457">
        <f t="shared" si="31"/>
        <v>0</v>
      </c>
      <c r="O151" s="416"/>
      <c r="P151" s="396"/>
    </row>
    <row r="152" spans="1:16" ht="13" x14ac:dyDescent="0.3">
      <c r="A152" s="1181"/>
      <c r="C152" s="458">
        <v>35</v>
      </c>
      <c r="D152" s="427">
        <v>0.3</v>
      </c>
      <c r="E152" s="428" t="s">
        <v>100</v>
      </c>
      <c r="F152" s="457">
        <f t="shared" si="30"/>
        <v>0</v>
      </c>
      <c r="H152" s="441"/>
      <c r="I152" s="458">
        <v>70</v>
      </c>
      <c r="J152" s="427">
        <v>-1.9</v>
      </c>
      <c r="K152" s="428" t="s">
        <v>100</v>
      </c>
      <c r="L152" s="457">
        <f t="shared" si="31"/>
        <v>0</v>
      </c>
      <c r="O152" s="416"/>
      <c r="P152" s="396"/>
    </row>
    <row r="153" spans="1:16" ht="13" x14ac:dyDescent="0.3">
      <c r="A153" s="1181"/>
      <c r="C153" s="458">
        <v>37</v>
      </c>
      <c r="D153" s="427">
        <v>0.4</v>
      </c>
      <c r="E153" s="428" t="s">
        <v>100</v>
      </c>
      <c r="F153" s="457">
        <f t="shared" si="30"/>
        <v>0</v>
      </c>
      <c r="H153" s="441"/>
      <c r="I153" s="458">
        <v>80</v>
      </c>
      <c r="J153" s="427">
        <v>-2.5</v>
      </c>
      <c r="K153" s="428" t="s">
        <v>100</v>
      </c>
      <c r="L153" s="457">
        <f t="shared" si="31"/>
        <v>0</v>
      </c>
      <c r="O153" s="416"/>
      <c r="P153" s="396"/>
    </row>
    <row r="154" spans="1:16" ht="13.5" thickBot="1" x14ac:dyDescent="0.35">
      <c r="A154" s="1182"/>
      <c r="B154" s="432"/>
      <c r="C154" s="459">
        <v>40</v>
      </c>
      <c r="D154" s="470">
        <v>0.5</v>
      </c>
      <c r="E154" s="462" t="s">
        <v>100</v>
      </c>
      <c r="F154" s="460">
        <f t="shared" si="30"/>
        <v>0</v>
      </c>
      <c r="G154" s="432"/>
      <c r="H154" s="461"/>
      <c r="I154" s="459">
        <v>90</v>
      </c>
      <c r="J154" s="470">
        <v>-3.2</v>
      </c>
      <c r="K154" s="462" t="s">
        <v>100</v>
      </c>
      <c r="L154" s="460">
        <f t="shared" si="31"/>
        <v>0</v>
      </c>
      <c r="M154" s="432"/>
      <c r="N154" s="432"/>
      <c r="O154" s="433"/>
      <c r="P154" s="396"/>
    </row>
    <row r="155" spans="1:16" ht="13.5" thickBot="1" x14ac:dyDescent="0.35">
      <c r="A155" s="464"/>
      <c r="B155" s="465"/>
      <c r="C155" s="465"/>
      <c r="D155" s="465"/>
      <c r="E155" s="466"/>
      <c r="F155" s="476"/>
      <c r="G155" s="468"/>
      <c r="H155" s="465"/>
      <c r="I155" s="465"/>
      <c r="J155" s="465"/>
      <c r="K155" s="466"/>
      <c r="L155" s="476"/>
      <c r="O155" s="416"/>
      <c r="P155" s="396"/>
    </row>
    <row r="156" spans="1:16" ht="13.5" thickBot="1" x14ac:dyDescent="0.35">
      <c r="A156" s="1180">
        <v>15</v>
      </c>
      <c r="B156" s="1183" t="s">
        <v>445</v>
      </c>
      <c r="C156" s="1184"/>
      <c r="D156" s="1184"/>
      <c r="E156" s="1184"/>
      <c r="F156" s="1185"/>
      <c r="G156" s="398"/>
      <c r="H156" s="1183" t="str">
        <f>B156</f>
        <v>KOREKSI EXTECH A.100617</v>
      </c>
      <c r="I156" s="1184"/>
      <c r="J156" s="1184"/>
      <c r="K156" s="1184"/>
      <c r="L156" s="1185"/>
      <c r="M156" s="398"/>
      <c r="N156" s="1186" t="s">
        <v>167</v>
      </c>
      <c r="O156" s="1187"/>
      <c r="P156" s="396"/>
    </row>
    <row r="157" spans="1:16" ht="13.5" thickBot="1" x14ac:dyDescent="0.35">
      <c r="A157" s="1181"/>
      <c r="B157" s="1188" t="s">
        <v>220</v>
      </c>
      <c r="C157" s="1189"/>
      <c r="D157" s="1190" t="s">
        <v>253</v>
      </c>
      <c r="E157" s="1191"/>
      <c r="F157" s="1192" t="s">
        <v>222</v>
      </c>
      <c r="H157" s="1188" t="s">
        <v>221</v>
      </c>
      <c r="I157" s="1189"/>
      <c r="J157" s="1190" t="s">
        <v>253</v>
      </c>
      <c r="K157" s="1191"/>
      <c r="L157" s="1192" t="s">
        <v>222</v>
      </c>
      <c r="N157" s="447" t="s">
        <v>220</v>
      </c>
      <c r="O157" s="471">
        <v>0.3</v>
      </c>
      <c r="P157" s="396"/>
    </row>
    <row r="158" spans="1:16" ht="15" thickBot="1" x14ac:dyDescent="0.35">
      <c r="A158" s="1181"/>
      <c r="B158" s="1176" t="s">
        <v>441</v>
      </c>
      <c r="C158" s="1177"/>
      <c r="D158" s="449">
        <v>2020</v>
      </c>
      <c r="E158" s="477" t="s">
        <v>100</v>
      </c>
      <c r="F158" s="1193"/>
      <c r="H158" s="1178" t="s">
        <v>140</v>
      </c>
      <c r="I158" s="1179"/>
      <c r="J158" s="450">
        <f>D158</f>
        <v>2020</v>
      </c>
      <c r="K158" s="450" t="str">
        <f>E158</f>
        <v>-</v>
      </c>
      <c r="L158" s="1193"/>
      <c r="N158" s="451" t="s">
        <v>140</v>
      </c>
      <c r="O158" s="469">
        <v>2.8</v>
      </c>
      <c r="P158" s="396"/>
    </row>
    <row r="159" spans="1:16" ht="13" x14ac:dyDescent="0.3">
      <c r="A159" s="1181"/>
      <c r="C159" s="453">
        <v>15</v>
      </c>
      <c r="D159" s="454">
        <v>0.1</v>
      </c>
      <c r="E159" s="478" t="s">
        <v>100</v>
      </c>
      <c r="F159" s="455">
        <f t="shared" ref="F159:F165" si="32">0.5*(MAX(D159:E159)-MIN(D159:E159))</f>
        <v>0</v>
      </c>
      <c r="H159" s="441"/>
      <c r="I159" s="453">
        <v>30</v>
      </c>
      <c r="J159" s="454">
        <v>0.1</v>
      </c>
      <c r="K159" s="478" t="s">
        <v>100</v>
      </c>
      <c r="L159" s="455">
        <f t="shared" ref="L159:L165" si="33">0.5*(MAX(J159:K159)-MIN(J159:K159))</f>
        <v>0</v>
      </c>
      <c r="O159" s="416"/>
      <c r="P159" s="396"/>
    </row>
    <row r="160" spans="1:16" ht="13" x14ac:dyDescent="0.3">
      <c r="A160" s="1181"/>
      <c r="C160" s="456">
        <v>20</v>
      </c>
      <c r="D160" s="414">
        <v>0.1</v>
      </c>
      <c r="E160" s="479" t="s">
        <v>100</v>
      </c>
      <c r="F160" s="457">
        <f t="shared" si="32"/>
        <v>0</v>
      </c>
      <c r="H160" s="441"/>
      <c r="I160" s="456">
        <v>40</v>
      </c>
      <c r="J160" s="414">
        <v>0.2</v>
      </c>
      <c r="K160" s="479" t="s">
        <v>100</v>
      </c>
      <c r="L160" s="457">
        <f t="shared" si="33"/>
        <v>0</v>
      </c>
      <c r="O160" s="416"/>
      <c r="P160" s="396"/>
    </row>
    <row r="161" spans="1:16" ht="13" x14ac:dyDescent="0.3">
      <c r="A161" s="1181"/>
      <c r="C161" s="456">
        <v>25</v>
      </c>
      <c r="D161" s="414">
        <v>9.9999999999999995E-7</v>
      </c>
      <c r="E161" s="479" t="s">
        <v>100</v>
      </c>
      <c r="F161" s="457">
        <f t="shared" si="32"/>
        <v>0</v>
      </c>
      <c r="H161" s="441"/>
      <c r="I161" s="456">
        <v>50</v>
      </c>
      <c r="J161" s="414">
        <v>0.2</v>
      </c>
      <c r="K161" s="479" t="s">
        <v>100</v>
      </c>
      <c r="L161" s="457">
        <f t="shared" si="33"/>
        <v>0</v>
      </c>
      <c r="O161" s="416"/>
      <c r="P161" s="396"/>
    </row>
    <row r="162" spans="1:16" ht="13" x14ac:dyDescent="0.3">
      <c r="A162" s="1181"/>
      <c r="C162" s="458">
        <v>30</v>
      </c>
      <c r="D162" s="427">
        <v>-0.2</v>
      </c>
      <c r="E162" s="428" t="s">
        <v>100</v>
      </c>
      <c r="F162" s="457">
        <f t="shared" si="32"/>
        <v>0</v>
      </c>
      <c r="H162" s="441"/>
      <c r="I162" s="458">
        <v>60</v>
      </c>
      <c r="J162" s="427">
        <v>9.9999999999999995E-7</v>
      </c>
      <c r="K162" s="428" t="s">
        <v>100</v>
      </c>
      <c r="L162" s="457">
        <f t="shared" si="33"/>
        <v>0</v>
      </c>
      <c r="O162" s="416"/>
      <c r="P162" s="396"/>
    </row>
    <row r="163" spans="1:16" ht="13" x14ac:dyDescent="0.3">
      <c r="A163" s="1181"/>
      <c r="C163" s="458">
        <v>35</v>
      </c>
      <c r="D163" s="427">
        <v>-0.5</v>
      </c>
      <c r="E163" s="428" t="s">
        <v>100</v>
      </c>
      <c r="F163" s="457">
        <f t="shared" si="32"/>
        <v>0</v>
      </c>
      <c r="H163" s="441"/>
      <c r="I163" s="458">
        <v>70</v>
      </c>
      <c r="J163" s="427">
        <v>-0.3</v>
      </c>
      <c r="K163" s="428" t="s">
        <v>100</v>
      </c>
      <c r="L163" s="457">
        <f t="shared" si="33"/>
        <v>0</v>
      </c>
      <c r="O163" s="416"/>
      <c r="P163" s="396"/>
    </row>
    <row r="164" spans="1:16" ht="13" x14ac:dyDescent="0.3">
      <c r="A164" s="1181"/>
      <c r="C164" s="458">
        <v>37</v>
      </c>
      <c r="D164" s="427">
        <v>-0.6</v>
      </c>
      <c r="E164" s="428" t="s">
        <v>100</v>
      </c>
      <c r="F164" s="457">
        <f t="shared" si="32"/>
        <v>0</v>
      </c>
      <c r="H164" s="441"/>
      <c r="I164" s="458">
        <v>80</v>
      </c>
      <c r="J164" s="427">
        <v>-0.8</v>
      </c>
      <c r="K164" s="428" t="s">
        <v>100</v>
      </c>
      <c r="L164" s="457">
        <f t="shared" si="33"/>
        <v>0</v>
      </c>
      <c r="O164" s="416"/>
      <c r="P164" s="396"/>
    </row>
    <row r="165" spans="1:16" ht="13.5" thickBot="1" x14ac:dyDescent="0.35">
      <c r="A165" s="1182"/>
      <c r="B165" s="432"/>
      <c r="C165" s="459">
        <v>40</v>
      </c>
      <c r="D165" s="470">
        <v>-0.8</v>
      </c>
      <c r="E165" s="462" t="s">
        <v>100</v>
      </c>
      <c r="F165" s="460">
        <f t="shared" si="32"/>
        <v>0</v>
      </c>
      <c r="G165" s="432"/>
      <c r="H165" s="461"/>
      <c r="I165" s="459">
        <v>90</v>
      </c>
      <c r="J165" s="470">
        <v>-1.4</v>
      </c>
      <c r="K165" s="462" t="s">
        <v>100</v>
      </c>
      <c r="L165" s="460">
        <f t="shared" si="33"/>
        <v>0</v>
      </c>
      <c r="M165" s="432"/>
      <c r="N165" s="432"/>
      <c r="O165" s="433"/>
      <c r="P165" s="396"/>
    </row>
    <row r="166" spans="1:16" ht="13.5" thickBot="1" x14ac:dyDescent="0.35">
      <c r="A166" s="464"/>
      <c r="B166" s="465"/>
      <c r="C166" s="465"/>
      <c r="D166" s="465"/>
      <c r="E166" s="466"/>
      <c r="F166" s="476"/>
      <c r="G166" s="468"/>
      <c r="H166" s="465"/>
      <c r="I166" s="465"/>
      <c r="J166" s="465"/>
      <c r="K166" s="466"/>
      <c r="L166" s="476"/>
      <c r="O166" s="416"/>
      <c r="P166" s="396"/>
    </row>
    <row r="167" spans="1:16" ht="13.5" thickBot="1" x14ac:dyDescent="0.35">
      <c r="A167" s="1180">
        <v>16</v>
      </c>
      <c r="B167" s="1183" t="s">
        <v>446</v>
      </c>
      <c r="C167" s="1184"/>
      <c r="D167" s="1184"/>
      <c r="E167" s="1184"/>
      <c r="F167" s="1185"/>
      <c r="G167" s="398"/>
      <c r="H167" s="1183" t="str">
        <f>B167</f>
        <v>KOREKSI EXTECH A.100616</v>
      </c>
      <c r="I167" s="1184"/>
      <c r="J167" s="1184"/>
      <c r="K167" s="1184"/>
      <c r="L167" s="1185"/>
      <c r="M167" s="398"/>
      <c r="N167" s="1186" t="s">
        <v>167</v>
      </c>
      <c r="O167" s="1187"/>
      <c r="P167" s="396"/>
    </row>
    <row r="168" spans="1:16" ht="13.5" thickBot="1" x14ac:dyDescent="0.35">
      <c r="A168" s="1181"/>
      <c r="B168" s="1188" t="s">
        <v>220</v>
      </c>
      <c r="C168" s="1189"/>
      <c r="D168" s="1190" t="s">
        <v>253</v>
      </c>
      <c r="E168" s="1191"/>
      <c r="F168" s="1192" t="s">
        <v>222</v>
      </c>
      <c r="H168" s="1188" t="s">
        <v>221</v>
      </c>
      <c r="I168" s="1189"/>
      <c r="J168" s="1190" t="s">
        <v>253</v>
      </c>
      <c r="K168" s="1191"/>
      <c r="L168" s="1192" t="s">
        <v>222</v>
      </c>
      <c r="N168" s="447" t="s">
        <v>220</v>
      </c>
      <c r="O168" s="471">
        <v>0.4</v>
      </c>
      <c r="P168" s="396"/>
    </row>
    <row r="169" spans="1:16" ht="15" thickBot="1" x14ac:dyDescent="0.35">
      <c r="A169" s="1181"/>
      <c r="B169" s="1176" t="s">
        <v>441</v>
      </c>
      <c r="C169" s="1177"/>
      <c r="D169" s="449">
        <v>2020</v>
      </c>
      <c r="E169" s="477" t="s">
        <v>100</v>
      </c>
      <c r="F169" s="1193"/>
      <c r="H169" s="1178" t="s">
        <v>140</v>
      </c>
      <c r="I169" s="1179"/>
      <c r="J169" s="450">
        <f>D169</f>
        <v>2020</v>
      </c>
      <c r="K169" s="450" t="str">
        <f>E169</f>
        <v>-</v>
      </c>
      <c r="L169" s="1193"/>
      <c r="N169" s="451" t="s">
        <v>140</v>
      </c>
      <c r="O169" s="469">
        <v>2.2000000000000002</v>
      </c>
      <c r="P169" s="396"/>
    </row>
    <row r="170" spans="1:16" ht="13" x14ac:dyDescent="0.3">
      <c r="A170" s="1181"/>
      <c r="C170" s="453">
        <v>15</v>
      </c>
      <c r="D170" s="454">
        <v>0.1</v>
      </c>
      <c r="E170" s="478" t="s">
        <v>100</v>
      </c>
      <c r="F170" s="455">
        <f t="shared" ref="F170:F176" si="34">0.5*(MAX(D170:E170)-MIN(D170:E170))</f>
        <v>0</v>
      </c>
      <c r="H170" s="441"/>
      <c r="I170" s="453">
        <v>30</v>
      </c>
      <c r="J170" s="454">
        <v>-1.6</v>
      </c>
      <c r="K170" s="478" t="s">
        <v>100</v>
      </c>
      <c r="L170" s="455">
        <f t="shared" ref="L170:L176" si="35">0.5*(MAX(J170:K170)-MIN(J170:K170))</f>
        <v>0</v>
      </c>
      <c r="O170" s="416"/>
      <c r="P170" s="396"/>
    </row>
    <row r="171" spans="1:16" ht="13" x14ac:dyDescent="0.3">
      <c r="A171" s="1181"/>
      <c r="C171" s="456">
        <v>20</v>
      </c>
      <c r="D171" s="414">
        <v>0.2</v>
      </c>
      <c r="E171" s="479" t="s">
        <v>100</v>
      </c>
      <c r="F171" s="457">
        <f t="shared" si="34"/>
        <v>0</v>
      </c>
      <c r="H171" s="441"/>
      <c r="I171" s="456">
        <v>40</v>
      </c>
      <c r="J171" s="414">
        <v>-1.4</v>
      </c>
      <c r="K171" s="479" t="s">
        <v>100</v>
      </c>
      <c r="L171" s="457">
        <f t="shared" si="35"/>
        <v>0</v>
      </c>
      <c r="O171" s="416"/>
      <c r="P171" s="396"/>
    </row>
    <row r="172" spans="1:16" ht="13" x14ac:dyDescent="0.3">
      <c r="A172" s="1181"/>
      <c r="C172" s="456">
        <v>25</v>
      </c>
      <c r="D172" s="414">
        <v>0.2</v>
      </c>
      <c r="E172" s="479" t="s">
        <v>100</v>
      </c>
      <c r="F172" s="457">
        <f t="shared" si="34"/>
        <v>0</v>
      </c>
      <c r="H172" s="441"/>
      <c r="I172" s="456">
        <v>50</v>
      </c>
      <c r="J172" s="414">
        <v>-1.4</v>
      </c>
      <c r="K172" s="479" t="s">
        <v>100</v>
      </c>
      <c r="L172" s="457">
        <f t="shared" si="35"/>
        <v>0</v>
      </c>
      <c r="O172" s="416"/>
      <c r="P172" s="396"/>
    </row>
    <row r="173" spans="1:16" ht="13" x14ac:dyDescent="0.3">
      <c r="A173" s="1181"/>
      <c r="C173" s="458">
        <v>30</v>
      </c>
      <c r="D173" s="427">
        <v>0.2</v>
      </c>
      <c r="E173" s="428" t="s">
        <v>100</v>
      </c>
      <c r="F173" s="457">
        <f t="shared" si="34"/>
        <v>0</v>
      </c>
      <c r="H173" s="441"/>
      <c r="I173" s="458">
        <v>60</v>
      </c>
      <c r="J173" s="427">
        <v>-1.5</v>
      </c>
      <c r="K173" s="428" t="s">
        <v>100</v>
      </c>
      <c r="L173" s="457">
        <f t="shared" si="35"/>
        <v>0</v>
      </c>
      <c r="O173" s="416"/>
      <c r="P173" s="396"/>
    </row>
    <row r="174" spans="1:16" ht="13" x14ac:dyDescent="0.3">
      <c r="A174" s="1181"/>
      <c r="C174" s="458">
        <v>35</v>
      </c>
      <c r="D174" s="427">
        <v>0.1</v>
      </c>
      <c r="E174" s="428" t="s">
        <v>100</v>
      </c>
      <c r="F174" s="457">
        <f t="shared" si="34"/>
        <v>0</v>
      </c>
      <c r="H174" s="441"/>
      <c r="I174" s="458">
        <v>70</v>
      </c>
      <c r="J174" s="427">
        <v>-1.8</v>
      </c>
      <c r="K174" s="428" t="s">
        <v>100</v>
      </c>
      <c r="L174" s="457">
        <f t="shared" si="35"/>
        <v>0</v>
      </c>
      <c r="O174" s="416"/>
      <c r="P174" s="396"/>
    </row>
    <row r="175" spans="1:16" ht="13" x14ac:dyDescent="0.3">
      <c r="A175" s="1181"/>
      <c r="C175" s="458">
        <v>37</v>
      </c>
      <c r="D175" s="427">
        <v>9.9999999999999995E-7</v>
      </c>
      <c r="E175" s="428" t="s">
        <v>100</v>
      </c>
      <c r="F175" s="457">
        <f t="shared" si="34"/>
        <v>0</v>
      </c>
      <c r="H175" s="441"/>
      <c r="I175" s="458">
        <v>80</v>
      </c>
      <c r="J175" s="427">
        <v>-2.2999999999999998</v>
      </c>
      <c r="K175" s="428" t="s">
        <v>100</v>
      </c>
      <c r="L175" s="457">
        <f t="shared" si="35"/>
        <v>0</v>
      </c>
      <c r="O175" s="416"/>
      <c r="P175" s="396"/>
    </row>
    <row r="176" spans="1:16" ht="13.5" thickBot="1" x14ac:dyDescent="0.35">
      <c r="A176" s="1182"/>
      <c r="B176" s="432"/>
      <c r="C176" s="459">
        <v>40</v>
      </c>
      <c r="D176" s="470">
        <v>9.9999999999999995E-7</v>
      </c>
      <c r="E176" s="462" t="s">
        <v>100</v>
      </c>
      <c r="F176" s="460">
        <f t="shared" si="34"/>
        <v>0</v>
      </c>
      <c r="G176" s="432"/>
      <c r="H176" s="461"/>
      <c r="I176" s="459">
        <v>90</v>
      </c>
      <c r="J176" s="470">
        <v>-3</v>
      </c>
      <c r="K176" s="462" t="s">
        <v>100</v>
      </c>
      <c r="L176" s="460">
        <f t="shared" si="35"/>
        <v>0</v>
      </c>
      <c r="M176" s="432"/>
      <c r="N176" s="432"/>
      <c r="O176" s="433"/>
      <c r="P176" s="396"/>
    </row>
    <row r="177" spans="1:16" ht="13.5" thickBot="1" x14ac:dyDescent="0.35">
      <c r="A177" s="464"/>
      <c r="B177" s="465"/>
      <c r="C177" s="465"/>
      <c r="D177" s="465"/>
      <c r="E177" s="466"/>
      <c r="F177" s="476"/>
      <c r="G177" s="468"/>
      <c r="H177" s="465"/>
      <c r="I177" s="465"/>
      <c r="J177" s="465"/>
      <c r="K177" s="466"/>
      <c r="L177" s="476"/>
      <c r="O177" s="416"/>
      <c r="P177" s="396"/>
    </row>
    <row r="178" spans="1:16" ht="13.5" thickBot="1" x14ac:dyDescent="0.35">
      <c r="A178" s="1180">
        <v>17</v>
      </c>
      <c r="B178" s="1183" t="s">
        <v>447</v>
      </c>
      <c r="C178" s="1184"/>
      <c r="D178" s="1184"/>
      <c r="E178" s="1184"/>
      <c r="F178" s="1185"/>
      <c r="G178" s="398"/>
      <c r="H178" s="1183" t="str">
        <f>B178</f>
        <v>KOREKSI EXTECH A.100618</v>
      </c>
      <c r="I178" s="1184"/>
      <c r="J178" s="1184"/>
      <c r="K178" s="1184"/>
      <c r="L178" s="1185"/>
      <c r="M178" s="398"/>
      <c r="N178" s="1186" t="s">
        <v>167</v>
      </c>
      <c r="O178" s="1187"/>
      <c r="P178" s="396"/>
    </row>
    <row r="179" spans="1:16" ht="13.5" thickBot="1" x14ac:dyDescent="0.35">
      <c r="A179" s="1181"/>
      <c r="B179" s="1188" t="s">
        <v>220</v>
      </c>
      <c r="C179" s="1189"/>
      <c r="D179" s="1190" t="s">
        <v>253</v>
      </c>
      <c r="E179" s="1191"/>
      <c r="F179" s="1192" t="s">
        <v>222</v>
      </c>
      <c r="H179" s="1188" t="s">
        <v>221</v>
      </c>
      <c r="I179" s="1189"/>
      <c r="J179" s="1190" t="s">
        <v>253</v>
      </c>
      <c r="K179" s="1191"/>
      <c r="L179" s="1192" t="s">
        <v>222</v>
      </c>
      <c r="N179" s="447" t="s">
        <v>220</v>
      </c>
      <c r="O179" s="471">
        <v>0.3</v>
      </c>
      <c r="P179" s="396"/>
    </row>
    <row r="180" spans="1:16" ht="15" thickBot="1" x14ac:dyDescent="0.35">
      <c r="A180" s="1181"/>
      <c r="B180" s="1176" t="s">
        <v>441</v>
      </c>
      <c r="C180" s="1177"/>
      <c r="D180" s="449">
        <v>2020</v>
      </c>
      <c r="E180" s="477" t="s">
        <v>100</v>
      </c>
      <c r="F180" s="1193"/>
      <c r="H180" s="1178" t="s">
        <v>140</v>
      </c>
      <c r="I180" s="1179"/>
      <c r="J180" s="450">
        <f>D180</f>
        <v>2020</v>
      </c>
      <c r="K180" s="450" t="str">
        <f>E180</f>
        <v>-</v>
      </c>
      <c r="L180" s="1193"/>
      <c r="N180" s="451" t="s">
        <v>140</v>
      </c>
      <c r="O180" s="469">
        <v>1.6</v>
      </c>
      <c r="P180" s="396"/>
    </row>
    <row r="181" spans="1:16" ht="13" x14ac:dyDescent="0.3">
      <c r="A181" s="1181"/>
      <c r="C181" s="453">
        <v>15</v>
      </c>
      <c r="D181" s="454">
        <v>0</v>
      </c>
      <c r="E181" s="478" t="s">
        <v>100</v>
      </c>
      <c r="F181" s="455">
        <f t="shared" ref="F181:F187" si="36">0.5*(MAX(D181:E181)-MIN(D181:E181))</f>
        <v>0</v>
      </c>
      <c r="H181" s="441"/>
      <c r="I181" s="453">
        <v>30</v>
      </c>
      <c r="J181" s="454">
        <v>-0.4</v>
      </c>
      <c r="K181" s="478" t="s">
        <v>100</v>
      </c>
      <c r="L181" s="455">
        <f t="shared" ref="L181:L187" si="37">0.5*(MAX(J181:K181)-MIN(J181:K181))</f>
        <v>0</v>
      </c>
      <c r="O181" s="416"/>
      <c r="P181" s="396"/>
    </row>
    <row r="182" spans="1:16" ht="13" x14ac:dyDescent="0.3">
      <c r="A182" s="1181"/>
      <c r="C182" s="456">
        <v>20</v>
      </c>
      <c r="D182" s="414">
        <v>-0.1</v>
      </c>
      <c r="E182" s="479" t="s">
        <v>100</v>
      </c>
      <c r="F182" s="457">
        <f t="shared" si="36"/>
        <v>0</v>
      </c>
      <c r="H182" s="441"/>
      <c r="I182" s="456">
        <v>40</v>
      </c>
      <c r="J182" s="414">
        <v>-0.2</v>
      </c>
      <c r="K182" s="479" t="s">
        <v>100</v>
      </c>
      <c r="L182" s="457">
        <f t="shared" si="37"/>
        <v>0</v>
      </c>
      <c r="O182" s="416"/>
      <c r="P182" s="396"/>
    </row>
    <row r="183" spans="1:16" ht="13" x14ac:dyDescent="0.3">
      <c r="A183" s="1181"/>
      <c r="C183" s="456">
        <v>25</v>
      </c>
      <c r="D183" s="414">
        <v>-0.2</v>
      </c>
      <c r="E183" s="479" t="s">
        <v>100</v>
      </c>
      <c r="F183" s="457">
        <f t="shared" si="36"/>
        <v>0</v>
      </c>
      <c r="H183" s="441"/>
      <c r="I183" s="456">
        <v>50</v>
      </c>
      <c r="J183" s="414">
        <v>-0.2</v>
      </c>
      <c r="K183" s="479" t="s">
        <v>100</v>
      </c>
      <c r="L183" s="457">
        <f t="shared" si="37"/>
        <v>0</v>
      </c>
      <c r="O183" s="416"/>
      <c r="P183" s="396"/>
    </row>
    <row r="184" spans="1:16" ht="13" x14ac:dyDescent="0.3">
      <c r="A184" s="1181"/>
      <c r="C184" s="458">
        <v>30</v>
      </c>
      <c r="D184" s="427">
        <v>-0.2</v>
      </c>
      <c r="E184" s="428" t="s">
        <v>100</v>
      </c>
      <c r="F184" s="457">
        <f t="shared" si="36"/>
        <v>0</v>
      </c>
      <c r="H184" s="441"/>
      <c r="I184" s="458">
        <v>60</v>
      </c>
      <c r="J184" s="427">
        <v>-0.2</v>
      </c>
      <c r="K184" s="428" t="s">
        <v>100</v>
      </c>
      <c r="L184" s="457">
        <f t="shared" si="37"/>
        <v>0</v>
      </c>
      <c r="O184" s="416"/>
      <c r="P184" s="396"/>
    </row>
    <row r="185" spans="1:16" ht="13" x14ac:dyDescent="0.3">
      <c r="A185" s="1181"/>
      <c r="C185" s="458">
        <v>35</v>
      </c>
      <c r="D185" s="427">
        <v>-0.3</v>
      </c>
      <c r="E185" s="428" t="s">
        <v>100</v>
      </c>
      <c r="F185" s="457">
        <f t="shared" si="36"/>
        <v>0</v>
      </c>
      <c r="H185" s="441"/>
      <c r="I185" s="458">
        <v>70</v>
      </c>
      <c r="J185" s="427">
        <v>-0.3</v>
      </c>
      <c r="K185" s="428" t="s">
        <v>100</v>
      </c>
      <c r="L185" s="457">
        <f t="shared" si="37"/>
        <v>0</v>
      </c>
      <c r="O185" s="416"/>
      <c r="P185" s="396"/>
    </row>
    <row r="186" spans="1:16" ht="13" x14ac:dyDescent="0.3">
      <c r="A186" s="1181"/>
      <c r="C186" s="458">
        <v>37</v>
      </c>
      <c r="D186" s="427">
        <v>-0.3</v>
      </c>
      <c r="E186" s="428" t="s">
        <v>100</v>
      </c>
      <c r="F186" s="457">
        <f t="shared" si="36"/>
        <v>0</v>
      </c>
      <c r="H186" s="441"/>
      <c r="I186" s="458">
        <v>80</v>
      </c>
      <c r="J186" s="427">
        <v>-0.5</v>
      </c>
      <c r="K186" s="428" t="s">
        <v>100</v>
      </c>
      <c r="L186" s="457">
        <f t="shared" si="37"/>
        <v>0</v>
      </c>
      <c r="O186" s="416"/>
      <c r="P186" s="396"/>
    </row>
    <row r="187" spans="1:16" ht="13.5" thickBot="1" x14ac:dyDescent="0.35">
      <c r="A187" s="1182"/>
      <c r="B187" s="432"/>
      <c r="C187" s="459">
        <v>40</v>
      </c>
      <c r="D187" s="470">
        <v>-0.4</v>
      </c>
      <c r="E187" s="462" t="s">
        <v>100</v>
      </c>
      <c r="F187" s="460">
        <f t="shared" si="36"/>
        <v>0</v>
      </c>
      <c r="G187" s="432"/>
      <c r="H187" s="461"/>
      <c r="I187" s="459">
        <v>90</v>
      </c>
      <c r="J187" s="470">
        <v>-0.8</v>
      </c>
      <c r="K187" s="462" t="s">
        <v>100</v>
      </c>
      <c r="L187" s="460">
        <f t="shared" si="37"/>
        <v>0</v>
      </c>
      <c r="M187" s="432"/>
      <c r="N187" s="432"/>
      <c r="O187" s="433"/>
      <c r="P187" s="396"/>
    </row>
    <row r="188" spans="1:16" ht="13.5" thickBot="1" x14ac:dyDescent="0.35">
      <c r="A188" s="464"/>
      <c r="B188" s="465"/>
      <c r="C188" s="465"/>
      <c r="D188" s="465"/>
      <c r="E188" s="466"/>
      <c r="F188" s="476"/>
      <c r="G188" s="468"/>
      <c r="H188" s="465"/>
      <c r="I188" s="465"/>
      <c r="J188" s="465"/>
      <c r="K188" s="466"/>
      <c r="L188" s="476"/>
      <c r="O188" s="416"/>
      <c r="P188" s="396"/>
    </row>
    <row r="189" spans="1:16" ht="13.5" thickBot="1" x14ac:dyDescent="0.35">
      <c r="A189" s="1180">
        <v>18</v>
      </c>
      <c r="B189" s="1183" t="s">
        <v>448</v>
      </c>
      <c r="C189" s="1184"/>
      <c r="D189" s="1184"/>
      <c r="E189" s="1184"/>
      <c r="F189" s="1185"/>
      <c r="G189" s="398"/>
      <c r="H189" s="1183" t="str">
        <f>B189</f>
        <v>KOREKSI EXTECH A.100586</v>
      </c>
      <c r="I189" s="1184"/>
      <c r="J189" s="1184"/>
      <c r="K189" s="1184"/>
      <c r="L189" s="1185"/>
      <c r="M189" s="398"/>
      <c r="N189" s="1186" t="s">
        <v>167</v>
      </c>
      <c r="O189" s="1187"/>
      <c r="P189" s="396"/>
    </row>
    <row r="190" spans="1:16" ht="13.5" thickBot="1" x14ac:dyDescent="0.35">
      <c r="A190" s="1181"/>
      <c r="B190" s="1188" t="s">
        <v>220</v>
      </c>
      <c r="C190" s="1189"/>
      <c r="D190" s="1190" t="s">
        <v>253</v>
      </c>
      <c r="E190" s="1191"/>
      <c r="F190" s="1192" t="s">
        <v>222</v>
      </c>
      <c r="H190" s="1188" t="s">
        <v>221</v>
      </c>
      <c r="I190" s="1189"/>
      <c r="J190" s="1190" t="s">
        <v>253</v>
      </c>
      <c r="K190" s="1191"/>
      <c r="L190" s="1192" t="s">
        <v>222</v>
      </c>
      <c r="N190" s="447" t="s">
        <v>220</v>
      </c>
      <c r="O190" s="471">
        <v>0.3</v>
      </c>
      <c r="P190" s="396"/>
    </row>
    <row r="191" spans="1:16" ht="15" thickBot="1" x14ac:dyDescent="0.35">
      <c r="A191" s="1181"/>
      <c r="B191" s="1176" t="s">
        <v>441</v>
      </c>
      <c r="C191" s="1177"/>
      <c r="D191" s="407">
        <v>2020</v>
      </c>
      <c r="E191" s="449">
        <v>2017</v>
      </c>
      <c r="F191" s="1193"/>
      <c r="H191" s="1178" t="s">
        <v>140</v>
      </c>
      <c r="I191" s="1179"/>
      <c r="J191" s="409">
        <f>'DB Thermohygro'!D191</f>
        <v>2020</v>
      </c>
      <c r="K191" s="450">
        <f>E191</f>
        <v>2017</v>
      </c>
      <c r="L191" s="1193"/>
      <c r="N191" s="451" t="s">
        <v>140</v>
      </c>
      <c r="O191" s="469">
        <v>2</v>
      </c>
      <c r="P191" s="396"/>
    </row>
    <row r="192" spans="1:16" ht="13" x14ac:dyDescent="0.3">
      <c r="A192" s="1181"/>
      <c r="C192" s="453">
        <v>15</v>
      </c>
      <c r="D192" s="418">
        <v>9.9999999999999995E-7</v>
      </c>
      <c r="E192" s="454">
        <v>9.9999999999999995E-7</v>
      </c>
      <c r="F192" s="455">
        <f t="shared" ref="F192:F198" si="38">0.5*(MAX(E192:E192)-MIN(E192:E192))</f>
        <v>0</v>
      </c>
      <c r="H192" s="441"/>
      <c r="I192" s="453">
        <v>30</v>
      </c>
      <c r="J192" s="418">
        <v>-0.4</v>
      </c>
      <c r="K192" s="454">
        <v>-0.4</v>
      </c>
      <c r="L192" s="455">
        <f t="shared" ref="L192:L198" si="39">0.5*(MAX(K192:K192)-MIN(K192:K192))</f>
        <v>0</v>
      </c>
      <c r="O192" s="416"/>
      <c r="P192" s="396"/>
    </row>
    <row r="193" spans="1:17" ht="13" x14ac:dyDescent="0.3">
      <c r="A193" s="1181"/>
      <c r="C193" s="456">
        <v>20</v>
      </c>
      <c r="D193" s="424">
        <v>9.9999999999999995E-7</v>
      </c>
      <c r="E193" s="414">
        <v>9.9999999999999995E-7</v>
      </c>
      <c r="F193" s="457">
        <f t="shared" si="38"/>
        <v>0</v>
      </c>
      <c r="H193" s="441"/>
      <c r="I193" s="456">
        <v>40</v>
      </c>
      <c r="J193" s="424">
        <v>-0.1</v>
      </c>
      <c r="K193" s="414">
        <v>-0.1</v>
      </c>
      <c r="L193" s="457">
        <f t="shared" si="39"/>
        <v>0</v>
      </c>
      <c r="O193" s="416"/>
      <c r="P193" s="396"/>
    </row>
    <row r="194" spans="1:17" ht="13" x14ac:dyDescent="0.3">
      <c r="A194" s="1181"/>
      <c r="C194" s="456">
        <v>25</v>
      </c>
      <c r="D194" s="424">
        <v>9.9999999999999995E-7</v>
      </c>
      <c r="E194" s="414">
        <v>9.9999999999999995E-7</v>
      </c>
      <c r="F194" s="457">
        <f t="shared" si="38"/>
        <v>0</v>
      </c>
      <c r="H194" s="441"/>
      <c r="I194" s="456">
        <v>50</v>
      </c>
      <c r="J194" s="424">
        <v>9.9999999999999995E-7</v>
      </c>
      <c r="K194" s="414">
        <v>9.9999999999999995E-7</v>
      </c>
      <c r="L194" s="457">
        <f t="shared" si="39"/>
        <v>0</v>
      </c>
      <c r="O194" s="416"/>
      <c r="P194" s="396"/>
    </row>
    <row r="195" spans="1:17" ht="13" x14ac:dyDescent="0.3">
      <c r="A195" s="1181"/>
      <c r="C195" s="458">
        <v>30</v>
      </c>
      <c r="D195" s="430">
        <v>-0.1</v>
      </c>
      <c r="E195" s="427">
        <v>-0.1</v>
      </c>
      <c r="F195" s="457">
        <f t="shared" si="38"/>
        <v>0</v>
      </c>
      <c r="H195" s="441"/>
      <c r="I195" s="458">
        <v>60</v>
      </c>
      <c r="J195" s="430">
        <v>9.9999999999999995E-7</v>
      </c>
      <c r="K195" s="427">
        <v>9.9999999999999995E-7</v>
      </c>
      <c r="L195" s="457">
        <f t="shared" si="39"/>
        <v>0</v>
      </c>
      <c r="O195" s="416"/>
      <c r="P195" s="396"/>
    </row>
    <row r="196" spans="1:17" ht="13" x14ac:dyDescent="0.3">
      <c r="A196" s="1181"/>
      <c r="C196" s="458">
        <v>35</v>
      </c>
      <c r="D196" s="430">
        <v>-0.2</v>
      </c>
      <c r="E196" s="427">
        <v>-0.2</v>
      </c>
      <c r="F196" s="457">
        <f t="shared" si="38"/>
        <v>0</v>
      </c>
      <c r="H196" s="441"/>
      <c r="I196" s="458">
        <v>70</v>
      </c>
      <c r="J196" s="430">
        <v>-0.1</v>
      </c>
      <c r="K196" s="427">
        <v>-0.1</v>
      </c>
      <c r="L196" s="457">
        <f t="shared" si="39"/>
        <v>0</v>
      </c>
      <c r="O196" s="416"/>
      <c r="P196" s="396"/>
    </row>
    <row r="197" spans="1:17" ht="13" x14ac:dyDescent="0.3">
      <c r="A197" s="1181"/>
      <c r="C197" s="458">
        <v>37</v>
      </c>
      <c r="D197" s="430">
        <v>-0.3</v>
      </c>
      <c r="E197" s="427">
        <v>-0.3</v>
      </c>
      <c r="F197" s="457">
        <f t="shared" si="38"/>
        <v>0</v>
      </c>
      <c r="H197" s="441"/>
      <c r="I197" s="458">
        <v>80</v>
      </c>
      <c r="J197" s="430">
        <v>-0.5</v>
      </c>
      <c r="K197" s="427">
        <v>-0.5</v>
      </c>
      <c r="L197" s="457">
        <f t="shared" si="39"/>
        <v>0</v>
      </c>
      <c r="O197" s="416"/>
      <c r="P197" s="396"/>
    </row>
    <row r="198" spans="1:17" ht="13.5" thickBot="1" x14ac:dyDescent="0.35">
      <c r="A198" s="1182"/>
      <c r="B198" s="432"/>
      <c r="C198" s="459">
        <v>40</v>
      </c>
      <c r="D198" s="436">
        <v>-0.4</v>
      </c>
      <c r="E198" s="470">
        <v>-0.4</v>
      </c>
      <c r="F198" s="460">
        <f t="shared" si="38"/>
        <v>0</v>
      </c>
      <c r="G198" s="432"/>
      <c r="H198" s="461"/>
      <c r="I198" s="459">
        <v>90</v>
      </c>
      <c r="J198" s="436">
        <v>-0.9</v>
      </c>
      <c r="K198" s="470">
        <v>-0.9</v>
      </c>
      <c r="L198" s="460">
        <f t="shared" si="39"/>
        <v>0</v>
      </c>
      <c r="M198" s="432"/>
      <c r="N198" s="432"/>
      <c r="O198" s="433"/>
      <c r="P198" s="396"/>
    </row>
    <row r="199" spans="1:17" ht="13.5" thickBot="1" x14ac:dyDescent="0.35">
      <c r="A199" s="482"/>
      <c r="B199" s="483"/>
      <c r="C199" s="483"/>
      <c r="D199" s="483"/>
      <c r="E199" s="483"/>
      <c r="F199" s="483"/>
      <c r="G199" s="483"/>
      <c r="H199" s="483"/>
      <c r="I199" s="483"/>
      <c r="J199" s="483"/>
      <c r="K199" s="483"/>
      <c r="L199" s="483"/>
      <c r="M199" s="483"/>
      <c r="N199" s="483"/>
      <c r="O199" s="484"/>
      <c r="P199" s="396"/>
    </row>
    <row r="200" spans="1:17" ht="13.5" thickBot="1" x14ac:dyDescent="0.35">
      <c r="A200" s="396"/>
      <c r="B200" s="396"/>
      <c r="C200" s="396"/>
      <c r="D200" s="396"/>
      <c r="E200" s="396"/>
      <c r="F200" s="396"/>
      <c r="G200" s="396"/>
      <c r="H200" s="396"/>
      <c r="I200" s="396"/>
      <c r="J200" s="396"/>
      <c r="K200" s="396"/>
      <c r="L200" s="396"/>
      <c r="M200" s="396"/>
      <c r="N200" s="396"/>
      <c r="O200" s="396"/>
      <c r="P200" s="396"/>
    </row>
    <row r="201" spans="1:17" x14ac:dyDescent="0.25">
      <c r="A201" s="1166" t="s">
        <v>33</v>
      </c>
      <c r="B201" s="1168" t="s">
        <v>284</v>
      </c>
      <c r="C201" s="1170" t="s">
        <v>306</v>
      </c>
      <c r="D201" s="1170"/>
      <c r="E201" s="1170"/>
      <c r="F201" s="1170"/>
      <c r="G201" s="485"/>
      <c r="H201" s="1171" t="s">
        <v>33</v>
      </c>
      <c r="I201" s="1168" t="s">
        <v>284</v>
      </c>
      <c r="J201" s="1170" t="s">
        <v>306</v>
      </c>
      <c r="K201" s="1170"/>
      <c r="L201" s="1170"/>
      <c r="M201" s="1170"/>
      <c r="N201" s="486"/>
      <c r="O201" s="1163" t="s">
        <v>167</v>
      </c>
      <c r="P201" s="1164"/>
    </row>
    <row r="202" spans="1:17" ht="13.5" x14ac:dyDescent="0.3">
      <c r="A202" s="1167"/>
      <c r="B202" s="1169"/>
      <c r="C202" s="487" t="s">
        <v>220</v>
      </c>
      <c r="D202" s="1165" t="s">
        <v>253</v>
      </c>
      <c r="E202" s="1165"/>
      <c r="F202" s="1165" t="s">
        <v>222</v>
      </c>
      <c r="G202" s="396"/>
      <c r="H202" s="1172"/>
      <c r="I202" s="1169"/>
      <c r="J202" s="487" t="s">
        <v>221</v>
      </c>
      <c r="K202" s="1165" t="s">
        <v>253</v>
      </c>
      <c r="L202" s="1165"/>
      <c r="M202" s="1165" t="s">
        <v>222</v>
      </c>
      <c r="N202" s="396"/>
      <c r="O202" s="1161" t="s">
        <v>220</v>
      </c>
      <c r="P202" s="1162"/>
    </row>
    <row r="203" spans="1:17" ht="14" x14ac:dyDescent="0.3">
      <c r="A203" s="1167"/>
      <c r="B203" s="1169"/>
      <c r="C203" s="488" t="s">
        <v>449</v>
      </c>
      <c r="D203" s="487"/>
      <c r="E203" s="487"/>
      <c r="F203" s="1165"/>
      <c r="G203" s="396"/>
      <c r="H203" s="1172"/>
      <c r="I203" s="1169"/>
      <c r="J203" s="488" t="s">
        <v>140</v>
      </c>
      <c r="K203" s="487"/>
      <c r="L203" s="487"/>
      <c r="M203" s="1165"/>
      <c r="N203" s="396"/>
      <c r="O203" s="489">
        <v>1</v>
      </c>
      <c r="P203" s="490">
        <f>O3</f>
        <v>0.6</v>
      </c>
      <c r="Q203" s="490">
        <f>O4</f>
        <v>3.1</v>
      </c>
    </row>
    <row r="204" spans="1:17" ht="13" x14ac:dyDescent="0.3">
      <c r="A204" s="1157" t="s">
        <v>269</v>
      </c>
      <c r="B204" s="491">
        <v>1</v>
      </c>
      <c r="C204" s="492">
        <f>C5</f>
        <v>15</v>
      </c>
      <c r="D204" s="492">
        <f t="shared" ref="D204:F204" si="40">D5</f>
        <v>-0.5</v>
      </c>
      <c r="E204" s="492">
        <f t="shared" si="40"/>
        <v>0.3</v>
      </c>
      <c r="F204" s="492">
        <f t="shared" si="40"/>
        <v>0.4</v>
      </c>
      <c r="G204" s="396"/>
      <c r="H204" s="1173" t="s">
        <v>269</v>
      </c>
      <c r="I204" s="491">
        <v>1</v>
      </c>
      <c r="J204" s="492">
        <f>I5</f>
        <v>35</v>
      </c>
      <c r="K204" s="492">
        <f t="shared" ref="K204:M204" si="41">J5</f>
        <v>-6</v>
      </c>
      <c r="L204" s="492">
        <f t="shared" si="41"/>
        <v>-9.4</v>
      </c>
      <c r="M204" s="492">
        <f t="shared" si="41"/>
        <v>1.7000000000000002</v>
      </c>
      <c r="N204" s="396"/>
      <c r="O204" s="493">
        <v>2</v>
      </c>
      <c r="P204" s="489">
        <f>O14</f>
        <v>0.3</v>
      </c>
      <c r="Q204" s="489">
        <f>O15</f>
        <v>3.3</v>
      </c>
    </row>
    <row r="205" spans="1:17" ht="13" x14ac:dyDescent="0.3">
      <c r="A205" s="1158"/>
      <c r="B205" s="491">
        <v>2</v>
      </c>
      <c r="C205" s="492">
        <f>C16</f>
        <v>15</v>
      </c>
      <c r="D205" s="492">
        <f>E16</f>
        <v>9.9999999999999995E-7</v>
      </c>
      <c r="E205" s="492" t="s">
        <v>100</v>
      </c>
      <c r="F205" s="492">
        <f t="shared" ref="F205" si="42">F16</f>
        <v>0</v>
      </c>
      <c r="G205" s="396"/>
      <c r="H205" s="1174"/>
      <c r="I205" s="491">
        <v>2</v>
      </c>
      <c r="J205" s="492">
        <f>I16</f>
        <v>35</v>
      </c>
      <c r="K205" s="492">
        <f>K16</f>
        <v>-1.6</v>
      </c>
      <c r="L205" s="492" t="s">
        <v>100</v>
      </c>
      <c r="M205" s="492">
        <f t="shared" ref="M205" si="43">L16</f>
        <v>0</v>
      </c>
      <c r="N205" s="396"/>
      <c r="O205" s="493">
        <v>3</v>
      </c>
      <c r="P205" s="493">
        <f>O25</f>
        <v>0.3</v>
      </c>
      <c r="Q205" s="493">
        <f>O26</f>
        <v>3.1</v>
      </c>
    </row>
    <row r="206" spans="1:17" ht="13" x14ac:dyDescent="0.3">
      <c r="A206" s="1158"/>
      <c r="B206" s="491">
        <v>3</v>
      </c>
      <c r="C206" s="492">
        <f>C27</f>
        <v>15</v>
      </c>
      <c r="D206" s="492">
        <f>E27</f>
        <v>9.9999999999999995E-7</v>
      </c>
      <c r="E206" s="492" t="s">
        <v>100</v>
      </c>
      <c r="F206" s="492">
        <f t="shared" ref="F206" si="44">F27</f>
        <v>0</v>
      </c>
      <c r="G206" s="396"/>
      <c r="H206" s="1174"/>
      <c r="I206" s="491">
        <v>3</v>
      </c>
      <c r="J206" s="492">
        <f>I27</f>
        <v>30</v>
      </c>
      <c r="K206" s="492">
        <f>K27</f>
        <v>-5.7</v>
      </c>
      <c r="L206" s="492" t="s">
        <v>100</v>
      </c>
      <c r="M206" s="492">
        <f t="shared" ref="M206" si="45">L27</f>
        <v>0</v>
      </c>
      <c r="N206" s="396"/>
      <c r="O206" s="493">
        <v>4</v>
      </c>
      <c r="P206" s="493">
        <f>O36</f>
        <v>0.6</v>
      </c>
      <c r="Q206" s="493">
        <f>O37</f>
        <v>2.6</v>
      </c>
    </row>
    <row r="207" spans="1:17" ht="13" x14ac:dyDescent="0.3">
      <c r="A207" s="1158"/>
      <c r="B207" s="491">
        <v>4</v>
      </c>
      <c r="C207" s="494">
        <f>C38</f>
        <v>15</v>
      </c>
      <c r="D207" s="494">
        <f>E38</f>
        <v>-0.1</v>
      </c>
      <c r="E207" s="494" t="s">
        <v>100</v>
      </c>
      <c r="F207" s="494">
        <f t="shared" ref="F207" si="46">F38</f>
        <v>0</v>
      </c>
      <c r="G207" s="396"/>
      <c r="H207" s="1174"/>
      <c r="I207" s="491">
        <v>4</v>
      </c>
      <c r="J207" s="494">
        <f>I38</f>
        <v>35</v>
      </c>
      <c r="K207" s="494">
        <f>K38</f>
        <v>-1.7</v>
      </c>
      <c r="L207" s="494" t="s">
        <v>100</v>
      </c>
      <c r="M207" s="494">
        <f t="shared" ref="M207" si="47">L38</f>
        <v>0</v>
      </c>
      <c r="N207" s="396"/>
      <c r="O207" s="493">
        <v>5</v>
      </c>
      <c r="P207" s="493">
        <f>O47</f>
        <v>0.4</v>
      </c>
      <c r="Q207" s="493">
        <f>O48</f>
        <v>2.8</v>
      </c>
    </row>
    <row r="208" spans="1:17" ht="13" x14ac:dyDescent="0.3">
      <c r="A208" s="1158"/>
      <c r="B208" s="491">
        <v>5</v>
      </c>
      <c r="C208" s="494">
        <f>C49</f>
        <v>15</v>
      </c>
      <c r="D208" s="494">
        <f t="shared" ref="D208:F208" si="48">D49</f>
        <v>-0.3</v>
      </c>
      <c r="E208" s="494">
        <f t="shared" si="48"/>
        <v>0.3</v>
      </c>
      <c r="F208" s="494">
        <f t="shared" si="48"/>
        <v>0.3</v>
      </c>
      <c r="G208" s="396"/>
      <c r="H208" s="1174"/>
      <c r="I208" s="491">
        <v>5</v>
      </c>
      <c r="J208" s="494">
        <f>I49</f>
        <v>35</v>
      </c>
      <c r="K208" s="494">
        <f t="shared" ref="K208:M208" si="49">J49</f>
        <v>-7.7</v>
      </c>
      <c r="L208" s="494">
        <f t="shared" si="49"/>
        <v>-9.6</v>
      </c>
      <c r="M208" s="494">
        <f t="shared" si="49"/>
        <v>0.94999999999999973</v>
      </c>
      <c r="N208" s="396"/>
      <c r="O208" s="489">
        <v>6</v>
      </c>
      <c r="P208" s="490">
        <f>O58</f>
        <v>0.8</v>
      </c>
      <c r="Q208" s="490">
        <f>O59</f>
        <v>2.6</v>
      </c>
    </row>
    <row r="209" spans="1:17" ht="13" x14ac:dyDescent="0.3">
      <c r="A209" s="1158"/>
      <c r="B209" s="491">
        <v>6</v>
      </c>
      <c r="C209" s="494">
        <f>C60</f>
        <v>15</v>
      </c>
      <c r="D209" s="494">
        <f t="shared" ref="D209:F209" si="50">D60</f>
        <v>0.4</v>
      </c>
      <c r="E209" s="494">
        <f t="shared" si="50"/>
        <v>0.4</v>
      </c>
      <c r="F209" s="494">
        <f t="shared" si="50"/>
        <v>0</v>
      </c>
      <c r="G209" s="396"/>
      <c r="H209" s="1174"/>
      <c r="I209" s="491">
        <v>6</v>
      </c>
      <c r="J209" s="494">
        <f>I60</f>
        <v>30</v>
      </c>
      <c r="K209" s="494">
        <f t="shared" ref="K209:M209" si="51">J60</f>
        <v>-1.5</v>
      </c>
      <c r="L209" s="494">
        <f t="shared" si="51"/>
        <v>-4.9000000000000004</v>
      </c>
      <c r="M209" s="494">
        <f t="shared" si="51"/>
        <v>1.7000000000000002</v>
      </c>
      <c r="N209" s="396"/>
      <c r="O209" s="489">
        <v>7</v>
      </c>
      <c r="P209" s="490">
        <f>O69</f>
        <v>0.3</v>
      </c>
      <c r="Q209" s="490">
        <f>O70</f>
        <v>2.2999999999999998</v>
      </c>
    </row>
    <row r="210" spans="1:17" ht="13" x14ac:dyDescent="0.3">
      <c r="A210" s="1158"/>
      <c r="B210" s="491">
        <v>7</v>
      </c>
      <c r="C210" s="494">
        <f>C71</f>
        <v>15</v>
      </c>
      <c r="D210" s="494">
        <f>E71</f>
        <v>0.3</v>
      </c>
      <c r="E210" s="494" t="s">
        <v>100</v>
      </c>
      <c r="F210" s="494">
        <f t="shared" ref="F210" si="52">F71</f>
        <v>0</v>
      </c>
      <c r="G210" s="396"/>
      <c r="H210" s="1174"/>
      <c r="I210" s="491">
        <v>7</v>
      </c>
      <c r="J210" s="494">
        <f>I71</f>
        <v>30</v>
      </c>
      <c r="K210" s="494">
        <f>K71</f>
        <v>1.8</v>
      </c>
      <c r="L210" s="494" t="s">
        <v>100</v>
      </c>
      <c r="M210" s="494">
        <f t="shared" ref="M210" si="53">L71</f>
        <v>0</v>
      </c>
      <c r="N210" s="396"/>
      <c r="O210" s="489">
        <v>8</v>
      </c>
      <c r="P210" s="490">
        <f>O80</f>
        <v>0.3</v>
      </c>
      <c r="Q210" s="490">
        <f>O81</f>
        <v>2.6</v>
      </c>
    </row>
    <row r="211" spans="1:17" ht="13" x14ac:dyDescent="0.3">
      <c r="A211" s="1158"/>
      <c r="B211" s="491">
        <v>8</v>
      </c>
      <c r="C211" s="494">
        <f>C82</f>
        <v>15</v>
      </c>
      <c r="D211" s="494">
        <f>E82</f>
        <v>0</v>
      </c>
      <c r="E211" s="494" t="s">
        <v>100</v>
      </c>
      <c r="F211" s="494">
        <f t="shared" ref="F211" si="54">F82</f>
        <v>0</v>
      </c>
      <c r="G211" s="396"/>
      <c r="H211" s="1174"/>
      <c r="I211" s="491">
        <v>8</v>
      </c>
      <c r="J211" s="494">
        <f>I82</f>
        <v>30</v>
      </c>
      <c r="K211" s="494">
        <f>K82</f>
        <v>-1.4</v>
      </c>
      <c r="L211" s="494" t="s">
        <v>100</v>
      </c>
      <c r="M211" s="494">
        <f t="shared" ref="M211" si="55">L82</f>
        <v>0</v>
      </c>
      <c r="N211" s="396"/>
      <c r="O211" s="489">
        <v>9</v>
      </c>
      <c r="P211" s="490">
        <f>O91</f>
        <v>0.3</v>
      </c>
      <c r="Q211" s="490">
        <f>O92</f>
        <v>2.4</v>
      </c>
    </row>
    <row r="212" spans="1:17" ht="13" x14ac:dyDescent="0.3">
      <c r="A212" s="1158"/>
      <c r="B212" s="491">
        <v>9</v>
      </c>
      <c r="C212" s="494">
        <f>C93</f>
        <v>15</v>
      </c>
      <c r="D212" s="494">
        <f t="shared" ref="D212:F212" si="56">D93</f>
        <v>9.9999999999999995E-7</v>
      </c>
      <c r="E212" s="494" t="str">
        <f t="shared" si="56"/>
        <v>-</v>
      </c>
      <c r="F212" s="494">
        <f t="shared" si="56"/>
        <v>0</v>
      </c>
      <c r="G212" s="396"/>
      <c r="H212" s="1174"/>
      <c r="I212" s="491">
        <v>9</v>
      </c>
      <c r="J212" s="494">
        <f>I93</f>
        <v>30</v>
      </c>
      <c r="K212" s="494">
        <f t="shared" ref="K212:M212" si="57">J93</f>
        <v>-1.2</v>
      </c>
      <c r="L212" s="494" t="str">
        <f t="shared" si="57"/>
        <v>-</v>
      </c>
      <c r="M212" s="494">
        <f t="shared" si="57"/>
        <v>0</v>
      </c>
      <c r="N212" s="396"/>
      <c r="O212" s="489">
        <v>10</v>
      </c>
      <c r="P212" s="490">
        <f>O102</f>
        <v>0.3</v>
      </c>
      <c r="Q212" s="490">
        <f>O103</f>
        <v>1.5</v>
      </c>
    </row>
    <row r="213" spans="1:17" ht="13" x14ac:dyDescent="0.3">
      <c r="A213" s="1158"/>
      <c r="B213" s="491">
        <v>10</v>
      </c>
      <c r="C213" s="494">
        <f>C104</f>
        <v>15</v>
      </c>
      <c r="D213" s="494">
        <f t="shared" ref="D213:F213" si="58">D104</f>
        <v>0.2</v>
      </c>
      <c r="E213" s="494">
        <f t="shared" si="58"/>
        <v>0.2</v>
      </c>
      <c r="F213" s="494">
        <f t="shared" si="58"/>
        <v>0</v>
      </c>
      <c r="G213" s="396"/>
      <c r="H213" s="1174"/>
      <c r="I213" s="491">
        <v>10</v>
      </c>
      <c r="J213" s="494">
        <f>I104</f>
        <v>30</v>
      </c>
      <c r="K213" s="494">
        <f t="shared" ref="K213:M213" si="59">J104</f>
        <v>-2.9</v>
      </c>
      <c r="L213" s="494">
        <f t="shared" si="59"/>
        <v>-5.8</v>
      </c>
      <c r="M213" s="494">
        <f t="shared" si="59"/>
        <v>1.45</v>
      </c>
      <c r="N213" s="396"/>
      <c r="O213" s="489">
        <v>11</v>
      </c>
      <c r="P213" s="490">
        <f>O113</f>
        <v>0.3</v>
      </c>
      <c r="Q213" s="490">
        <f>O114</f>
        <v>1.8</v>
      </c>
    </row>
    <row r="214" spans="1:17" ht="13" x14ac:dyDescent="0.3">
      <c r="A214" s="1158"/>
      <c r="B214" s="491">
        <v>11</v>
      </c>
      <c r="C214" s="494">
        <f>C115</f>
        <v>15</v>
      </c>
      <c r="D214" s="494">
        <f t="shared" ref="D214:F214" si="60">D115</f>
        <v>0.3</v>
      </c>
      <c r="E214" s="494" t="str">
        <f t="shared" si="60"/>
        <v>-</v>
      </c>
      <c r="F214" s="494">
        <f t="shared" si="60"/>
        <v>0</v>
      </c>
      <c r="G214" s="396"/>
      <c r="H214" s="1174"/>
      <c r="I214" s="491">
        <v>11</v>
      </c>
      <c r="J214" s="494">
        <f>I115</f>
        <v>35</v>
      </c>
      <c r="K214" s="494">
        <f t="shared" ref="K214:M214" si="61">J115</f>
        <v>-5.2</v>
      </c>
      <c r="L214" s="494" t="str">
        <f t="shared" si="61"/>
        <v>-</v>
      </c>
      <c r="M214" s="494">
        <f t="shared" si="61"/>
        <v>0</v>
      </c>
      <c r="N214" s="396"/>
      <c r="O214" s="489">
        <v>12</v>
      </c>
      <c r="P214" s="490">
        <f>O124</f>
        <v>0.3</v>
      </c>
      <c r="Q214" s="490">
        <f>O125</f>
        <v>2.7</v>
      </c>
    </row>
    <row r="215" spans="1:17" ht="13" x14ac:dyDescent="0.3">
      <c r="A215" s="1158"/>
      <c r="B215" s="491">
        <v>12</v>
      </c>
      <c r="C215" s="494">
        <f>C126</f>
        <v>15</v>
      </c>
      <c r="D215" s="494">
        <f t="shared" ref="D215:F215" si="62">D126</f>
        <v>-0.6</v>
      </c>
      <c r="E215" s="494" t="str">
        <f t="shared" si="62"/>
        <v>-</v>
      </c>
      <c r="F215" s="494">
        <f t="shared" si="62"/>
        <v>0</v>
      </c>
      <c r="G215" s="396"/>
      <c r="H215" s="1174"/>
      <c r="I215" s="495">
        <v>12</v>
      </c>
      <c r="J215" s="494">
        <f>I126</f>
        <v>35</v>
      </c>
      <c r="K215" s="494">
        <f t="shared" ref="K215:M215" si="63">J126</f>
        <v>-0.4</v>
      </c>
      <c r="L215" s="494" t="str">
        <f t="shared" si="63"/>
        <v>-</v>
      </c>
      <c r="M215" s="494">
        <f t="shared" si="63"/>
        <v>0</v>
      </c>
      <c r="N215" s="396"/>
      <c r="O215" s="489">
        <v>13</v>
      </c>
      <c r="P215" s="490">
        <f>O135</f>
        <v>0.4</v>
      </c>
      <c r="Q215" s="490">
        <f>O136</f>
        <v>2.2000000000000002</v>
      </c>
    </row>
    <row r="216" spans="1:17" ht="13" x14ac:dyDescent="0.3">
      <c r="A216" s="1158"/>
      <c r="B216" s="491">
        <v>13</v>
      </c>
      <c r="C216" s="494">
        <f>C137</f>
        <v>15</v>
      </c>
      <c r="D216" s="494">
        <f t="shared" ref="D216:F216" si="64">D137</f>
        <v>-0.2</v>
      </c>
      <c r="E216" s="494" t="str">
        <f t="shared" si="64"/>
        <v>-</v>
      </c>
      <c r="F216" s="494">
        <f t="shared" si="64"/>
        <v>0</v>
      </c>
      <c r="G216" s="396"/>
      <c r="H216" s="1174"/>
      <c r="I216" s="491">
        <v>13</v>
      </c>
      <c r="J216" s="494">
        <f>I137</f>
        <v>35</v>
      </c>
      <c r="K216" s="494">
        <f t="shared" ref="K216:M216" si="65">J137</f>
        <v>0.6</v>
      </c>
      <c r="L216" s="494" t="str">
        <f t="shared" si="65"/>
        <v>-</v>
      </c>
      <c r="M216" s="494">
        <f t="shared" si="65"/>
        <v>0</v>
      </c>
      <c r="N216" s="396"/>
      <c r="O216" s="489">
        <v>14</v>
      </c>
      <c r="P216" s="490">
        <f>O146</f>
        <v>0.3</v>
      </c>
      <c r="Q216" s="490">
        <f>O147</f>
        <v>2.7</v>
      </c>
    </row>
    <row r="217" spans="1:17" ht="13" x14ac:dyDescent="0.3">
      <c r="A217" s="1158"/>
      <c r="B217" s="491">
        <v>14</v>
      </c>
      <c r="C217" s="494">
        <f>C148</f>
        <v>15</v>
      </c>
      <c r="D217" s="494">
        <f t="shared" ref="D217:F217" si="66">D148</f>
        <v>-0.7</v>
      </c>
      <c r="E217" s="494" t="str">
        <f t="shared" si="66"/>
        <v>-</v>
      </c>
      <c r="F217" s="494">
        <f t="shared" si="66"/>
        <v>0</v>
      </c>
      <c r="G217" s="396"/>
      <c r="H217" s="1174"/>
      <c r="I217" s="491">
        <v>14</v>
      </c>
      <c r="J217" s="494">
        <f>I148</f>
        <v>35</v>
      </c>
      <c r="K217" s="494">
        <f t="shared" ref="K217:M217" si="67">J148</f>
        <v>-1.4</v>
      </c>
      <c r="L217" s="494" t="str">
        <f t="shared" si="67"/>
        <v>-</v>
      </c>
      <c r="M217" s="494">
        <f t="shared" si="67"/>
        <v>0</v>
      </c>
      <c r="N217" s="396"/>
      <c r="O217" s="489">
        <v>15</v>
      </c>
      <c r="P217" s="490">
        <f>O157</f>
        <v>0.3</v>
      </c>
      <c r="Q217" s="490">
        <f>O158</f>
        <v>2.8</v>
      </c>
    </row>
    <row r="218" spans="1:17" ht="13" x14ac:dyDescent="0.3">
      <c r="A218" s="1158"/>
      <c r="B218" s="491">
        <v>15</v>
      </c>
      <c r="C218" s="494">
        <f>C159</f>
        <v>15</v>
      </c>
      <c r="D218" s="494">
        <f t="shared" ref="D218:F218" si="68">D159</f>
        <v>0.1</v>
      </c>
      <c r="E218" s="494" t="str">
        <f t="shared" si="68"/>
        <v>-</v>
      </c>
      <c r="F218" s="494">
        <f t="shared" si="68"/>
        <v>0</v>
      </c>
      <c r="G218" s="396"/>
      <c r="H218" s="1174"/>
      <c r="I218" s="491">
        <v>15</v>
      </c>
      <c r="J218" s="494">
        <f>I159</f>
        <v>30</v>
      </c>
      <c r="K218" s="494">
        <f t="shared" ref="K218:M218" si="69">J159</f>
        <v>0.1</v>
      </c>
      <c r="L218" s="494" t="str">
        <f t="shared" si="69"/>
        <v>-</v>
      </c>
      <c r="M218" s="494">
        <f t="shared" si="69"/>
        <v>0</v>
      </c>
      <c r="N218" s="396"/>
      <c r="O218" s="489">
        <v>16</v>
      </c>
      <c r="P218" s="490">
        <f>O168</f>
        <v>0.4</v>
      </c>
      <c r="Q218" s="496">
        <f>O169</f>
        <v>2.2000000000000002</v>
      </c>
    </row>
    <row r="219" spans="1:17" ht="13" x14ac:dyDescent="0.3">
      <c r="A219" s="1158"/>
      <c r="B219" s="491">
        <v>16</v>
      </c>
      <c r="C219" s="494">
        <f>C170</f>
        <v>15</v>
      </c>
      <c r="D219" s="494">
        <f t="shared" ref="D219:F219" si="70">D170</f>
        <v>0.1</v>
      </c>
      <c r="E219" s="494" t="str">
        <f t="shared" si="70"/>
        <v>-</v>
      </c>
      <c r="F219" s="494">
        <f t="shared" si="70"/>
        <v>0</v>
      </c>
      <c r="G219" s="396"/>
      <c r="H219" s="1174"/>
      <c r="I219" s="491">
        <v>16</v>
      </c>
      <c r="J219" s="494">
        <f>I170</f>
        <v>30</v>
      </c>
      <c r="K219" s="494">
        <f t="shared" ref="K219:M219" si="71">J170</f>
        <v>-1.6</v>
      </c>
      <c r="L219" s="494" t="str">
        <f t="shared" si="71"/>
        <v>-</v>
      </c>
      <c r="M219" s="494">
        <f t="shared" si="71"/>
        <v>0</v>
      </c>
      <c r="N219" s="396"/>
      <c r="O219" s="489">
        <v>17</v>
      </c>
      <c r="P219" s="490">
        <f>O179</f>
        <v>0.3</v>
      </c>
      <c r="Q219" s="496">
        <f>O180</f>
        <v>1.6</v>
      </c>
    </row>
    <row r="220" spans="1:17" ht="13" x14ac:dyDescent="0.3">
      <c r="A220" s="1158"/>
      <c r="B220" s="491">
        <v>17</v>
      </c>
      <c r="C220" s="494">
        <f>C181</f>
        <v>15</v>
      </c>
      <c r="D220" s="494">
        <f t="shared" ref="D220:F220" si="72">D181</f>
        <v>0</v>
      </c>
      <c r="E220" s="494" t="str">
        <f t="shared" si="72"/>
        <v>-</v>
      </c>
      <c r="F220" s="494">
        <f t="shared" si="72"/>
        <v>0</v>
      </c>
      <c r="G220" s="396"/>
      <c r="H220" s="1174"/>
      <c r="I220" s="491">
        <v>17</v>
      </c>
      <c r="J220" s="494">
        <f>I181</f>
        <v>30</v>
      </c>
      <c r="K220" s="494">
        <f t="shared" ref="K220:M220" si="73">J181</f>
        <v>-0.4</v>
      </c>
      <c r="L220" s="494" t="str">
        <f t="shared" si="73"/>
        <v>-</v>
      </c>
      <c r="M220" s="494">
        <f t="shared" si="73"/>
        <v>0</v>
      </c>
      <c r="N220" s="396"/>
      <c r="O220" s="489">
        <v>18</v>
      </c>
      <c r="P220" s="490">
        <f>O190</f>
        <v>0.3</v>
      </c>
      <c r="Q220" s="496">
        <f>O191</f>
        <v>2</v>
      </c>
    </row>
    <row r="221" spans="1:17" ht="13" x14ac:dyDescent="0.3">
      <c r="A221" s="1158"/>
      <c r="B221" s="491">
        <v>18</v>
      </c>
      <c r="C221" s="494">
        <f>C192</f>
        <v>15</v>
      </c>
      <c r="D221" s="494">
        <f>E192</f>
        <v>9.9999999999999995E-7</v>
      </c>
      <c r="E221" s="494" t="s">
        <v>100</v>
      </c>
      <c r="F221" s="494">
        <f t="shared" ref="F221" si="74">F192</f>
        <v>0</v>
      </c>
      <c r="G221" s="396"/>
      <c r="H221" s="1174"/>
      <c r="I221" s="491">
        <v>18</v>
      </c>
      <c r="J221" s="494">
        <f>I192</f>
        <v>30</v>
      </c>
      <c r="K221" s="494">
        <f>K192</f>
        <v>-0.4</v>
      </c>
      <c r="L221" s="494" t="s">
        <v>100</v>
      </c>
      <c r="M221" s="494">
        <f t="shared" ref="M221" si="75">L192</f>
        <v>0</v>
      </c>
      <c r="N221" s="396"/>
      <c r="O221" s="489">
        <v>19</v>
      </c>
      <c r="P221" s="496">
        <f>AE3</f>
        <v>0.1</v>
      </c>
      <c r="Q221" s="496">
        <f>AE4</f>
        <v>1.5</v>
      </c>
    </row>
    <row r="222" spans="1:17" ht="13" x14ac:dyDescent="0.3">
      <c r="A222" s="1158"/>
      <c r="B222" s="497">
        <v>19</v>
      </c>
      <c r="C222" s="498">
        <f>S5</f>
        <v>15</v>
      </c>
      <c r="D222" s="498">
        <f t="shared" ref="D222:F222" si="76">T5</f>
        <v>0</v>
      </c>
      <c r="E222" s="498">
        <f t="shared" si="76"/>
        <v>0</v>
      </c>
      <c r="F222" s="498">
        <f t="shared" si="76"/>
        <v>0</v>
      </c>
      <c r="G222" s="396"/>
      <c r="H222" s="1175"/>
      <c r="I222" s="491">
        <v>19</v>
      </c>
      <c r="J222" s="492">
        <f>Y5</f>
        <v>35</v>
      </c>
      <c r="K222" s="492">
        <f t="shared" ref="K222:M222" si="77">Z5</f>
        <v>-0.4</v>
      </c>
      <c r="L222" s="492">
        <f t="shared" si="77"/>
        <v>-1.5</v>
      </c>
      <c r="M222" s="492">
        <f t="shared" si="77"/>
        <v>0.55000000000000004</v>
      </c>
      <c r="N222" s="396"/>
      <c r="O222" s="499"/>
      <c r="P222" s="396"/>
    </row>
    <row r="223" spans="1:17" ht="13" x14ac:dyDescent="0.3">
      <c r="A223" s="500"/>
      <c r="B223" s="501"/>
      <c r="C223" s="502"/>
      <c r="D223" s="502"/>
      <c r="E223" s="502"/>
      <c r="F223" s="503"/>
      <c r="G223" s="504"/>
      <c r="H223" s="505"/>
      <c r="I223" s="505"/>
      <c r="J223" s="506"/>
      <c r="K223" s="506"/>
      <c r="L223" s="506"/>
      <c r="M223" s="506"/>
      <c r="N223" s="504"/>
      <c r="O223" s="504"/>
      <c r="P223" s="504"/>
    </row>
    <row r="224" spans="1:17" ht="13" x14ac:dyDescent="0.3">
      <c r="A224" s="1157" t="s">
        <v>270</v>
      </c>
      <c r="B224" s="491">
        <v>1</v>
      </c>
      <c r="C224" s="494">
        <f>C6</f>
        <v>20</v>
      </c>
      <c r="D224" s="494">
        <f t="shared" ref="D224:F224" si="78">D6</f>
        <v>-0.2</v>
      </c>
      <c r="E224" s="494">
        <f t="shared" si="78"/>
        <v>0.2</v>
      </c>
      <c r="F224" s="494">
        <f t="shared" si="78"/>
        <v>0.2</v>
      </c>
      <c r="G224" s="396"/>
      <c r="H224" s="1153" t="s">
        <v>270</v>
      </c>
      <c r="I224" s="491">
        <v>1</v>
      </c>
      <c r="J224" s="494">
        <f>I6</f>
        <v>40</v>
      </c>
      <c r="K224" s="494">
        <f t="shared" ref="K224:M224" si="79">J50</f>
        <v>-7.2</v>
      </c>
      <c r="L224" s="494">
        <f t="shared" si="79"/>
        <v>-8</v>
      </c>
      <c r="M224" s="494">
        <f t="shared" si="79"/>
        <v>0.39999999999999991</v>
      </c>
      <c r="N224" s="396"/>
      <c r="O224" s="1159" t="s">
        <v>167</v>
      </c>
      <c r="P224" s="1160"/>
    </row>
    <row r="225" spans="1:16" ht="13" x14ac:dyDescent="0.3">
      <c r="A225" s="1158"/>
      <c r="B225" s="491">
        <v>2</v>
      </c>
      <c r="C225" s="494">
        <f>C17</f>
        <v>20</v>
      </c>
      <c r="D225" s="494">
        <f>E17</f>
        <v>-0.1</v>
      </c>
      <c r="E225" s="494" t="s">
        <v>100</v>
      </c>
      <c r="F225" s="494">
        <f t="shared" ref="F225" si="80">F17</f>
        <v>0</v>
      </c>
      <c r="G225" s="396"/>
      <c r="H225" s="1154"/>
      <c r="I225" s="491">
        <v>2</v>
      </c>
      <c r="J225" s="494">
        <f>I17</f>
        <v>40</v>
      </c>
      <c r="K225" s="494">
        <f>K17</f>
        <v>-1.6</v>
      </c>
      <c r="L225" s="494" t="s">
        <v>100</v>
      </c>
      <c r="M225" s="494">
        <f t="shared" ref="M225" si="81">L17</f>
        <v>0</v>
      </c>
      <c r="N225" s="396"/>
      <c r="O225" s="1161" t="s">
        <v>221</v>
      </c>
      <c r="P225" s="1162"/>
    </row>
    <row r="226" spans="1:16" ht="13" x14ac:dyDescent="0.3">
      <c r="A226" s="1158"/>
      <c r="B226" s="491">
        <v>3</v>
      </c>
      <c r="C226" s="492">
        <f>C28</f>
        <v>20</v>
      </c>
      <c r="D226" s="492">
        <f>E28</f>
        <v>0</v>
      </c>
      <c r="E226" s="492" t="s">
        <v>100</v>
      </c>
      <c r="F226" s="492">
        <f t="shared" ref="F226" si="82">F28</f>
        <v>0</v>
      </c>
      <c r="G226" s="396"/>
      <c r="H226" s="1154"/>
      <c r="I226" s="491">
        <v>3</v>
      </c>
      <c r="J226" s="492">
        <f>I28</f>
        <v>40</v>
      </c>
      <c r="K226" s="492">
        <f>K28</f>
        <v>-5.3</v>
      </c>
      <c r="L226" s="492" t="s">
        <v>100</v>
      </c>
      <c r="M226" s="492">
        <f t="shared" ref="M226" si="83">L28</f>
        <v>0</v>
      </c>
      <c r="N226" s="396"/>
      <c r="O226" s="489">
        <v>1</v>
      </c>
    </row>
    <row r="227" spans="1:16" ht="13" x14ac:dyDescent="0.3">
      <c r="A227" s="1158"/>
      <c r="B227" s="491">
        <v>4</v>
      </c>
      <c r="C227" s="492">
        <f>C39</f>
        <v>20</v>
      </c>
      <c r="D227" s="492">
        <f>E39</f>
        <v>-0.3</v>
      </c>
      <c r="E227" s="492" t="s">
        <v>100</v>
      </c>
      <c r="F227" s="492">
        <f t="shared" ref="F227" si="84">F39</f>
        <v>0</v>
      </c>
      <c r="G227" s="396"/>
      <c r="H227" s="1154"/>
      <c r="I227" s="491">
        <v>4</v>
      </c>
      <c r="J227" s="492">
        <f>I39</f>
        <v>40</v>
      </c>
      <c r="K227" s="492">
        <f>K39</f>
        <v>-1.5</v>
      </c>
      <c r="L227" s="492" t="s">
        <v>100</v>
      </c>
      <c r="M227" s="492">
        <f t="shared" ref="M227" si="85">L39</f>
        <v>0</v>
      </c>
      <c r="N227" s="396"/>
      <c r="O227" s="493">
        <v>2</v>
      </c>
    </row>
    <row r="228" spans="1:16" ht="13" x14ac:dyDescent="0.3">
      <c r="A228" s="1158"/>
      <c r="B228" s="491">
        <v>5</v>
      </c>
      <c r="C228" s="492">
        <f>C50</f>
        <v>20</v>
      </c>
      <c r="D228" s="492">
        <f t="shared" ref="D228:F228" si="86">D50</f>
        <v>0.1</v>
      </c>
      <c r="E228" s="492">
        <f t="shared" si="86"/>
        <v>0.3</v>
      </c>
      <c r="F228" s="492">
        <f t="shared" si="86"/>
        <v>9.9999999999999992E-2</v>
      </c>
      <c r="G228" s="396"/>
      <c r="H228" s="1154"/>
      <c r="I228" s="491">
        <v>5</v>
      </c>
      <c r="J228" s="492">
        <f>I50</f>
        <v>40</v>
      </c>
      <c r="K228" s="492">
        <f t="shared" ref="K228:M228" si="87">J50</f>
        <v>-7.2</v>
      </c>
      <c r="L228" s="492">
        <f t="shared" si="87"/>
        <v>-8</v>
      </c>
      <c r="M228" s="492">
        <f t="shared" si="87"/>
        <v>0.39999999999999991</v>
      </c>
      <c r="N228" s="396"/>
      <c r="O228" s="493">
        <v>3</v>
      </c>
    </row>
    <row r="229" spans="1:16" ht="13" x14ac:dyDescent="0.3">
      <c r="A229" s="1158"/>
      <c r="B229" s="491">
        <v>6</v>
      </c>
      <c r="C229" s="492">
        <f>C61</f>
        <v>20</v>
      </c>
      <c r="D229" s="492">
        <f t="shared" ref="D229:F229" si="88">D61</f>
        <v>0.3</v>
      </c>
      <c r="E229" s="492">
        <f t="shared" si="88"/>
        <v>0.2</v>
      </c>
      <c r="F229" s="492">
        <f t="shared" si="88"/>
        <v>4.9999999999999989E-2</v>
      </c>
      <c r="G229" s="396"/>
      <c r="H229" s="1154"/>
      <c r="I229" s="491">
        <v>6</v>
      </c>
      <c r="J229" s="492">
        <f>I61</f>
        <v>40</v>
      </c>
      <c r="K229" s="492">
        <f t="shared" ref="K229:M229" si="89">J61</f>
        <v>-3.8</v>
      </c>
      <c r="L229" s="492">
        <f t="shared" si="89"/>
        <v>-3.4</v>
      </c>
      <c r="M229" s="492">
        <f t="shared" si="89"/>
        <v>0.19999999999999996</v>
      </c>
      <c r="N229" s="396"/>
      <c r="O229" s="493">
        <v>4</v>
      </c>
    </row>
    <row r="230" spans="1:16" ht="13" x14ac:dyDescent="0.3">
      <c r="A230" s="1158"/>
      <c r="B230" s="491">
        <v>7</v>
      </c>
      <c r="C230" s="492">
        <f>C72</f>
        <v>20</v>
      </c>
      <c r="D230" s="492">
        <f>E72</f>
        <v>0.1</v>
      </c>
      <c r="E230" s="492" t="s">
        <v>100</v>
      </c>
      <c r="F230" s="492">
        <f t="shared" ref="F230" si="90">F72</f>
        <v>0</v>
      </c>
      <c r="G230" s="396"/>
      <c r="H230" s="1154"/>
      <c r="I230" s="491">
        <v>7</v>
      </c>
      <c r="J230" s="492">
        <f>I72</f>
        <v>40</v>
      </c>
      <c r="K230" s="492">
        <f>K72</f>
        <v>1.2</v>
      </c>
      <c r="L230" s="492" t="s">
        <v>100</v>
      </c>
      <c r="M230" s="492">
        <f t="shared" ref="M230" si="91">L72</f>
        <v>0</v>
      </c>
      <c r="N230" s="396"/>
      <c r="O230" s="493">
        <v>5</v>
      </c>
    </row>
    <row r="231" spans="1:16" ht="13" x14ac:dyDescent="0.3">
      <c r="A231" s="1158"/>
      <c r="B231" s="491">
        <v>8</v>
      </c>
      <c r="C231" s="492">
        <f>C83</f>
        <v>20</v>
      </c>
      <c r="D231" s="492">
        <f>E83</f>
        <v>-0.2</v>
      </c>
      <c r="E231" s="492" t="s">
        <v>100</v>
      </c>
      <c r="F231" s="492">
        <f t="shared" ref="F231" si="92">F83</f>
        <v>0</v>
      </c>
      <c r="G231" s="396"/>
      <c r="H231" s="1154"/>
      <c r="I231" s="491">
        <v>8</v>
      </c>
      <c r="J231" s="492">
        <f>I83</f>
        <v>40</v>
      </c>
      <c r="K231" s="492">
        <f>K83</f>
        <v>-1.2</v>
      </c>
      <c r="L231" s="492" t="s">
        <v>100</v>
      </c>
      <c r="M231" s="492">
        <f t="shared" ref="M231" si="93">L83</f>
        <v>0</v>
      </c>
      <c r="N231" s="396"/>
      <c r="O231" s="489">
        <v>6</v>
      </c>
    </row>
    <row r="232" spans="1:16" ht="13" x14ac:dyDescent="0.3">
      <c r="A232" s="1158"/>
      <c r="B232" s="491">
        <v>9</v>
      </c>
      <c r="C232" s="492">
        <f>C94</f>
        <v>20</v>
      </c>
      <c r="D232" s="492">
        <f t="shared" ref="D232:F232" si="94">D94</f>
        <v>-0.2</v>
      </c>
      <c r="E232" s="492" t="str">
        <f t="shared" si="94"/>
        <v>-</v>
      </c>
      <c r="F232" s="492">
        <f t="shared" si="94"/>
        <v>0</v>
      </c>
      <c r="G232" s="396"/>
      <c r="H232" s="1154"/>
      <c r="I232" s="491">
        <v>9</v>
      </c>
      <c r="J232" s="492">
        <f>I94</f>
        <v>40</v>
      </c>
      <c r="K232" s="492">
        <f t="shared" ref="K232:M232" si="95">J94</f>
        <v>-1</v>
      </c>
      <c r="L232" s="492" t="str">
        <f t="shared" si="95"/>
        <v>-</v>
      </c>
      <c r="M232" s="492">
        <f t="shared" si="95"/>
        <v>0</v>
      </c>
      <c r="N232" s="396"/>
      <c r="O232" s="489">
        <v>7</v>
      </c>
    </row>
    <row r="233" spans="1:16" ht="13" x14ac:dyDescent="0.3">
      <c r="A233" s="1158"/>
      <c r="B233" s="491">
        <v>10</v>
      </c>
      <c r="C233" s="492">
        <f>C105</f>
        <v>20</v>
      </c>
      <c r="D233" s="492">
        <f t="shared" ref="D233:F233" si="96">D105</f>
        <v>0.2</v>
      </c>
      <c r="E233" s="492">
        <f t="shared" si="96"/>
        <v>-0.7</v>
      </c>
      <c r="F233" s="492">
        <f t="shared" si="96"/>
        <v>0.44999999999999996</v>
      </c>
      <c r="G233" s="396"/>
      <c r="H233" s="1154"/>
      <c r="I233" s="491">
        <v>10</v>
      </c>
      <c r="J233" s="492">
        <f>I105</f>
        <v>40</v>
      </c>
      <c r="K233" s="492">
        <f t="shared" ref="K233:M233" si="97">J105</f>
        <v>-3.3</v>
      </c>
      <c r="L233" s="492">
        <f t="shared" si="97"/>
        <v>-6.4</v>
      </c>
      <c r="M233" s="492">
        <f t="shared" si="97"/>
        <v>1.5500000000000003</v>
      </c>
      <c r="N233" s="396"/>
      <c r="O233" s="489">
        <v>8</v>
      </c>
    </row>
    <row r="234" spans="1:16" ht="13" x14ac:dyDescent="0.3">
      <c r="A234" s="1158"/>
      <c r="B234" s="491">
        <v>11</v>
      </c>
      <c r="C234" s="492">
        <f>C116</f>
        <v>20</v>
      </c>
      <c r="D234" s="492">
        <f t="shared" ref="D234:F234" si="98">D116</f>
        <v>0.4</v>
      </c>
      <c r="E234" s="492" t="str">
        <f t="shared" si="98"/>
        <v>-</v>
      </c>
      <c r="F234" s="492">
        <f t="shared" si="98"/>
        <v>0</v>
      </c>
      <c r="G234" s="396"/>
      <c r="H234" s="1154"/>
      <c r="I234" s="491">
        <v>11</v>
      </c>
      <c r="J234" s="492">
        <f>I116</f>
        <v>40</v>
      </c>
      <c r="K234" s="492">
        <f t="shared" ref="K234:M234" si="99">J116</f>
        <v>-5.5</v>
      </c>
      <c r="L234" s="492" t="str">
        <f t="shared" si="99"/>
        <v>-</v>
      </c>
      <c r="M234" s="492">
        <f t="shared" si="99"/>
        <v>0</v>
      </c>
      <c r="N234" s="396"/>
      <c r="O234" s="489">
        <v>9</v>
      </c>
    </row>
    <row r="235" spans="1:16" ht="13" x14ac:dyDescent="0.3">
      <c r="A235" s="1158"/>
      <c r="B235" s="491">
        <v>12</v>
      </c>
      <c r="C235" s="492">
        <f>C127</f>
        <v>20</v>
      </c>
      <c r="D235" s="492">
        <f t="shared" ref="D235:F235" si="100">D127</f>
        <v>-0.5</v>
      </c>
      <c r="E235" s="492" t="str">
        <f t="shared" si="100"/>
        <v>-</v>
      </c>
      <c r="F235" s="492">
        <f t="shared" si="100"/>
        <v>0</v>
      </c>
      <c r="G235" s="396"/>
      <c r="H235" s="1154"/>
      <c r="I235" s="491">
        <v>12</v>
      </c>
      <c r="J235" s="492">
        <f>I127</f>
        <v>40</v>
      </c>
      <c r="K235" s="492">
        <f t="shared" ref="K235:M235" si="101">J127</f>
        <v>-0.3</v>
      </c>
      <c r="L235" s="492" t="str">
        <f t="shared" si="101"/>
        <v>-</v>
      </c>
      <c r="M235" s="492">
        <f t="shared" si="101"/>
        <v>0</v>
      </c>
      <c r="N235" s="396"/>
      <c r="O235" s="489">
        <v>10</v>
      </c>
    </row>
    <row r="236" spans="1:16" ht="13" x14ac:dyDescent="0.3">
      <c r="A236" s="1158"/>
      <c r="B236" s="491">
        <v>13</v>
      </c>
      <c r="C236" s="492">
        <f>C138</f>
        <v>20</v>
      </c>
      <c r="D236" s="492">
        <f t="shared" ref="D236:F236" si="102">D138</f>
        <v>-0.1</v>
      </c>
      <c r="E236" s="492" t="str">
        <f t="shared" si="102"/>
        <v>-</v>
      </c>
      <c r="F236" s="492">
        <f t="shared" si="102"/>
        <v>0</v>
      </c>
      <c r="G236" s="396"/>
      <c r="H236" s="1154"/>
      <c r="I236" s="491">
        <v>13</v>
      </c>
      <c r="J236" s="492">
        <f>I138</f>
        <v>40</v>
      </c>
      <c r="K236" s="492">
        <f t="shared" ref="K236:M236" si="103">J138</f>
        <v>0.3</v>
      </c>
      <c r="L236" s="492" t="str">
        <f t="shared" si="103"/>
        <v>-</v>
      </c>
      <c r="M236" s="492">
        <f t="shared" si="103"/>
        <v>0</v>
      </c>
      <c r="N236" s="396"/>
      <c r="O236" s="489">
        <v>11</v>
      </c>
    </row>
    <row r="237" spans="1:16" ht="13" x14ac:dyDescent="0.3">
      <c r="A237" s="1158"/>
      <c r="B237" s="491">
        <v>14</v>
      </c>
      <c r="C237" s="492">
        <f>C149</f>
        <v>20</v>
      </c>
      <c r="D237" s="492">
        <f t="shared" ref="D237:F237" si="104">D149</f>
        <v>-0.4</v>
      </c>
      <c r="E237" s="492" t="str">
        <f t="shared" si="104"/>
        <v>-</v>
      </c>
      <c r="F237" s="492">
        <f t="shared" si="104"/>
        <v>0</v>
      </c>
      <c r="G237" s="396"/>
      <c r="H237" s="1154"/>
      <c r="I237" s="491">
        <v>14</v>
      </c>
      <c r="J237" s="492">
        <f>I149</f>
        <v>40</v>
      </c>
      <c r="K237" s="492">
        <f t="shared" ref="K237:M237" si="105">J149</f>
        <v>-1.3</v>
      </c>
      <c r="L237" s="492" t="str">
        <f t="shared" si="105"/>
        <v>-</v>
      </c>
      <c r="M237" s="492">
        <f t="shared" si="105"/>
        <v>0</v>
      </c>
      <c r="N237" s="396"/>
      <c r="O237" s="489">
        <v>12</v>
      </c>
    </row>
    <row r="238" spans="1:16" ht="13" x14ac:dyDescent="0.3">
      <c r="A238" s="1158"/>
      <c r="B238" s="491">
        <v>15</v>
      </c>
      <c r="C238" s="492">
        <f>C160</f>
        <v>20</v>
      </c>
      <c r="D238" s="492">
        <f t="shared" ref="D238:F238" si="106">D160</f>
        <v>0.1</v>
      </c>
      <c r="E238" s="492" t="str">
        <f t="shared" si="106"/>
        <v>-</v>
      </c>
      <c r="F238" s="492">
        <f t="shared" si="106"/>
        <v>0</v>
      </c>
      <c r="G238" s="396"/>
      <c r="H238" s="1154"/>
      <c r="I238" s="491">
        <v>15</v>
      </c>
      <c r="J238" s="492">
        <f>I160</f>
        <v>40</v>
      </c>
      <c r="K238" s="492">
        <f t="shared" ref="K238:M238" si="107">J160</f>
        <v>0.2</v>
      </c>
      <c r="L238" s="492" t="str">
        <f t="shared" si="107"/>
        <v>-</v>
      </c>
      <c r="M238" s="492">
        <f t="shared" si="107"/>
        <v>0</v>
      </c>
      <c r="N238" s="396"/>
      <c r="O238" s="489">
        <v>13</v>
      </c>
    </row>
    <row r="239" spans="1:16" ht="13" x14ac:dyDescent="0.3">
      <c r="A239" s="1158"/>
      <c r="B239" s="491">
        <v>16</v>
      </c>
      <c r="C239" s="492">
        <f>C171</f>
        <v>20</v>
      </c>
      <c r="D239" s="492">
        <f t="shared" ref="D239:F239" si="108">D171</f>
        <v>0.2</v>
      </c>
      <c r="E239" s="492" t="str">
        <f t="shared" si="108"/>
        <v>-</v>
      </c>
      <c r="F239" s="492">
        <f t="shared" si="108"/>
        <v>0</v>
      </c>
      <c r="G239" s="396"/>
      <c r="H239" s="1154"/>
      <c r="I239" s="491">
        <v>16</v>
      </c>
      <c r="J239" s="492">
        <f>I171</f>
        <v>40</v>
      </c>
      <c r="K239" s="492">
        <f t="shared" ref="K239:M239" si="109">J171</f>
        <v>-1.4</v>
      </c>
      <c r="L239" s="492" t="str">
        <f t="shared" si="109"/>
        <v>-</v>
      </c>
      <c r="M239" s="492">
        <f t="shared" si="109"/>
        <v>0</v>
      </c>
      <c r="N239" s="396"/>
      <c r="O239" s="489">
        <v>14</v>
      </c>
    </row>
    <row r="240" spans="1:16" ht="13" x14ac:dyDescent="0.3">
      <c r="A240" s="1158"/>
      <c r="B240" s="491">
        <v>17</v>
      </c>
      <c r="C240" s="492">
        <f>C182</f>
        <v>20</v>
      </c>
      <c r="D240" s="492">
        <f t="shared" ref="D240:F240" si="110">D182</f>
        <v>-0.1</v>
      </c>
      <c r="E240" s="492" t="str">
        <f t="shared" si="110"/>
        <v>-</v>
      </c>
      <c r="F240" s="492">
        <f t="shared" si="110"/>
        <v>0</v>
      </c>
      <c r="G240" s="396"/>
      <c r="H240" s="1154"/>
      <c r="I240" s="491">
        <v>17</v>
      </c>
      <c r="J240" s="492">
        <f>I182</f>
        <v>40</v>
      </c>
      <c r="K240" s="492">
        <f t="shared" ref="K240:M240" si="111">J182</f>
        <v>-0.2</v>
      </c>
      <c r="L240" s="492" t="str">
        <f t="shared" si="111"/>
        <v>-</v>
      </c>
      <c r="M240" s="492">
        <f t="shared" si="111"/>
        <v>0</v>
      </c>
      <c r="N240" s="396"/>
      <c r="O240" s="499">
        <v>15</v>
      </c>
    </row>
    <row r="241" spans="1:16" ht="13" x14ac:dyDescent="0.3">
      <c r="A241" s="1158"/>
      <c r="B241" s="491">
        <v>18</v>
      </c>
      <c r="C241" s="492">
        <f>C193</f>
        <v>20</v>
      </c>
      <c r="D241" s="492">
        <f>E193</f>
        <v>9.9999999999999995E-7</v>
      </c>
      <c r="E241" s="492" t="s">
        <v>100</v>
      </c>
      <c r="F241" s="492">
        <f t="shared" ref="F241" si="112">F193</f>
        <v>0</v>
      </c>
      <c r="G241" s="396"/>
      <c r="H241" s="1154"/>
      <c r="I241" s="491">
        <v>18</v>
      </c>
      <c r="J241" s="492">
        <f>I193</f>
        <v>40</v>
      </c>
      <c r="K241" s="492">
        <f>K193</f>
        <v>-0.1</v>
      </c>
      <c r="L241" s="492" t="s">
        <v>100</v>
      </c>
      <c r="M241" s="492">
        <f t="shared" ref="M241" si="113">L193</f>
        <v>0</v>
      </c>
      <c r="N241" s="396"/>
      <c r="O241" s="489">
        <v>16</v>
      </c>
    </row>
    <row r="242" spans="1:16" ht="13" x14ac:dyDescent="0.3">
      <c r="A242" s="1158"/>
      <c r="B242" s="497">
        <v>19</v>
      </c>
      <c r="C242" s="507">
        <f>S6</f>
        <v>20</v>
      </c>
      <c r="D242" s="507">
        <f t="shared" ref="D242:F242" si="114">T6</f>
        <v>-0.1</v>
      </c>
      <c r="E242" s="507">
        <f t="shared" si="114"/>
        <v>0.1</v>
      </c>
      <c r="F242" s="507">
        <f t="shared" si="114"/>
        <v>0.1</v>
      </c>
      <c r="G242" s="396"/>
      <c r="H242" s="1154"/>
      <c r="I242" s="497">
        <v>19</v>
      </c>
      <c r="J242" s="507">
        <f>Y6</f>
        <v>40</v>
      </c>
      <c r="K242" s="507">
        <f t="shared" ref="K242:M242" si="115">Z6</f>
        <v>-0.2</v>
      </c>
      <c r="L242" s="507">
        <f t="shared" si="115"/>
        <v>-0.8</v>
      </c>
      <c r="M242" s="507">
        <f t="shared" si="115"/>
        <v>0.30000000000000004</v>
      </c>
      <c r="N242" s="396"/>
      <c r="O242" s="499"/>
    </row>
    <row r="243" spans="1:16" ht="13" x14ac:dyDescent="0.3">
      <c r="A243" s="500"/>
      <c r="B243" s="501"/>
      <c r="C243" s="508"/>
      <c r="D243" s="508"/>
      <c r="E243" s="508"/>
      <c r="F243" s="509"/>
      <c r="G243" s="504"/>
      <c r="H243" s="500"/>
      <c r="I243" s="501"/>
      <c r="J243" s="508"/>
      <c r="K243" s="508"/>
      <c r="L243" s="508"/>
      <c r="M243" s="509"/>
      <c r="N243" s="396"/>
      <c r="O243" s="499">
        <v>17</v>
      </c>
    </row>
    <row r="244" spans="1:16" ht="13" x14ac:dyDescent="0.3">
      <c r="A244" s="1157" t="s">
        <v>271</v>
      </c>
      <c r="B244" s="491">
        <v>1</v>
      </c>
      <c r="C244" s="492">
        <f>C7</f>
        <v>25</v>
      </c>
      <c r="D244" s="492">
        <f t="shared" ref="D244:F244" si="116">D7</f>
        <v>9.9999999999999995E-7</v>
      </c>
      <c r="E244" s="492">
        <f t="shared" si="116"/>
        <v>0.1</v>
      </c>
      <c r="F244" s="492">
        <f t="shared" si="116"/>
        <v>4.9999500000000002E-2</v>
      </c>
      <c r="G244" s="396"/>
      <c r="H244" s="1153" t="s">
        <v>271</v>
      </c>
      <c r="I244" s="491">
        <v>1</v>
      </c>
      <c r="J244" s="492">
        <f>I7</f>
        <v>50</v>
      </c>
      <c r="K244" s="492">
        <f t="shared" ref="K244:M244" si="117">J7</f>
        <v>-5.3</v>
      </c>
      <c r="L244" s="492">
        <f t="shared" si="117"/>
        <v>-7.2</v>
      </c>
      <c r="M244" s="492">
        <f t="shared" si="117"/>
        <v>0.95000000000000018</v>
      </c>
      <c r="N244" s="396"/>
      <c r="O244" s="489">
        <v>18</v>
      </c>
    </row>
    <row r="245" spans="1:16" ht="13" x14ac:dyDescent="0.3">
      <c r="A245" s="1158"/>
      <c r="B245" s="491">
        <v>2</v>
      </c>
      <c r="C245" s="492">
        <f>C18</f>
        <v>25</v>
      </c>
      <c r="D245" s="492">
        <f>E18</f>
        <v>-0.2</v>
      </c>
      <c r="E245" s="492" t="s">
        <v>100</v>
      </c>
      <c r="F245" s="492">
        <f t="shared" ref="F245" si="118">F18</f>
        <v>0</v>
      </c>
      <c r="G245" s="396"/>
      <c r="H245" s="1154"/>
      <c r="I245" s="491">
        <v>2</v>
      </c>
      <c r="J245" s="492">
        <f>I18</f>
        <v>50</v>
      </c>
      <c r="K245" s="492">
        <f>K18</f>
        <v>-1.5</v>
      </c>
      <c r="L245" s="492" t="s">
        <v>100</v>
      </c>
      <c r="M245" s="492">
        <f t="shared" ref="M245" si="119">L18</f>
        <v>0</v>
      </c>
      <c r="N245" s="396"/>
      <c r="O245" s="510">
        <v>19</v>
      </c>
    </row>
    <row r="246" spans="1:16" ht="13" x14ac:dyDescent="0.3">
      <c r="A246" s="1158"/>
      <c r="B246" s="491">
        <v>3</v>
      </c>
      <c r="C246" s="492">
        <f>C29</f>
        <v>25</v>
      </c>
      <c r="D246" s="492">
        <f>E29</f>
        <v>-0.1</v>
      </c>
      <c r="E246" s="492" t="s">
        <v>100</v>
      </c>
      <c r="F246" s="492">
        <f t="shared" ref="F246" si="120">F29</f>
        <v>0</v>
      </c>
      <c r="G246" s="396"/>
      <c r="H246" s="1154"/>
      <c r="I246" s="491">
        <v>3</v>
      </c>
      <c r="J246" s="492">
        <f>I29</f>
        <v>50</v>
      </c>
      <c r="K246" s="492">
        <f>K29</f>
        <v>-4.9000000000000004</v>
      </c>
      <c r="L246" s="492" t="s">
        <v>100</v>
      </c>
      <c r="M246" s="492">
        <f t="shared" ref="M246" si="121">L29</f>
        <v>0</v>
      </c>
      <c r="N246" s="396"/>
      <c r="O246" s="396"/>
      <c r="P246" s="396"/>
    </row>
    <row r="247" spans="1:16" ht="13" x14ac:dyDescent="0.3">
      <c r="A247" s="1158"/>
      <c r="B247" s="491">
        <v>4</v>
      </c>
      <c r="C247" s="492">
        <f>C40</f>
        <v>25</v>
      </c>
      <c r="D247" s="492">
        <f>E40</f>
        <v>-0.5</v>
      </c>
      <c r="E247" s="492" t="s">
        <v>100</v>
      </c>
      <c r="F247" s="492">
        <f t="shared" ref="F247" si="122">F40</f>
        <v>0</v>
      </c>
      <c r="G247" s="396"/>
      <c r="H247" s="1154"/>
      <c r="I247" s="491">
        <v>4</v>
      </c>
      <c r="J247" s="492">
        <f>I40</f>
        <v>50</v>
      </c>
      <c r="K247" s="492">
        <f>K40</f>
        <v>-1</v>
      </c>
      <c r="L247" s="492" t="s">
        <v>100</v>
      </c>
      <c r="M247" s="492">
        <f t="shared" ref="M247" si="123">L40</f>
        <v>0</v>
      </c>
      <c r="N247" s="396"/>
      <c r="O247" s="396"/>
      <c r="P247" s="396"/>
    </row>
    <row r="248" spans="1:16" ht="13" x14ac:dyDescent="0.3">
      <c r="A248" s="1158"/>
      <c r="B248" s="491">
        <v>5</v>
      </c>
      <c r="C248" s="492">
        <f>C51</f>
        <v>25</v>
      </c>
      <c r="D248" s="492">
        <f t="shared" ref="D248:F248" si="124">D51</f>
        <v>0.4</v>
      </c>
      <c r="E248" s="492">
        <f t="shared" si="124"/>
        <v>0.2</v>
      </c>
      <c r="F248" s="492">
        <f t="shared" si="124"/>
        <v>0.1</v>
      </c>
      <c r="G248" s="396"/>
      <c r="H248" s="1154"/>
      <c r="I248" s="491">
        <v>5</v>
      </c>
      <c r="J248" s="492">
        <f>I51</f>
        <v>50</v>
      </c>
      <c r="K248" s="492">
        <f t="shared" ref="K248:M248" si="125">J51</f>
        <v>-6.2</v>
      </c>
      <c r="L248" s="492">
        <f t="shared" si="125"/>
        <v>-6.2</v>
      </c>
      <c r="M248" s="492">
        <f t="shared" si="125"/>
        <v>0</v>
      </c>
      <c r="N248" s="396"/>
      <c r="O248" s="396"/>
      <c r="P248" s="396"/>
    </row>
    <row r="249" spans="1:16" ht="13" x14ac:dyDescent="0.3">
      <c r="A249" s="1158"/>
      <c r="B249" s="491">
        <v>6</v>
      </c>
      <c r="C249" s="492">
        <f>C62</f>
        <v>25</v>
      </c>
      <c r="D249" s="492">
        <f t="shared" ref="D249:F249" si="126">D62</f>
        <v>0.2</v>
      </c>
      <c r="E249" s="492">
        <f t="shared" si="126"/>
        <v>-0.1</v>
      </c>
      <c r="F249" s="492">
        <f t="shared" si="126"/>
        <v>0.15000000000000002</v>
      </c>
      <c r="G249" s="396"/>
      <c r="H249" s="1154"/>
      <c r="I249" s="491">
        <v>6</v>
      </c>
      <c r="J249" s="492">
        <f>I62</f>
        <v>50</v>
      </c>
      <c r="K249" s="492">
        <f t="shared" ref="K249:M249" si="127">J62</f>
        <v>-5.4</v>
      </c>
      <c r="L249" s="492">
        <f t="shared" si="127"/>
        <v>-2.5</v>
      </c>
      <c r="M249" s="492">
        <f t="shared" si="127"/>
        <v>1.4500000000000002</v>
      </c>
      <c r="N249" s="396"/>
      <c r="O249" s="396"/>
      <c r="P249" s="396"/>
    </row>
    <row r="250" spans="1:16" ht="13" x14ac:dyDescent="0.3">
      <c r="A250" s="1158"/>
      <c r="B250" s="491">
        <v>7</v>
      </c>
      <c r="C250" s="492">
        <f>C73</f>
        <v>25</v>
      </c>
      <c r="D250" s="492">
        <f>E73</f>
        <v>-0.2</v>
      </c>
      <c r="E250" s="492" t="s">
        <v>100</v>
      </c>
      <c r="F250" s="492">
        <f t="shared" ref="F250" si="128">F73</f>
        <v>0</v>
      </c>
      <c r="G250" s="396"/>
      <c r="H250" s="1154"/>
      <c r="I250" s="491">
        <v>7</v>
      </c>
      <c r="J250" s="492">
        <f>I73</f>
        <v>50</v>
      </c>
      <c r="K250" s="492">
        <f>K73</f>
        <v>0.8</v>
      </c>
      <c r="L250" s="492" t="s">
        <v>100</v>
      </c>
      <c r="M250" s="492">
        <f t="shared" ref="M250" si="129">L73</f>
        <v>0</v>
      </c>
      <c r="N250" s="396"/>
      <c r="O250" s="396"/>
      <c r="P250" s="396"/>
    </row>
    <row r="251" spans="1:16" ht="13" x14ac:dyDescent="0.3">
      <c r="A251" s="1158"/>
      <c r="B251" s="491">
        <v>8</v>
      </c>
      <c r="C251" s="492">
        <f>C84</f>
        <v>25</v>
      </c>
      <c r="D251" s="492">
        <f>E84</f>
        <v>-0.4</v>
      </c>
      <c r="E251" s="492" t="s">
        <v>100</v>
      </c>
      <c r="F251" s="492">
        <f t="shared" ref="F251" si="130">F84</f>
        <v>0</v>
      </c>
      <c r="G251" s="396"/>
      <c r="H251" s="1154"/>
      <c r="I251" s="491">
        <v>8</v>
      </c>
      <c r="J251" s="492">
        <f>I84</f>
        <v>50</v>
      </c>
      <c r="K251" s="492">
        <f>K84</f>
        <v>-1.2</v>
      </c>
      <c r="L251" s="492" t="s">
        <v>100</v>
      </c>
      <c r="M251" s="492">
        <f t="shared" ref="M251" si="131">L84</f>
        <v>0</v>
      </c>
      <c r="N251" s="396"/>
      <c r="O251" s="396"/>
      <c r="P251" s="396"/>
    </row>
    <row r="252" spans="1:16" ht="13" x14ac:dyDescent="0.3">
      <c r="A252" s="1158"/>
      <c r="B252" s="491">
        <v>9</v>
      </c>
      <c r="C252" s="492">
        <f>C95</f>
        <v>25</v>
      </c>
      <c r="D252" s="492">
        <f t="shared" ref="D252:F252" si="132">D95</f>
        <v>-0.4</v>
      </c>
      <c r="E252" s="492" t="str">
        <f t="shared" si="132"/>
        <v>-</v>
      </c>
      <c r="F252" s="492">
        <f t="shared" si="132"/>
        <v>0</v>
      </c>
      <c r="G252" s="396"/>
      <c r="H252" s="1154"/>
      <c r="I252" s="491">
        <v>9</v>
      </c>
      <c r="J252" s="492">
        <f>I95</f>
        <v>50</v>
      </c>
      <c r="K252" s="492">
        <f t="shared" ref="K252:M252" si="133">J95</f>
        <v>-0.9</v>
      </c>
      <c r="L252" s="492" t="str">
        <f t="shared" si="133"/>
        <v>-</v>
      </c>
      <c r="M252" s="492">
        <f t="shared" si="133"/>
        <v>0</v>
      </c>
      <c r="N252" s="396"/>
      <c r="O252" s="396"/>
      <c r="P252" s="396"/>
    </row>
    <row r="253" spans="1:16" ht="13" x14ac:dyDescent="0.3">
      <c r="A253" s="1158"/>
      <c r="B253" s="491">
        <v>10</v>
      </c>
      <c r="C253" s="492">
        <f>C106</f>
        <v>25</v>
      </c>
      <c r="D253" s="492">
        <f t="shared" ref="D253:F253" si="134">D106</f>
        <v>0.1</v>
      </c>
      <c r="E253" s="492">
        <f t="shared" si="134"/>
        <v>-0.5</v>
      </c>
      <c r="F253" s="492">
        <f t="shared" si="134"/>
        <v>0.3</v>
      </c>
      <c r="G253" s="396"/>
      <c r="H253" s="1154"/>
      <c r="I253" s="491">
        <v>10</v>
      </c>
      <c r="J253" s="492">
        <f>I106</f>
        <v>50</v>
      </c>
      <c r="K253" s="492">
        <f t="shared" ref="K253:M253" si="135">J106</f>
        <v>-3.1</v>
      </c>
      <c r="L253" s="492">
        <f t="shared" si="135"/>
        <v>-6.1</v>
      </c>
      <c r="M253" s="492">
        <f t="shared" si="135"/>
        <v>1.4999999999999998</v>
      </c>
      <c r="N253" s="396"/>
      <c r="O253" s="396"/>
      <c r="P253" s="396"/>
    </row>
    <row r="254" spans="1:16" ht="13" x14ac:dyDescent="0.3">
      <c r="A254" s="1158"/>
      <c r="B254" s="491">
        <v>11</v>
      </c>
      <c r="C254" s="492">
        <f>C117</f>
        <v>25</v>
      </c>
      <c r="D254" s="492">
        <f t="shared" ref="D254:F254" si="136">D117</f>
        <v>0.4</v>
      </c>
      <c r="E254" s="492" t="str">
        <f t="shared" si="136"/>
        <v>-</v>
      </c>
      <c r="F254" s="492">
        <f t="shared" si="136"/>
        <v>0</v>
      </c>
      <c r="G254" s="396"/>
      <c r="H254" s="1154"/>
      <c r="I254" s="491">
        <v>11</v>
      </c>
      <c r="J254" s="492">
        <f>I117</f>
        <v>50</v>
      </c>
      <c r="K254" s="492">
        <f t="shared" ref="K254:M254" si="137">J117</f>
        <v>-5.5</v>
      </c>
      <c r="L254" s="492" t="str">
        <f t="shared" si="137"/>
        <v>-</v>
      </c>
      <c r="M254" s="492">
        <f t="shared" si="137"/>
        <v>0</v>
      </c>
      <c r="N254" s="396"/>
      <c r="O254" s="396"/>
      <c r="P254" s="396"/>
    </row>
    <row r="255" spans="1:16" ht="13" x14ac:dyDescent="0.3">
      <c r="A255" s="1158"/>
      <c r="B255" s="491">
        <v>12</v>
      </c>
      <c r="C255" s="492">
        <f>C128</f>
        <v>25</v>
      </c>
      <c r="D255" s="492">
        <f t="shared" ref="D255:F255" si="138">D128</f>
        <v>-0.4</v>
      </c>
      <c r="E255" s="492" t="str">
        <f t="shared" si="138"/>
        <v>-</v>
      </c>
      <c r="F255" s="492">
        <f t="shared" si="138"/>
        <v>0</v>
      </c>
      <c r="G255" s="396"/>
      <c r="H255" s="1154"/>
      <c r="I255" s="491">
        <v>12</v>
      </c>
      <c r="J255" s="492">
        <f>I128</f>
        <v>50</v>
      </c>
      <c r="K255" s="492">
        <f t="shared" ref="K255:M255" si="139">J128</f>
        <v>-0.3</v>
      </c>
      <c r="L255" s="492" t="str">
        <f t="shared" si="139"/>
        <v>-</v>
      </c>
      <c r="M255" s="492">
        <f t="shared" si="139"/>
        <v>0</v>
      </c>
      <c r="N255" s="396"/>
      <c r="O255" s="396"/>
      <c r="P255" s="396"/>
    </row>
    <row r="256" spans="1:16" ht="13" x14ac:dyDescent="0.3">
      <c r="A256" s="1158"/>
      <c r="B256" s="491">
        <v>13</v>
      </c>
      <c r="C256" s="492">
        <f>C139</f>
        <v>25</v>
      </c>
      <c r="D256" s="492">
        <f t="shared" ref="D256:F256" si="140">D139</f>
        <v>-0.1</v>
      </c>
      <c r="E256" s="492" t="str">
        <f t="shared" si="140"/>
        <v>-</v>
      </c>
      <c r="F256" s="492">
        <f t="shared" si="140"/>
        <v>0</v>
      </c>
      <c r="G256" s="396"/>
      <c r="H256" s="1154"/>
      <c r="I256" s="491">
        <v>13</v>
      </c>
      <c r="J256" s="492">
        <f>I139</f>
        <v>50</v>
      </c>
      <c r="K256" s="492">
        <f t="shared" ref="K256:M256" si="141">J139</f>
        <v>-0.2</v>
      </c>
      <c r="L256" s="492" t="str">
        <f t="shared" si="141"/>
        <v>-</v>
      </c>
      <c r="M256" s="492">
        <f t="shared" si="141"/>
        <v>0</v>
      </c>
      <c r="N256" s="396"/>
      <c r="O256" s="396"/>
      <c r="P256" s="396"/>
    </row>
    <row r="257" spans="1:16" ht="13" x14ac:dyDescent="0.3">
      <c r="A257" s="1158"/>
      <c r="B257" s="491">
        <v>14</v>
      </c>
      <c r="C257" s="492">
        <f>C150</f>
        <v>25</v>
      </c>
      <c r="D257" s="492">
        <f t="shared" ref="D257:F257" si="142">D150</f>
        <v>-0.2</v>
      </c>
      <c r="E257" s="492" t="str">
        <f t="shared" si="142"/>
        <v>-</v>
      </c>
      <c r="F257" s="492">
        <f t="shared" si="142"/>
        <v>0</v>
      </c>
      <c r="G257" s="396"/>
      <c r="H257" s="1154"/>
      <c r="I257" s="491">
        <v>14</v>
      </c>
      <c r="J257" s="492">
        <f>I150</f>
        <v>50</v>
      </c>
      <c r="K257" s="492">
        <f t="shared" ref="K257:M257" si="143">J150</f>
        <v>-1.3</v>
      </c>
      <c r="L257" s="492" t="str">
        <f t="shared" si="143"/>
        <v>-</v>
      </c>
      <c r="M257" s="492">
        <f t="shared" si="143"/>
        <v>0</v>
      </c>
      <c r="N257" s="396"/>
      <c r="O257" s="396"/>
      <c r="P257" s="396"/>
    </row>
    <row r="258" spans="1:16" ht="13" x14ac:dyDescent="0.3">
      <c r="A258" s="1158"/>
      <c r="B258" s="491">
        <v>15</v>
      </c>
      <c r="C258" s="492">
        <f>C161</f>
        <v>25</v>
      </c>
      <c r="D258" s="492">
        <f t="shared" ref="D258:F258" si="144">D161</f>
        <v>9.9999999999999995E-7</v>
      </c>
      <c r="E258" s="492" t="str">
        <f t="shared" si="144"/>
        <v>-</v>
      </c>
      <c r="F258" s="492">
        <f t="shared" si="144"/>
        <v>0</v>
      </c>
      <c r="G258" s="396"/>
      <c r="H258" s="1154"/>
      <c r="I258" s="491">
        <v>15</v>
      </c>
      <c r="J258" s="492">
        <f>I161</f>
        <v>50</v>
      </c>
      <c r="K258" s="492">
        <f t="shared" ref="K258:M258" si="145">J161</f>
        <v>0.2</v>
      </c>
      <c r="L258" s="492" t="str">
        <f t="shared" si="145"/>
        <v>-</v>
      </c>
      <c r="M258" s="492">
        <f t="shared" si="145"/>
        <v>0</v>
      </c>
      <c r="N258" s="396"/>
      <c r="O258" s="396"/>
      <c r="P258" s="396"/>
    </row>
    <row r="259" spans="1:16" ht="13" x14ac:dyDescent="0.3">
      <c r="A259" s="1158"/>
      <c r="B259" s="491">
        <v>16</v>
      </c>
      <c r="C259" s="492">
        <f>C172</f>
        <v>25</v>
      </c>
      <c r="D259" s="492">
        <f t="shared" ref="D259:F259" si="146">D172</f>
        <v>0.2</v>
      </c>
      <c r="E259" s="492" t="str">
        <f t="shared" si="146"/>
        <v>-</v>
      </c>
      <c r="F259" s="492">
        <f t="shared" si="146"/>
        <v>0</v>
      </c>
      <c r="G259" s="396"/>
      <c r="H259" s="1154"/>
      <c r="I259" s="491">
        <v>16</v>
      </c>
      <c r="J259" s="492">
        <f>I172</f>
        <v>50</v>
      </c>
      <c r="K259" s="492">
        <f t="shared" ref="K259:M259" si="147">J172</f>
        <v>-1.4</v>
      </c>
      <c r="L259" s="492" t="str">
        <f t="shared" si="147"/>
        <v>-</v>
      </c>
      <c r="M259" s="492">
        <f t="shared" si="147"/>
        <v>0</v>
      </c>
      <c r="N259" s="396"/>
      <c r="O259" s="396"/>
      <c r="P259" s="396"/>
    </row>
    <row r="260" spans="1:16" ht="13" x14ac:dyDescent="0.3">
      <c r="A260" s="1158"/>
      <c r="B260" s="491">
        <v>17</v>
      </c>
      <c r="C260" s="492">
        <f>C183</f>
        <v>25</v>
      </c>
      <c r="D260" s="492">
        <f t="shared" ref="D260:F260" si="148">D183</f>
        <v>-0.2</v>
      </c>
      <c r="E260" s="492" t="str">
        <f t="shared" si="148"/>
        <v>-</v>
      </c>
      <c r="F260" s="492">
        <f t="shared" si="148"/>
        <v>0</v>
      </c>
      <c r="G260" s="396"/>
      <c r="H260" s="1154"/>
      <c r="I260" s="491">
        <v>17</v>
      </c>
      <c r="J260" s="492">
        <f>I183</f>
        <v>50</v>
      </c>
      <c r="K260" s="492">
        <f t="shared" ref="K260:M260" si="149">J183</f>
        <v>-0.2</v>
      </c>
      <c r="L260" s="492" t="str">
        <f t="shared" si="149"/>
        <v>-</v>
      </c>
      <c r="M260" s="492">
        <f t="shared" si="149"/>
        <v>0</v>
      </c>
      <c r="N260" s="396"/>
      <c r="O260" s="396"/>
      <c r="P260" s="396"/>
    </row>
    <row r="261" spans="1:16" ht="13" x14ac:dyDescent="0.3">
      <c r="A261" s="1158"/>
      <c r="B261" s="491">
        <v>18</v>
      </c>
      <c r="C261" s="492">
        <f>C194</f>
        <v>25</v>
      </c>
      <c r="D261" s="492">
        <f>E194</f>
        <v>9.9999999999999995E-7</v>
      </c>
      <c r="E261" s="492" t="s">
        <v>100</v>
      </c>
      <c r="F261" s="492">
        <f t="shared" ref="F261" si="150">F194</f>
        <v>0</v>
      </c>
      <c r="G261" s="396"/>
      <c r="H261" s="1154"/>
      <c r="I261" s="491">
        <v>18</v>
      </c>
      <c r="J261" s="492">
        <f>I194</f>
        <v>50</v>
      </c>
      <c r="K261" s="492">
        <f>K194</f>
        <v>9.9999999999999995E-7</v>
      </c>
      <c r="L261" s="492" t="s">
        <v>100</v>
      </c>
      <c r="M261" s="492">
        <f t="shared" ref="M261" si="151">L194</f>
        <v>0</v>
      </c>
      <c r="N261" s="396"/>
      <c r="O261" s="396"/>
      <c r="P261" s="396"/>
    </row>
    <row r="262" spans="1:16" ht="13" x14ac:dyDescent="0.3">
      <c r="A262" s="1158"/>
      <c r="B262" s="497">
        <v>19</v>
      </c>
      <c r="C262" s="507">
        <f>S7</f>
        <v>25</v>
      </c>
      <c r="D262" s="507">
        <f t="shared" ref="D262:F262" si="152">T7</f>
        <v>-0.2</v>
      </c>
      <c r="E262" s="507">
        <f t="shared" si="152"/>
        <v>0</v>
      </c>
      <c r="F262" s="507">
        <f t="shared" si="152"/>
        <v>0.1</v>
      </c>
      <c r="G262" s="396"/>
      <c r="H262" s="1154"/>
      <c r="I262" s="511">
        <v>19</v>
      </c>
      <c r="J262" s="507">
        <f>Y7</f>
        <v>50</v>
      </c>
      <c r="K262" s="507">
        <f t="shared" ref="K262:M262" si="153">Z7</f>
        <v>-0.2</v>
      </c>
      <c r="L262" s="507">
        <f t="shared" si="153"/>
        <v>-0.2</v>
      </c>
      <c r="M262" s="507">
        <f t="shared" si="153"/>
        <v>0</v>
      </c>
      <c r="N262" s="396"/>
      <c r="O262" s="396"/>
      <c r="P262" s="396"/>
    </row>
    <row r="263" spans="1:16" ht="13" x14ac:dyDescent="0.3">
      <c r="A263" s="500"/>
      <c r="B263" s="501"/>
      <c r="C263" s="508"/>
      <c r="D263" s="508"/>
      <c r="E263" s="508"/>
      <c r="F263" s="509"/>
      <c r="G263" s="504"/>
      <c r="H263" s="500"/>
      <c r="I263" s="512"/>
      <c r="J263" s="508"/>
      <c r="K263" s="508"/>
      <c r="L263" s="508"/>
      <c r="M263" s="509"/>
      <c r="N263" s="396"/>
      <c r="O263" s="396"/>
      <c r="P263" s="396"/>
    </row>
    <row r="264" spans="1:16" ht="13" x14ac:dyDescent="0.3">
      <c r="A264" s="1157" t="s">
        <v>280</v>
      </c>
      <c r="B264" s="491">
        <v>1</v>
      </c>
      <c r="C264" s="492">
        <f>C8</f>
        <v>30</v>
      </c>
      <c r="D264" s="492">
        <f t="shared" ref="D264:F264" si="154">D8</f>
        <v>9.9999999999999995E-7</v>
      </c>
      <c r="E264" s="492">
        <f t="shared" si="154"/>
        <v>-0.2</v>
      </c>
      <c r="F264" s="492">
        <f t="shared" si="154"/>
        <v>0.10000050000000001</v>
      </c>
      <c r="G264" s="396"/>
      <c r="H264" s="1153" t="s">
        <v>280</v>
      </c>
      <c r="I264" s="491">
        <v>1</v>
      </c>
      <c r="J264" s="492">
        <f>I8</f>
        <v>60</v>
      </c>
      <c r="K264" s="492">
        <f t="shared" ref="K264:M264" si="155">J8</f>
        <v>-4.4000000000000004</v>
      </c>
      <c r="L264" s="492">
        <f t="shared" si="155"/>
        <v>-5.2</v>
      </c>
      <c r="M264" s="492">
        <f t="shared" si="155"/>
        <v>0.39999999999999991</v>
      </c>
      <c r="N264" s="396"/>
      <c r="O264" s="396"/>
      <c r="P264" s="396"/>
    </row>
    <row r="265" spans="1:16" ht="13" x14ac:dyDescent="0.3">
      <c r="A265" s="1158"/>
      <c r="B265" s="491">
        <v>2</v>
      </c>
      <c r="C265" s="492">
        <f>C19</f>
        <v>30</v>
      </c>
      <c r="D265" s="492">
        <f>E19</f>
        <v>-0.3</v>
      </c>
      <c r="E265" s="492" t="s">
        <v>100</v>
      </c>
      <c r="F265" s="492">
        <f t="shared" ref="F265" si="156">F19</f>
        <v>0</v>
      </c>
      <c r="G265" s="396"/>
      <c r="H265" s="1154"/>
      <c r="I265" s="491">
        <v>2</v>
      </c>
      <c r="J265" s="492">
        <f>I19</f>
        <v>60</v>
      </c>
      <c r="K265" s="492">
        <f>K19</f>
        <v>-1.3</v>
      </c>
      <c r="L265" s="492" t="s">
        <v>100</v>
      </c>
      <c r="M265" s="492">
        <f t="shared" ref="M265" si="157">L19</f>
        <v>0</v>
      </c>
      <c r="N265" s="396"/>
      <c r="O265" s="396"/>
      <c r="P265" s="396"/>
    </row>
    <row r="266" spans="1:16" ht="13" x14ac:dyDescent="0.3">
      <c r="A266" s="1158"/>
      <c r="B266" s="491">
        <v>3</v>
      </c>
      <c r="C266" s="492">
        <f>C30</f>
        <v>30</v>
      </c>
      <c r="D266" s="492">
        <f>E30</f>
        <v>-0.3</v>
      </c>
      <c r="E266" s="492" t="s">
        <v>100</v>
      </c>
      <c r="F266" s="492">
        <f t="shared" ref="F266" si="158">F30</f>
        <v>0</v>
      </c>
      <c r="G266" s="396"/>
      <c r="H266" s="1154"/>
      <c r="I266" s="491">
        <v>3</v>
      </c>
      <c r="J266" s="492">
        <f>I30</f>
        <v>60</v>
      </c>
      <c r="K266" s="492">
        <f>K30</f>
        <v>-4.3</v>
      </c>
      <c r="L266" s="492" t="s">
        <v>100</v>
      </c>
      <c r="M266" s="492">
        <f t="shared" ref="M266" si="159">L30</f>
        <v>0</v>
      </c>
      <c r="N266" s="396"/>
      <c r="O266" s="396"/>
      <c r="P266" s="396"/>
    </row>
    <row r="267" spans="1:16" ht="13" x14ac:dyDescent="0.3">
      <c r="A267" s="1158"/>
      <c r="B267" s="491">
        <v>4</v>
      </c>
      <c r="C267" s="492">
        <f>C41</f>
        <v>30</v>
      </c>
      <c r="D267" s="492">
        <f>E41</f>
        <v>-0.6</v>
      </c>
      <c r="E267" s="492" t="s">
        <v>100</v>
      </c>
      <c r="F267" s="492">
        <f t="shared" ref="F267" si="160">F41</f>
        <v>0</v>
      </c>
      <c r="G267" s="396"/>
      <c r="H267" s="1154"/>
      <c r="I267" s="491">
        <v>4</v>
      </c>
      <c r="J267" s="492">
        <f>I41</f>
        <v>60</v>
      </c>
      <c r="K267" s="492">
        <f>K41</f>
        <v>-0.3</v>
      </c>
      <c r="L267" s="492" t="s">
        <v>100</v>
      </c>
      <c r="M267" s="492">
        <f t="shared" ref="M267" si="161">L41</f>
        <v>0</v>
      </c>
      <c r="N267" s="396"/>
      <c r="O267" s="396"/>
      <c r="P267" s="396"/>
    </row>
    <row r="268" spans="1:16" ht="13" x14ac:dyDescent="0.3">
      <c r="A268" s="1158"/>
      <c r="B268" s="491">
        <v>5</v>
      </c>
      <c r="C268" s="492">
        <f>C52</f>
        <v>30</v>
      </c>
      <c r="D268" s="492">
        <f t="shared" ref="D268:F268" si="162">D52</f>
        <v>0.6</v>
      </c>
      <c r="E268" s="492">
        <f t="shared" si="162"/>
        <v>0.1</v>
      </c>
      <c r="F268" s="492">
        <f t="shared" si="162"/>
        <v>0.25</v>
      </c>
      <c r="G268" s="396"/>
      <c r="H268" s="1154"/>
      <c r="I268" s="491">
        <v>5</v>
      </c>
      <c r="J268" s="492">
        <f>I52</f>
        <v>60</v>
      </c>
      <c r="K268" s="492">
        <f t="shared" ref="K268:M268" si="163">J52</f>
        <v>-5.2</v>
      </c>
      <c r="L268" s="492">
        <f t="shared" si="163"/>
        <v>-4.2</v>
      </c>
      <c r="M268" s="492">
        <f t="shared" si="163"/>
        <v>0.5</v>
      </c>
      <c r="N268" s="396"/>
      <c r="O268" s="396"/>
      <c r="P268" s="396"/>
    </row>
    <row r="269" spans="1:16" ht="13" x14ac:dyDescent="0.3">
      <c r="A269" s="1158"/>
      <c r="B269" s="491">
        <v>6</v>
      </c>
      <c r="C269" s="492">
        <f>C63</f>
        <v>30</v>
      </c>
      <c r="D269" s="492">
        <f t="shared" ref="D269:F269" si="164">D63</f>
        <v>0.1</v>
      </c>
      <c r="E269" s="492">
        <f t="shared" si="164"/>
        <v>-0.5</v>
      </c>
      <c r="F269" s="492">
        <f t="shared" si="164"/>
        <v>0.3</v>
      </c>
      <c r="G269" s="396"/>
      <c r="H269" s="1154"/>
      <c r="I269" s="491">
        <v>6</v>
      </c>
      <c r="J269" s="492">
        <f>I63</f>
        <v>60</v>
      </c>
      <c r="K269" s="492">
        <f t="shared" ref="K269:M269" si="165">J63</f>
        <v>-6.4</v>
      </c>
      <c r="L269" s="492">
        <f t="shared" si="165"/>
        <v>-2</v>
      </c>
      <c r="M269" s="492">
        <f t="shared" si="165"/>
        <v>2.2000000000000002</v>
      </c>
      <c r="N269" s="396"/>
      <c r="O269" s="396"/>
      <c r="P269" s="396"/>
    </row>
    <row r="270" spans="1:16" ht="13" x14ac:dyDescent="0.3">
      <c r="A270" s="1158"/>
      <c r="B270" s="491">
        <v>7</v>
      </c>
      <c r="C270" s="492">
        <f>C74</f>
        <v>30</v>
      </c>
      <c r="D270" s="492">
        <f>E74</f>
        <v>-0.6</v>
      </c>
      <c r="E270" s="492" t="s">
        <v>100</v>
      </c>
      <c r="F270" s="492">
        <f t="shared" ref="F270" si="166">F74</f>
        <v>0</v>
      </c>
      <c r="G270" s="396"/>
      <c r="H270" s="1154"/>
      <c r="I270" s="491">
        <v>7</v>
      </c>
      <c r="J270" s="492">
        <f>I74</f>
        <v>60</v>
      </c>
      <c r="K270" s="492">
        <f>K74</f>
        <v>0.7</v>
      </c>
      <c r="L270" s="492" t="s">
        <v>100</v>
      </c>
      <c r="M270" s="492">
        <f t="shared" ref="M270" si="167">L74</f>
        <v>0</v>
      </c>
      <c r="N270" s="396"/>
      <c r="O270" s="396"/>
      <c r="P270" s="396"/>
    </row>
    <row r="271" spans="1:16" ht="13" x14ac:dyDescent="0.3">
      <c r="A271" s="1158"/>
      <c r="B271" s="491">
        <v>8</v>
      </c>
      <c r="C271" s="492">
        <f>C85</f>
        <v>30</v>
      </c>
      <c r="D271" s="492">
        <f>E85</f>
        <v>-0.4</v>
      </c>
      <c r="E271" s="492" t="s">
        <v>100</v>
      </c>
      <c r="F271" s="492">
        <f t="shared" ref="F271" si="168">F85</f>
        <v>0</v>
      </c>
      <c r="G271" s="396"/>
      <c r="H271" s="1154"/>
      <c r="I271" s="491">
        <v>8</v>
      </c>
      <c r="J271" s="492">
        <f>I85</f>
        <v>60</v>
      </c>
      <c r="K271" s="492">
        <f>K85</f>
        <v>-1.1000000000000001</v>
      </c>
      <c r="L271" s="492" t="s">
        <v>100</v>
      </c>
      <c r="M271" s="492">
        <f t="shared" ref="M271" si="169">L85</f>
        <v>0</v>
      </c>
      <c r="N271" s="396"/>
      <c r="O271" s="396"/>
      <c r="P271" s="396"/>
    </row>
    <row r="272" spans="1:16" ht="13" x14ac:dyDescent="0.3">
      <c r="A272" s="1158"/>
      <c r="B272" s="491">
        <v>9</v>
      </c>
      <c r="C272" s="492">
        <f>C96</f>
        <v>30</v>
      </c>
      <c r="D272" s="492">
        <f t="shared" ref="D272:F272" si="170">D96</f>
        <v>-0.5</v>
      </c>
      <c r="E272" s="492" t="str">
        <f t="shared" si="170"/>
        <v>-</v>
      </c>
      <c r="F272" s="492">
        <f t="shared" si="170"/>
        <v>0</v>
      </c>
      <c r="G272" s="396"/>
      <c r="H272" s="1154"/>
      <c r="I272" s="491">
        <v>9</v>
      </c>
      <c r="J272" s="492">
        <f>I96</f>
        <v>60</v>
      </c>
      <c r="K272" s="492">
        <f t="shared" ref="K272:M272" si="171">J96</f>
        <v>-0.8</v>
      </c>
      <c r="L272" s="492" t="str">
        <f t="shared" si="171"/>
        <v>-</v>
      </c>
      <c r="M272" s="492">
        <f t="shared" si="171"/>
        <v>0</v>
      </c>
      <c r="N272" s="396"/>
      <c r="O272" s="396"/>
      <c r="P272" s="396"/>
    </row>
    <row r="273" spans="1:16" ht="13" x14ac:dyDescent="0.3">
      <c r="A273" s="1158"/>
      <c r="B273" s="491">
        <v>10</v>
      </c>
      <c r="C273" s="492">
        <f>C107</f>
        <v>30</v>
      </c>
      <c r="D273" s="492">
        <f t="shared" ref="D273:F273" si="172">D107</f>
        <v>0.1</v>
      </c>
      <c r="E273" s="492">
        <f t="shared" si="172"/>
        <v>0.2</v>
      </c>
      <c r="F273" s="492">
        <f t="shared" si="172"/>
        <v>0.05</v>
      </c>
      <c r="G273" s="396"/>
      <c r="H273" s="1154"/>
      <c r="I273" s="491">
        <v>10</v>
      </c>
      <c r="J273" s="492">
        <f>I107</f>
        <v>60</v>
      </c>
      <c r="K273" s="492">
        <f t="shared" ref="K273:M273" si="173">J107</f>
        <v>-2.1</v>
      </c>
      <c r="L273" s="492">
        <f t="shared" si="173"/>
        <v>-5.6</v>
      </c>
      <c r="M273" s="492">
        <f t="shared" si="173"/>
        <v>1.7499999999999998</v>
      </c>
      <c r="N273" s="396"/>
      <c r="O273" s="396"/>
      <c r="P273" s="396"/>
    </row>
    <row r="274" spans="1:16" ht="13" x14ac:dyDescent="0.3">
      <c r="A274" s="1158"/>
      <c r="B274" s="491">
        <v>11</v>
      </c>
      <c r="C274" s="492">
        <f>C118</f>
        <v>30</v>
      </c>
      <c r="D274" s="492">
        <f t="shared" ref="D274:F274" si="174">D118</f>
        <v>0.5</v>
      </c>
      <c r="E274" s="492" t="str">
        <f t="shared" si="174"/>
        <v>-</v>
      </c>
      <c r="F274" s="492">
        <f t="shared" si="174"/>
        <v>0</v>
      </c>
      <c r="G274" s="396"/>
      <c r="H274" s="1154"/>
      <c r="I274" s="491">
        <v>11</v>
      </c>
      <c r="J274" s="492">
        <f>I118</f>
        <v>60</v>
      </c>
      <c r="K274" s="492">
        <f t="shared" ref="K274:M274" si="175">J118</f>
        <v>-4.8</v>
      </c>
      <c r="L274" s="492" t="str">
        <f t="shared" si="175"/>
        <v>-</v>
      </c>
      <c r="M274" s="492">
        <f t="shared" si="175"/>
        <v>0</v>
      </c>
      <c r="N274" s="396"/>
      <c r="O274" s="396"/>
      <c r="P274" s="396"/>
    </row>
    <row r="275" spans="1:16" ht="13" x14ac:dyDescent="0.3">
      <c r="A275" s="1158"/>
      <c r="B275" s="491">
        <v>12</v>
      </c>
      <c r="C275" s="492">
        <f>C129</f>
        <v>30</v>
      </c>
      <c r="D275" s="492">
        <f t="shared" ref="D275:F275" si="176">D129</f>
        <v>-0.2</v>
      </c>
      <c r="E275" s="492" t="str">
        <f t="shared" si="176"/>
        <v>-</v>
      </c>
      <c r="F275" s="492">
        <f t="shared" si="176"/>
        <v>0</v>
      </c>
      <c r="G275" s="396"/>
      <c r="H275" s="1154"/>
      <c r="I275" s="491">
        <v>12</v>
      </c>
      <c r="J275" s="492">
        <f>I129</f>
        <v>60</v>
      </c>
      <c r="K275" s="492">
        <f t="shared" ref="K275:M275" si="177">J129</f>
        <v>-0.5</v>
      </c>
      <c r="L275" s="492" t="str">
        <f t="shared" si="177"/>
        <v>-</v>
      </c>
      <c r="M275" s="492">
        <f t="shared" si="177"/>
        <v>0</v>
      </c>
      <c r="N275" s="396"/>
      <c r="O275" s="396"/>
      <c r="P275" s="396"/>
    </row>
    <row r="276" spans="1:16" ht="13" x14ac:dyDescent="0.3">
      <c r="A276" s="1158"/>
      <c r="B276" s="491">
        <v>13</v>
      </c>
      <c r="C276" s="492">
        <f>C140</f>
        <v>30</v>
      </c>
      <c r="D276" s="492">
        <f t="shared" ref="D276:F276" si="178">D140</f>
        <v>-0.3</v>
      </c>
      <c r="E276" s="492" t="str">
        <f t="shared" si="178"/>
        <v>-</v>
      </c>
      <c r="F276" s="492">
        <f t="shared" si="178"/>
        <v>0</v>
      </c>
      <c r="G276" s="396"/>
      <c r="H276" s="1154"/>
      <c r="I276" s="491">
        <v>13</v>
      </c>
      <c r="J276" s="492">
        <f>I140</f>
        <v>60</v>
      </c>
      <c r="K276" s="492">
        <f t="shared" ref="K276:M276" si="179">J140</f>
        <v>-0.6</v>
      </c>
      <c r="L276" s="492" t="str">
        <f t="shared" si="179"/>
        <v>-</v>
      </c>
      <c r="M276" s="492">
        <f t="shared" si="179"/>
        <v>0</v>
      </c>
      <c r="N276" s="396"/>
      <c r="O276" s="396"/>
      <c r="P276" s="396"/>
    </row>
    <row r="277" spans="1:16" ht="13" x14ac:dyDescent="0.3">
      <c r="A277" s="1158"/>
      <c r="B277" s="491">
        <v>14</v>
      </c>
      <c r="C277" s="492">
        <f>C151</f>
        <v>30</v>
      </c>
      <c r="D277" s="492">
        <f t="shared" ref="D277:F277" si="180">D151</f>
        <v>0.1</v>
      </c>
      <c r="E277" s="492" t="str">
        <f t="shared" si="180"/>
        <v>-</v>
      </c>
      <c r="F277" s="492">
        <f t="shared" si="180"/>
        <v>0</v>
      </c>
      <c r="G277" s="396"/>
      <c r="H277" s="1154"/>
      <c r="I277" s="491">
        <v>14</v>
      </c>
      <c r="J277" s="492">
        <f>I151</f>
        <v>60</v>
      </c>
      <c r="K277" s="492">
        <f t="shared" ref="K277:M277" si="181">J151</f>
        <v>-1.5</v>
      </c>
      <c r="L277" s="492" t="str">
        <f t="shared" si="181"/>
        <v>-</v>
      </c>
      <c r="M277" s="492">
        <f t="shared" si="181"/>
        <v>0</v>
      </c>
      <c r="N277" s="396"/>
      <c r="O277" s="396"/>
      <c r="P277" s="396"/>
    </row>
    <row r="278" spans="1:16" ht="13" x14ac:dyDescent="0.3">
      <c r="A278" s="1158"/>
      <c r="B278" s="491">
        <v>15</v>
      </c>
      <c r="C278" s="492">
        <f>C162</f>
        <v>30</v>
      </c>
      <c r="D278" s="492">
        <f t="shared" ref="D278:F278" si="182">D162</f>
        <v>-0.2</v>
      </c>
      <c r="E278" s="492" t="str">
        <f t="shared" si="182"/>
        <v>-</v>
      </c>
      <c r="F278" s="492">
        <f t="shared" si="182"/>
        <v>0</v>
      </c>
      <c r="G278" s="396"/>
      <c r="H278" s="1154"/>
      <c r="I278" s="491">
        <v>15</v>
      </c>
      <c r="J278" s="492">
        <f>I162</f>
        <v>60</v>
      </c>
      <c r="K278" s="492">
        <f t="shared" ref="K278:M278" si="183">J162</f>
        <v>9.9999999999999995E-7</v>
      </c>
      <c r="L278" s="492" t="str">
        <f t="shared" si="183"/>
        <v>-</v>
      </c>
      <c r="M278" s="492">
        <f t="shared" si="183"/>
        <v>0</v>
      </c>
      <c r="N278" s="396"/>
      <c r="O278" s="396"/>
      <c r="P278" s="396"/>
    </row>
    <row r="279" spans="1:16" ht="13" x14ac:dyDescent="0.3">
      <c r="A279" s="1158"/>
      <c r="B279" s="491">
        <v>16</v>
      </c>
      <c r="C279" s="492">
        <f>C173</f>
        <v>30</v>
      </c>
      <c r="D279" s="492">
        <f t="shared" ref="D279:F279" si="184">D173</f>
        <v>0.2</v>
      </c>
      <c r="E279" s="492" t="str">
        <f t="shared" si="184"/>
        <v>-</v>
      </c>
      <c r="F279" s="492">
        <f t="shared" si="184"/>
        <v>0</v>
      </c>
      <c r="G279" s="396"/>
      <c r="H279" s="1154"/>
      <c r="I279" s="491">
        <v>16</v>
      </c>
      <c r="J279" s="492">
        <f>I173</f>
        <v>60</v>
      </c>
      <c r="K279" s="492">
        <f t="shared" ref="K279:M279" si="185">J173</f>
        <v>-1.5</v>
      </c>
      <c r="L279" s="492" t="str">
        <f t="shared" si="185"/>
        <v>-</v>
      </c>
      <c r="M279" s="492">
        <f t="shared" si="185"/>
        <v>0</v>
      </c>
      <c r="N279" s="396"/>
      <c r="O279" s="396"/>
      <c r="P279" s="396"/>
    </row>
    <row r="280" spans="1:16" ht="13" x14ac:dyDescent="0.3">
      <c r="A280" s="1158"/>
      <c r="B280" s="491">
        <v>17</v>
      </c>
      <c r="C280" s="492">
        <f>C184</f>
        <v>30</v>
      </c>
      <c r="D280" s="492">
        <f t="shared" ref="D280:F280" si="186">D184</f>
        <v>-0.2</v>
      </c>
      <c r="E280" s="492" t="str">
        <f t="shared" si="186"/>
        <v>-</v>
      </c>
      <c r="F280" s="492">
        <f t="shared" si="186"/>
        <v>0</v>
      </c>
      <c r="G280" s="396"/>
      <c r="H280" s="1154"/>
      <c r="I280" s="491">
        <v>17</v>
      </c>
      <c r="J280" s="492">
        <f>I184</f>
        <v>60</v>
      </c>
      <c r="K280" s="492">
        <f t="shared" ref="K280:M280" si="187">J184</f>
        <v>-0.2</v>
      </c>
      <c r="L280" s="492" t="str">
        <f t="shared" si="187"/>
        <v>-</v>
      </c>
      <c r="M280" s="492">
        <f t="shared" si="187"/>
        <v>0</v>
      </c>
      <c r="N280" s="396"/>
      <c r="O280" s="396"/>
      <c r="P280" s="396"/>
    </row>
    <row r="281" spans="1:16" ht="13" x14ac:dyDescent="0.3">
      <c r="A281" s="1158"/>
      <c r="B281" s="491">
        <v>18</v>
      </c>
      <c r="C281" s="492">
        <f>C195</f>
        <v>30</v>
      </c>
      <c r="D281" s="492">
        <f>E195</f>
        <v>-0.1</v>
      </c>
      <c r="E281" s="492" t="s">
        <v>100</v>
      </c>
      <c r="F281" s="492">
        <f t="shared" ref="F281" si="188">F195</f>
        <v>0</v>
      </c>
      <c r="G281" s="396"/>
      <c r="H281" s="1154"/>
      <c r="I281" s="491">
        <v>18</v>
      </c>
      <c r="J281" s="492">
        <f>I195</f>
        <v>60</v>
      </c>
      <c r="K281" s="492">
        <f>K195</f>
        <v>9.9999999999999995E-7</v>
      </c>
      <c r="L281" s="492" t="s">
        <v>100</v>
      </c>
      <c r="M281" s="492">
        <f t="shared" ref="M281" si="189">L195</f>
        <v>0</v>
      </c>
      <c r="N281" s="396"/>
      <c r="O281" s="396"/>
      <c r="P281" s="396"/>
    </row>
    <row r="282" spans="1:16" ht="13" x14ac:dyDescent="0.3">
      <c r="A282" s="1158"/>
      <c r="B282" s="497">
        <v>19</v>
      </c>
      <c r="C282" s="507">
        <f>S8</f>
        <v>30</v>
      </c>
      <c r="D282" s="507">
        <f t="shared" ref="D282:F282" si="190">T8</f>
        <v>-0.2</v>
      </c>
      <c r="E282" s="507">
        <f t="shared" si="190"/>
        <v>-0.1</v>
      </c>
      <c r="F282" s="507">
        <f t="shared" si="190"/>
        <v>0.05</v>
      </c>
      <c r="G282" s="396"/>
      <c r="H282" s="1154"/>
      <c r="I282" s="511">
        <v>19</v>
      </c>
      <c r="J282" s="507">
        <f>Y8</f>
        <v>60</v>
      </c>
      <c r="K282" s="507">
        <f t="shared" ref="K282:M282" si="191">Z8</f>
        <v>-0.2</v>
      </c>
      <c r="L282" s="507">
        <f t="shared" si="191"/>
        <v>0.2</v>
      </c>
      <c r="M282" s="507">
        <f t="shared" si="191"/>
        <v>0.2</v>
      </c>
      <c r="N282" s="396"/>
      <c r="O282" s="396"/>
      <c r="P282" s="396"/>
    </row>
    <row r="283" spans="1:16" ht="13" x14ac:dyDescent="0.3">
      <c r="A283" s="500"/>
      <c r="B283" s="501"/>
      <c r="C283" s="508"/>
      <c r="D283" s="508"/>
      <c r="E283" s="508"/>
      <c r="F283" s="509"/>
      <c r="G283" s="504"/>
      <c r="H283" s="500"/>
      <c r="I283" s="512"/>
      <c r="J283" s="508"/>
      <c r="K283" s="508"/>
      <c r="L283" s="508"/>
      <c r="M283" s="509"/>
      <c r="N283" s="396"/>
      <c r="O283" s="396"/>
      <c r="P283" s="396"/>
    </row>
    <row r="284" spans="1:16" ht="13" x14ac:dyDescent="0.3">
      <c r="A284" s="1157" t="s">
        <v>281</v>
      </c>
      <c r="B284" s="491">
        <v>1</v>
      </c>
      <c r="C284" s="492">
        <f>C9</f>
        <v>35</v>
      </c>
      <c r="D284" s="492">
        <f t="shared" ref="D284:F284" si="192">D9</f>
        <v>-0.1</v>
      </c>
      <c r="E284" s="492">
        <f t="shared" si="192"/>
        <v>-0.5</v>
      </c>
      <c r="F284" s="492">
        <f t="shared" si="192"/>
        <v>0.2</v>
      </c>
      <c r="G284" s="396"/>
      <c r="H284" s="1153" t="s">
        <v>281</v>
      </c>
      <c r="I284" s="491">
        <v>1</v>
      </c>
      <c r="J284" s="492">
        <f>I20</f>
        <v>70</v>
      </c>
      <c r="K284" s="492">
        <f>K20</f>
        <v>-1.1000000000000001</v>
      </c>
      <c r="L284" s="492" t="s">
        <v>100</v>
      </c>
      <c r="M284" s="492">
        <f t="shared" ref="M284" si="193">L20</f>
        <v>0</v>
      </c>
      <c r="N284" s="396"/>
      <c r="O284" s="396"/>
      <c r="P284" s="396"/>
    </row>
    <row r="285" spans="1:16" ht="13" x14ac:dyDescent="0.3">
      <c r="A285" s="1158"/>
      <c r="B285" s="491">
        <v>2</v>
      </c>
      <c r="C285" s="492">
        <f>C20</f>
        <v>35</v>
      </c>
      <c r="D285" s="492">
        <f>E20</f>
        <v>-0.3</v>
      </c>
      <c r="E285" s="492" t="s">
        <v>100</v>
      </c>
      <c r="F285" s="492">
        <f t="shared" ref="F285" si="194">F20</f>
        <v>0</v>
      </c>
      <c r="G285" s="396"/>
      <c r="H285" s="1154"/>
      <c r="I285" s="491">
        <v>2</v>
      </c>
      <c r="J285" s="492">
        <f>I20</f>
        <v>70</v>
      </c>
      <c r="K285" s="492">
        <f>K20</f>
        <v>-1.1000000000000001</v>
      </c>
      <c r="L285" s="492" t="s">
        <v>100</v>
      </c>
      <c r="M285" s="492">
        <f t="shared" ref="M285" si="195">L20</f>
        <v>0</v>
      </c>
      <c r="N285" s="396"/>
      <c r="O285" s="396"/>
      <c r="P285" s="396"/>
    </row>
    <row r="286" spans="1:16" ht="13" x14ac:dyDescent="0.3">
      <c r="A286" s="1158"/>
      <c r="B286" s="491">
        <v>3</v>
      </c>
      <c r="C286" s="492">
        <f>C31</f>
        <v>35</v>
      </c>
      <c r="D286" s="492">
        <f>E31</f>
        <v>-0.5</v>
      </c>
      <c r="E286" s="492" t="s">
        <v>100</v>
      </c>
      <c r="F286" s="492">
        <f t="shared" ref="F286" si="196">F31</f>
        <v>0</v>
      </c>
      <c r="G286" s="396"/>
      <c r="H286" s="1154"/>
      <c r="I286" s="491">
        <v>3</v>
      </c>
      <c r="J286" s="492">
        <f>I31</f>
        <v>70</v>
      </c>
      <c r="K286" s="492">
        <f>K31</f>
        <v>-3.6</v>
      </c>
      <c r="L286" s="492" t="s">
        <v>100</v>
      </c>
      <c r="M286" s="492">
        <f t="shared" ref="M286" si="197">L31</f>
        <v>0</v>
      </c>
      <c r="N286" s="396"/>
      <c r="O286" s="396"/>
      <c r="P286" s="396"/>
    </row>
    <row r="287" spans="1:16" ht="13" x14ac:dyDescent="0.3">
      <c r="A287" s="1158"/>
      <c r="B287" s="491">
        <v>4</v>
      </c>
      <c r="C287" s="492">
        <f>C42</f>
        <v>35</v>
      </c>
      <c r="D287" s="492">
        <f>E42</f>
        <v>-0.6</v>
      </c>
      <c r="E287" s="492">
        <f ca="1">-E287</f>
        <v>0</v>
      </c>
      <c r="F287" s="492">
        <f t="shared" ref="F287" si="198">F42</f>
        <v>0</v>
      </c>
      <c r="G287" s="396"/>
      <c r="H287" s="1154"/>
      <c r="I287" s="491">
        <v>4</v>
      </c>
      <c r="J287" s="492">
        <f>I42</f>
        <v>70</v>
      </c>
      <c r="K287" s="492">
        <f>K42</f>
        <v>0.7</v>
      </c>
      <c r="L287" s="492" t="s">
        <v>100</v>
      </c>
      <c r="M287" s="492">
        <f t="shared" ref="M287" si="199">L42</f>
        <v>0</v>
      </c>
      <c r="N287" s="396"/>
      <c r="O287" s="396"/>
      <c r="P287" s="396"/>
    </row>
    <row r="288" spans="1:16" ht="13" x14ac:dyDescent="0.3">
      <c r="A288" s="1158"/>
      <c r="B288" s="491">
        <v>5</v>
      </c>
      <c r="C288" s="492">
        <f>C53</f>
        <v>35</v>
      </c>
      <c r="D288" s="492">
        <f t="shared" ref="D288:F288" si="200">D53</f>
        <v>0.7</v>
      </c>
      <c r="E288" s="492">
        <f t="shared" si="200"/>
        <v>9.9999999999999995E-7</v>
      </c>
      <c r="F288" s="492">
        <f t="shared" si="200"/>
        <v>0.34999949999999996</v>
      </c>
      <c r="G288" s="396"/>
      <c r="H288" s="1154"/>
      <c r="I288" s="491">
        <v>5</v>
      </c>
      <c r="J288" s="492">
        <f>I53</f>
        <v>70</v>
      </c>
      <c r="K288" s="492">
        <f t="shared" ref="K288:M288" si="201">J53</f>
        <v>-4.0999999999999996</v>
      </c>
      <c r="L288" s="492">
        <f t="shared" si="201"/>
        <v>-2.1</v>
      </c>
      <c r="M288" s="492">
        <f t="shared" si="201"/>
        <v>0.99999999999999978</v>
      </c>
      <c r="N288" s="396"/>
      <c r="O288" s="396"/>
      <c r="P288" s="396"/>
    </row>
    <row r="289" spans="1:16" ht="13" x14ac:dyDescent="0.3">
      <c r="A289" s="1158"/>
      <c r="B289" s="491">
        <v>6</v>
      </c>
      <c r="C289" s="492">
        <f>C64</f>
        <v>35</v>
      </c>
      <c r="D289" s="492">
        <f t="shared" ref="D289:F289" si="202">D64</f>
        <v>0.1</v>
      </c>
      <c r="E289" s="492">
        <f t="shared" si="202"/>
        <v>-0.9</v>
      </c>
      <c r="F289" s="492">
        <f t="shared" si="202"/>
        <v>0.5</v>
      </c>
      <c r="G289" s="396"/>
      <c r="H289" s="1154"/>
      <c r="I289" s="491">
        <v>6</v>
      </c>
      <c r="J289" s="492">
        <f>I64</f>
        <v>70</v>
      </c>
      <c r="K289" s="492">
        <f t="shared" ref="K289:M289" si="203">J64</f>
        <v>-6.7</v>
      </c>
      <c r="L289" s="492">
        <f t="shared" si="203"/>
        <v>-2.1</v>
      </c>
      <c r="M289" s="492">
        <f t="shared" si="203"/>
        <v>2.2999999999999998</v>
      </c>
      <c r="N289" s="396"/>
      <c r="O289" s="396"/>
      <c r="P289" s="396"/>
    </row>
    <row r="290" spans="1:16" ht="13" x14ac:dyDescent="0.3">
      <c r="A290" s="1158"/>
      <c r="B290" s="491">
        <v>7</v>
      </c>
      <c r="C290" s="492">
        <f>C75</f>
        <v>35</v>
      </c>
      <c r="D290" s="492">
        <f>E75</f>
        <v>-1.1000000000000001</v>
      </c>
      <c r="E290" s="492" t="s">
        <v>100</v>
      </c>
      <c r="F290" s="492">
        <f t="shared" ref="F290" si="204">F75</f>
        <v>0</v>
      </c>
      <c r="G290" s="396"/>
      <c r="H290" s="1154"/>
      <c r="I290" s="491">
        <v>7</v>
      </c>
      <c r="J290" s="492">
        <f>I75</f>
        <v>70</v>
      </c>
      <c r="K290" s="492">
        <f>K75</f>
        <v>0.9</v>
      </c>
      <c r="L290" s="492" t="s">
        <v>100</v>
      </c>
      <c r="M290" s="492">
        <f t="shared" ref="M290" si="205">L75</f>
        <v>0</v>
      </c>
      <c r="N290" s="396"/>
      <c r="O290" s="396"/>
      <c r="P290" s="396"/>
    </row>
    <row r="291" spans="1:16" ht="13" x14ac:dyDescent="0.3">
      <c r="A291" s="1158"/>
      <c r="B291" s="491">
        <v>8</v>
      </c>
      <c r="C291" s="492">
        <f>C86</f>
        <v>35</v>
      </c>
      <c r="D291" s="492">
        <f>E86</f>
        <v>-0.5</v>
      </c>
      <c r="E291" s="492" t="s">
        <v>100</v>
      </c>
      <c r="F291" s="492">
        <f t="shared" ref="F291" si="206">F86</f>
        <v>0</v>
      </c>
      <c r="G291" s="396"/>
      <c r="H291" s="1154"/>
      <c r="I291" s="491">
        <v>8</v>
      </c>
      <c r="J291" s="492">
        <f>I86</f>
        <v>70</v>
      </c>
      <c r="K291" s="492">
        <f>K86</f>
        <v>-1.2</v>
      </c>
      <c r="L291" s="492" t="s">
        <v>100</v>
      </c>
      <c r="M291" s="492">
        <f t="shared" ref="M291" si="207">L86</f>
        <v>0</v>
      </c>
      <c r="N291" s="396"/>
      <c r="O291" s="396"/>
      <c r="P291" s="396"/>
    </row>
    <row r="292" spans="1:16" ht="13" x14ac:dyDescent="0.3">
      <c r="A292" s="1158"/>
      <c r="B292" s="491">
        <v>9</v>
      </c>
      <c r="C292" s="492">
        <f>C97</f>
        <v>35</v>
      </c>
      <c r="D292" s="492">
        <f t="shared" ref="D292:F292" si="208">D97</f>
        <v>-0.5</v>
      </c>
      <c r="E292" s="492" t="str">
        <f t="shared" si="208"/>
        <v>-</v>
      </c>
      <c r="F292" s="492">
        <f t="shared" si="208"/>
        <v>0</v>
      </c>
      <c r="G292" s="396"/>
      <c r="H292" s="1154"/>
      <c r="I292" s="491">
        <v>9</v>
      </c>
      <c r="J292" s="492">
        <f>I97</f>
        <v>70</v>
      </c>
      <c r="K292" s="492">
        <f t="shared" ref="K292:M292" si="209">J97</f>
        <v>-0.6</v>
      </c>
      <c r="L292" s="492" t="str">
        <f t="shared" si="209"/>
        <v>-</v>
      </c>
      <c r="M292" s="492">
        <f t="shared" si="209"/>
        <v>0</v>
      </c>
      <c r="N292" s="396"/>
      <c r="O292" s="396"/>
      <c r="P292" s="396"/>
    </row>
    <row r="293" spans="1:16" ht="13" x14ac:dyDescent="0.3">
      <c r="A293" s="1158"/>
      <c r="B293" s="491">
        <v>10</v>
      </c>
      <c r="C293" s="492">
        <f>C108</f>
        <v>35</v>
      </c>
      <c r="D293" s="492">
        <f t="shared" ref="D293:F293" si="210">D108</f>
        <v>0.2</v>
      </c>
      <c r="E293" s="492">
        <f t="shared" si="210"/>
        <v>0.8</v>
      </c>
      <c r="F293" s="492">
        <f t="shared" si="210"/>
        <v>0.30000000000000004</v>
      </c>
      <c r="G293" s="396"/>
      <c r="H293" s="1154"/>
      <c r="I293" s="491">
        <v>10</v>
      </c>
      <c r="J293" s="492">
        <f>I108</f>
        <v>70</v>
      </c>
      <c r="K293" s="492">
        <f t="shared" ref="K293:M293" si="211">J108</f>
        <v>-0.3</v>
      </c>
      <c r="L293" s="492">
        <f t="shared" si="211"/>
        <v>-5.0999999999999996</v>
      </c>
      <c r="M293" s="492">
        <f t="shared" si="211"/>
        <v>2.4</v>
      </c>
      <c r="N293" s="396"/>
      <c r="O293" s="396"/>
      <c r="P293" s="396"/>
    </row>
    <row r="294" spans="1:16" ht="13" x14ac:dyDescent="0.3">
      <c r="A294" s="1158"/>
      <c r="B294" s="491">
        <v>11</v>
      </c>
      <c r="C294" s="492">
        <f>C119</f>
        <v>35</v>
      </c>
      <c r="D294" s="492">
        <f t="shared" ref="D294:F294" si="212">D119</f>
        <v>0.5</v>
      </c>
      <c r="E294" s="492" t="str">
        <f t="shared" si="212"/>
        <v>-</v>
      </c>
      <c r="F294" s="492">
        <f t="shared" si="212"/>
        <v>0</v>
      </c>
      <c r="G294" s="396"/>
      <c r="H294" s="1154"/>
      <c r="I294" s="491">
        <v>11</v>
      </c>
      <c r="J294" s="492">
        <f>I119</f>
        <v>70</v>
      </c>
      <c r="K294" s="492">
        <f t="shared" ref="K294:M294" si="213">J119</f>
        <v>-3.4</v>
      </c>
      <c r="L294" s="492" t="str">
        <f t="shared" si="213"/>
        <v>-</v>
      </c>
      <c r="M294" s="492">
        <f t="shared" si="213"/>
        <v>0</v>
      </c>
      <c r="N294" s="396"/>
      <c r="O294" s="396"/>
      <c r="P294" s="396"/>
    </row>
    <row r="295" spans="1:16" ht="13" x14ac:dyDescent="0.3">
      <c r="A295" s="1158"/>
      <c r="B295" s="491">
        <v>12</v>
      </c>
      <c r="C295" s="492">
        <f>C130</f>
        <v>35</v>
      </c>
      <c r="D295" s="492">
        <f t="shared" ref="D295:F295" si="214">D130</f>
        <v>-0.1</v>
      </c>
      <c r="E295" s="492" t="str">
        <f t="shared" si="214"/>
        <v>-</v>
      </c>
      <c r="F295" s="492">
        <f t="shared" si="214"/>
        <v>0</v>
      </c>
      <c r="G295" s="396"/>
      <c r="H295" s="1154"/>
      <c r="I295" s="491">
        <v>12</v>
      </c>
      <c r="J295" s="492">
        <f>I130</f>
        <v>70</v>
      </c>
      <c r="K295" s="492">
        <f t="shared" ref="K295:M295" si="215">J130</f>
        <v>-0.8</v>
      </c>
      <c r="L295" s="492" t="str">
        <f t="shared" si="215"/>
        <v>-</v>
      </c>
      <c r="M295" s="492">
        <f t="shared" si="215"/>
        <v>0</v>
      </c>
      <c r="N295" s="396"/>
      <c r="O295" s="396"/>
      <c r="P295" s="396"/>
    </row>
    <row r="296" spans="1:16" ht="13" x14ac:dyDescent="0.3">
      <c r="A296" s="1158"/>
      <c r="B296" s="491">
        <v>13</v>
      </c>
      <c r="C296" s="492">
        <f>C141</f>
        <v>35</v>
      </c>
      <c r="D296" s="492">
        <f t="shared" ref="D296:F296" si="216">D141</f>
        <v>-0.6</v>
      </c>
      <c r="E296" s="492" t="str">
        <f t="shared" si="216"/>
        <v>-</v>
      </c>
      <c r="F296" s="492">
        <f t="shared" si="216"/>
        <v>0</v>
      </c>
      <c r="G296" s="396"/>
      <c r="H296" s="1154"/>
      <c r="I296" s="491">
        <v>13</v>
      </c>
      <c r="J296" s="492">
        <f>I141</f>
        <v>70</v>
      </c>
      <c r="K296" s="492">
        <f t="shared" ref="K296:M296" si="217">J141</f>
        <v>-0.8</v>
      </c>
      <c r="L296" s="492" t="str">
        <f t="shared" si="217"/>
        <v>-</v>
      </c>
      <c r="M296" s="492">
        <f t="shared" si="217"/>
        <v>0</v>
      </c>
      <c r="N296" s="396"/>
      <c r="O296" s="396"/>
      <c r="P296" s="396"/>
    </row>
    <row r="297" spans="1:16" ht="13" x14ac:dyDescent="0.3">
      <c r="A297" s="1158"/>
      <c r="B297" s="491">
        <v>14</v>
      </c>
      <c r="C297" s="492">
        <f>C152</f>
        <v>35</v>
      </c>
      <c r="D297" s="492">
        <f t="shared" ref="D297:F297" si="218">D152</f>
        <v>0.3</v>
      </c>
      <c r="E297" s="492" t="str">
        <f t="shared" si="218"/>
        <v>-</v>
      </c>
      <c r="F297" s="492">
        <f t="shared" si="218"/>
        <v>0</v>
      </c>
      <c r="G297" s="396"/>
      <c r="H297" s="1154"/>
      <c r="I297" s="491">
        <v>14</v>
      </c>
      <c r="J297" s="492">
        <f>I152</f>
        <v>70</v>
      </c>
      <c r="K297" s="492">
        <f t="shared" ref="K297:M297" si="219">J152</f>
        <v>-1.9</v>
      </c>
      <c r="L297" s="492" t="str">
        <f t="shared" si="219"/>
        <v>-</v>
      </c>
      <c r="M297" s="492">
        <f t="shared" si="219"/>
        <v>0</v>
      </c>
      <c r="N297" s="396"/>
      <c r="O297" s="396"/>
      <c r="P297" s="396"/>
    </row>
    <row r="298" spans="1:16" ht="13" x14ac:dyDescent="0.3">
      <c r="A298" s="1158"/>
      <c r="B298" s="491">
        <v>15</v>
      </c>
      <c r="C298" s="492">
        <f>C163</f>
        <v>35</v>
      </c>
      <c r="D298" s="492">
        <f t="shared" ref="D298:F298" si="220">D163</f>
        <v>-0.5</v>
      </c>
      <c r="E298" s="492" t="str">
        <f t="shared" si="220"/>
        <v>-</v>
      </c>
      <c r="F298" s="492">
        <f t="shared" si="220"/>
        <v>0</v>
      </c>
      <c r="G298" s="396"/>
      <c r="H298" s="1154"/>
      <c r="I298" s="491">
        <v>15</v>
      </c>
      <c r="J298" s="492">
        <f>I163</f>
        <v>70</v>
      </c>
      <c r="K298" s="492">
        <f t="shared" ref="K298:M298" si="221">J163</f>
        <v>-0.3</v>
      </c>
      <c r="L298" s="492" t="str">
        <f t="shared" si="221"/>
        <v>-</v>
      </c>
      <c r="M298" s="492">
        <f t="shared" si="221"/>
        <v>0</v>
      </c>
      <c r="N298" s="396"/>
      <c r="O298" s="396"/>
      <c r="P298" s="396"/>
    </row>
    <row r="299" spans="1:16" ht="13" x14ac:dyDescent="0.3">
      <c r="A299" s="1158"/>
      <c r="B299" s="491">
        <v>16</v>
      </c>
      <c r="C299" s="492">
        <f>C174</f>
        <v>35</v>
      </c>
      <c r="D299" s="492">
        <f t="shared" ref="D299:F299" si="222">D174</f>
        <v>0.1</v>
      </c>
      <c r="E299" s="492" t="str">
        <f t="shared" si="222"/>
        <v>-</v>
      </c>
      <c r="F299" s="492">
        <f t="shared" si="222"/>
        <v>0</v>
      </c>
      <c r="G299" s="396"/>
      <c r="H299" s="1154"/>
      <c r="I299" s="491">
        <v>16</v>
      </c>
      <c r="J299" s="492">
        <f>I174</f>
        <v>70</v>
      </c>
      <c r="K299" s="492">
        <f t="shared" ref="K299:M299" si="223">J174</f>
        <v>-1.8</v>
      </c>
      <c r="L299" s="492" t="str">
        <f t="shared" si="223"/>
        <v>-</v>
      </c>
      <c r="M299" s="492">
        <f t="shared" si="223"/>
        <v>0</v>
      </c>
      <c r="N299" s="396"/>
      <c r="O299" s="396"/>
      <c r="P299" s="396"/>
    </row>
    <row r="300" spans="1:16" ht="13" x14ac:dyDescent="0.3">
      <c r="A300" s="1158"/>
      <c r="B300" s="491">
        <v>17</v>
      </c>
      <c r="C300" s="492">
        <f>C185</f>
        <v>35</v>
      </c>
      <c r="D300" s="492">
        <f t="shared" ref="D300:F300" si="224">D185</f>
        <v>-0.3</v>
      </c>
      <c r="E300" s="492" t="str">
        <f t="shared" si="224"/>
        <v>-</v>
      </c>
      <c r="F300" s="492">
        <f t="shared" si="224"/>
        <v>0</v>
      </c>
      <c r="G300" s="396"/>
      <c r="H300" s="1154"/>
      <c r="I300" s="491">
        <v>17</v>
      </c>
      <c r="J300" s="492">
        <f>I185</f>
        <v>70</v>
      </c>
      <c r="K300" s="492">
        <f t="shared" ref="K300:M300" si="225">J185</f>
        <v>-0.3</v>
      </c>
      <c r="L300" s="492" t="str">
        <f t="shared" si="225"/>
        <v>-</v>
      </c>
      <c r="M300" s="492">
        <f t="shared" si="225"/>
        <v>0</v>
      </c>
      <c r="N300" s="396"/>
      <c r="O300" s="396"/>
      <c r="P300" s="396"/>
    </row>
    <row r="301" spans="1:16" ht="13" x14ac:dyDescent="0.3">
      <c r="A301" s="1158"/>
      <c r="B301" s="491">
        <v>18</v>
      </c>
      <c r="C301" s="492">
        <f>C196</f>
        <v>35</v>
      </c>
      <c r="D301" s="492">
        <f>E196</f>
        <v>-0.2</v>
      </c>
      <c r="E301" s="492" t="s">
        <v>100</v>
      </c>
      <c r="F301" s="492">
        <f t="shared" ref="F301" si="226">F196</f>
        <v>0</v>
      </c>
      <c r="G301" s="396"/>
      <c r="H301" s="1154"/>
      <c r="I301" s="491">
        <v>18</v>
      </c>
      <c r="J301" s="492">
        <f>I196</f>
        <v>70</v>
      </c>
      <c r="K301" s="492">
        <f>K196</f>
        <v>-0.1</v>
      </c>
      <c r="L301" s="492" t="s">
        <v>100</v>
      </c>
      <c r="M301" s="492">
        <f t="shared" ref="M301" si="227">L196</f>
        <v>0</v>
      </c>
      <c r="N301" s="396"/>
      <c r="O301" s="396"/>
      <c r="P301" s="396"/>
    </row>
    <row r="302" spans="1:16" ht="13" x14ac:dyDescent="0.3">
      <c r="A302" s="1158"/>
      <c r="B302" s="513">
        <v>19</v>
      </c>
      <c r="C302" s="507">
        <f>S9</f>
        <v>35</v>
      </c>
      <c r="D302" s="507">
        <f t="shared" ref="D302:F302" si="228">T9</f>
        <v>-0.3</v>
      </c>
      <c r="E302" s="507">
        <f t="shared" si="228"/>
        <v>-0.1</v>
      </c>
      <c r="F302" s="507">
        <f t="shared" si="228"/>
        <v>9.9999999999999992E-2</v>
      </c>
      <c r="G302" s="396"/>
      <c r="H302" s="1154"/>
      <c r="I302" s="497">
        <v>19</v>
      </c>
      <c r="J302" s="507">
        <f>Y9</f>
        <v>70</v>
      </c>
      <c r="K302" s="507">
        <f t="shared" ref="K302:M302" si="229">Z9</f>
        <v>-0.3</v>
      </c>
      <c r="L302" s="507">
        <f t="shared" si="229"/>
        <v>-0.7</v>
      </c>
      <c r="M302" s="507">
        <f t="shared" si="229"/>
        <v>0.19999999999999998</v>
      </c>
      <c r="N302" s="396"/>
      <c r="O302" s="396"/>
      <c r="P302" s="396"/>
    </row>
    <row r="303" spans="1:16" ht="13" x14ac:dyDescent="0.3">
      <c r="A303" s="500"/>
      <c r="B303" s="501"/>
      <c r="C303" s="508"/>
      <c r="D303" s="508"/>
      <c r="E303" s="508"/>
      <c r="F303" s="509"/>
      <c r="G303" s="504"/>
      <c r="H303" s="500"/>
      <c r="I303" s="501"/>
      <c r="J303" s="508"/>
      <c r="K303" s="508"/>
      <c r="L303" s="508"/>
      <c r="M303" s="509"/>
      <c r="N303" s="396"/>
      <c r="O303" s="396"/>
      <c r="P303" s="396"/>
    </row>
    <row r="304" spans="1:16" ht="13" x14ac:dyDescent="0.3">
      <c r="A304" s="1157" t="s">
        <v>282</v>
      </c>
      <c r="B304" s="491">
        <v>1</v>
      </c>
      <c r="C304" s="492">
        <f>C10</f>
        <v>37</v>
      </c>
      <c r="D304" s="492">
        <f t="shared" ref="D304:F304" si="230">D10</f>
        <v>-0.2</v>
      </c>
      <c r="E304" s="492">
        <f t="shared" si="230"/>
        <v>-0.6</v>
      </c>
      <c r="F304" s="492">
        <f t="shared" si="230"/>
        <v>0.19999999999999998</v>
      </c>
      <c r="G304" s="396"/>
      <c r="H304" s="1153" t="s">
        <v>282</v>
      </c>
      <c r="I304" s="491">
        <v>1</v>
      </c>
      <c r="J304" s="492">
        <f>I10</f>
        <v>80</v>
      </c>
      <c r="K304" s="492">
        <f t="shared" ref="K304:M304" si="231">J10</f>
        <v>-1.6</v>
      </c>
      <c r="L304" s="492">
        <f t="shared" si="231"/>
        <v>0.7</v>
      </c>
      <c r="M304" s="492">
        <f t="shared" si="231"/>
        <v>1.1499999999999999</v>
      </c>
      <c r="N304" s="396"/>
      <c r="O304" s="396"/>
      <c r="P304" s="396"/>
    </row>
    <row r="305" spans="1:16" ht="13" x14ac:dyDescent="0.3">
      <c r="A305" s="1158"/>
      <c r="B305" s="491">
        <v>2</v>
      </c>
      <c r="C305" s="492">
        <f>C21</f>
        <v>37</v>
      </c>
      <c r="D305" s="492">
        <f>E21</f>
        <v>-0.3</v>
      </c>
      <c r="E305" s="492" t="s">
        <v>100</v>
      </c>
      <c r="F305" s="492">
        <f t="shared" ref="F305" si="232">F21</f>
        <v>0</v>
      </c>
      <c r="G305" s="396"/>
      <c r="H305" s="1154"/>
      <c r="I305" s="491">
        <v>2</v>
      </c>
      <c r="J305" s="492">
        <f>I21</f>
        <v>80</v>
      </c>
      <c r="K305" s="492">
        <f>K21</f>
        <v>-0.7</v>
      </c>
      <c r="L305" s="492" t="s">
        <v>100</v>
      </c>
      <c r="M305" s="492">
        <f t="shared" ref="M305" si="233">L21</f>
        <v>0</v>
      </c>
      <c r="N305" s="396"/>
      <c r="O305" s="396"/>
      <c r="P305" s="396"/>
    </row>
    <row r="306" spans="1:16" ht="13" x14ac:dyDescent="0.3">
      <c r="A306" s="1158"/>
      <c r="B306" s="491">
        <v>3</v>
      </c>
      <c r="C306" s="492">
        <f>C32</f>
        <v>37</v>
      </c>
      <c r="D306" s="492">
        <f>E32</f>
        <v>-0.6</v>
      </c>
      <c r="E306" s="492" t="s">
        <v>100</v>
      </c>
      <c r="F306" s="492">
        <f t="shared" ref="F306" si="234">F32</f>
        <v>0</v>
      </c>
      <c r="G306" s="396"/>
      <c r="H306" s="1154"/>
      <c r="I306" s="491">
        <v>3</v>
      </c>
      <c r="J306" s="492">
        <f>I32</f>
        <v>80</v>
      </c>
      <c r="K306" s="492">
        <f>K32</f>
        <v>-2.9</v>
      </c>
      <c r="L306" s="492" t="s">
        <v>100</v>
      </c>
      <c r="M306" s="492">
        <f t="shared" ref="M306" si="235">L32</f>
        <v>0</v>
      </c>
      <c r="N306" s="396"/>
      <c r="O306" s="396"/>
      <c r="P306" s="396"/>
    </row>
    <row r="307" spans="1:16" ht="13" x14ac:dyDescent="0.3">
      <c r="A307" s="1158"/>
      <c r="B307" s="491">
        <v>4</v>
      </c>
      <c r="C307" s="492">
        <f>C43</f>
        <v>37</v>
      </c>
      <c r="D307" s="492">
        <f>E43</f>
        <v>-0.6</v>
      </c>
      <c r="E307" s="492" t="s">
        <v>100</v>
      </c>
      <c r="F307" s="492">
        <f t="shared" ref="F307" si="236">F43</f>
        <v>0</v>
      </c>
      <c r="G307" s="396"/>
      <c r="H307" s="1154"/>
      <c r="I307" s="491">
        <v>4</v>
      </c>
      <c r="J307" s="492">
        <f>I43</f>
        <v>80</v>
      </c>
      <c r="K307" s="492">
        <f>K43</f>
        <v>1.9</v>
      </c>
      <c r="L307" s="492" t="s">
        <v>100</v>
      </c>
      <c r="M307" s="492">
        <f t="shared" ref="M307" si="237">L43</f>
        <v>0</v>
      </c>
      <c r="N307" s="396"/>
      <c r="O307" s="396"/>
      <c r="P307" s="396"/>
    </row>
    <row r="308" spans="1:16" ht="13" x14ac:dyDescent="0.3">
      <c r="A308" s="1158"/>
      <c r="B308" s="491">
        <v>5</v>
      </c>
      <c r="C308" s="492">
        <f>C54</f>
        <v>37</v>
      </c>
      <c r="D308" s="492">
        <f t="shared" ref="D308:F308" si="238">D54</f>
        <v>0.7</v>
      </c>
      <c r="E308" s="492">
        <f t="shared" si="238"/>
        <v>9.9999999999999995E-7</v>
      </c>
      <c r="F308" s="492">
        <f t="shared" si="238"/>
        <v>0.34999949999999996</v>
      </c>
      <c r="G308" s="396"/>
      <c r="H308" s="1154"/>
      <c r="I308" s="491">
        <v>5</v>
      </c>
      <c r="J308" s="492">
        <f>I54</f>
        <v>80</v>
      </c>
      <c r="K308" s="492">
        <f t="shared" ref="K308:M308" si="239">J54</f>
        <v>-3</v>
      </c>
      <c r="L308" s="492">
        <f t="shared" si="239"/>
        <v>0.2</v>
      </c>
      <c r="M308" s="492">
        <f t="shared" si="239"/>
        <v>1.6</v>
      </c>
      <c r="N308" s="396"/>
      <c r="O308" s="396"/>
      <c r="P308" s="396"/>
    </row>
    <row r="309" spans="1:16" ht="13" x14ac:dyDescent="0.3">
      <c r="A309" s="1158"/>
      <c r="B309" s="491">
        <v>6</v>
      </c>
      <c r="C309" s="492">
        <f>C65</f>
        <v>37</v>
      </c>
      <c r="D309" s="492">
        <f t="shared" ref="D309:F309" si="240">D65</f>
        <v>0.1</v>
      </c>
      <c r="E309" s="492">
        <f t="shared" si="240"/>
        <v>-1.1000000000000001</v>
      </c>
      <c r="F309" s="492">
        <f t="shared" si="240"/>
        <v>0.60000000000000009</v>
      </c>
      <c r="G309" s="396"/>
      <c r="H309" s="1154"/>
      <c r="I309" s="491">
        <v>6</v>
      </c>
      <c r="J309" s="492">
        <f>I65</f>
        <v>80</v>
      </c>
      <c r="K309" s="492">
        <f t="shared" ref="K309:M309" si="241">J65</f>
        <v>-6.3</v>
      </c>
      <c r="L309" s="492">
        <f t="shared" si="241"/>
        <v>-2.6</v>
      </c>
      <c r="M309" s="492">
        <f t="shared" si="241"/>
        <v>1.8499999999999999</v>
      </c>
      <c r="N309" s="396"/>
      <c r="O309" s="396"/>
      <c r="P309" s="396"/>
    </row>
    <row r="310" spans="1:16" ht="13" x14ac:dyDescent="0.3">
      <c r="A310" s="1158"/>
      <c r="B310" s="491">
        <v>7</v>
      </c>
      <c r="C310" s="492">
        <f>C76</f>
        <v>37</v>
      </c>
      <c r="D310" s="492">
        <f>E76</f>
        <v>-1.4</v>
      </c>
      <c r="E310" s="492" t="s">
        <v>100</v>
      </c>
      <c r="F310" s="492">
        <f t="shared" ref="F310" si="242">F76</f>
        <v>0</v>
      </c>
      <c r="G310" s="396"/>
      <c r="H310" s="1154"/>
      <c r="I310" s="491">
        <v>7</v>
      </c>
      <c r="J310" s="492">
        <f>I76</f>
        <v>80</v>
      </c>
      <c r="K310" s="492">
        <f>K76</f>
        <v>1.2</v>
      </c>
      <c r="L310" s="492" t="s">
        <v>100</v>
      </c>
      <c r="M310" s="492">
        <f t="shared" ref="M310" si="243">L76</f>
        <v>0</v>
      </c>
      <c r="N310" s="396"/>
      <c r="O310" s="396"/>
      <c r="P310" s="396"/>
    </row>
    <row r="311" spans="1:16" ht="13" x14ac:dyDescent="0.3">
      <c r="A311" s="1158"/>
      <c r="B311" s="491">
        <v>8</v>
      </c>
      <c r="C311" s="492">
        <f>C87</f>
        <v>37</v>
      </c>
      <c r="D311" s="492">
        <f>E87</f>
        <v>-0.5</v>
      </c>
      <c r="E311" s="492" t="s">
        <v>100</v>
      </c>
      <c r="F311" s="492">
        <f t="shared" ref="F311" si="244">F87</f>
        <v>0</v>
      </c>
      <c r="G311" s="396"/>
      <c r="H311" s="1154"/>
      <c r="I311" s="491">
        <v>8</v>
      </c>
      <c r="J311" s="492">
        <f>I87</f>
        <v>80</v>
      </c>
      <c r="K311" s="492">
        <f>K87</f>
        <v>-1.2</v>
      </c>
      <c r="L311" s="492" t="s">
        <v>100</v>
      </c>
      <c r="M311" s="492">
        <f t="shared" ref="M311" si="245">L87</f>
        <v>0</v>
      </c>
      <c r="N311" s="396"/>
      <c r="O311" s="396"/>
      <c r="P311" s="396"/>
    </row>
    <row r="312" spans="1:16" ht="13" x14ac:dyDescent="0.3">
      <c r="A312" s="1158"/>
      <c r="B312" s="491">
        <v>9</v>
      </c>
      <c r="C312" s="492">
        <f>C98</f>
        <v>37</v>
      </c>
      <c r="D312" s="492">
        <f t="shared" ref="D312:F312" si="246">D98</f>
        <v>-0.5</v>
      </c>
      <c r="E312" s="492" t="str">
        <f t="shared" si="246"/>
        <v>-</v>
      </c>
      <c r="F312" s="492">
        <f t="shared" si="246"/>
        <v>0</v>
      </c>
      <c r="G312" s="396"/>
      <c r="H312" s="1154"/>
      <c r="I312" s="491">
        <v>9</v>
      </c>
      <c r="J312" s="492">
        <f>I98</f>
        <v>80</v>
      </c>
      <c r="K312" s="492">
        <f t="shared" ref="K312:M312" si="247">J98</f>
        <v>-0.5</v>
      </c>
      <c r="L312" s="492" t="str">
        <f t="shared" si="247"/>
        <v>-</v>
      </c>
      <c r="M312" s="492">
        <f t="shared" si="247"/>
        <v>0</v>
      </c>
      <c r="N312" s="396"/>
      <c r="O312" s="396"/>
      <c r="P312" s="396"/>
    </row>
    <row r="313" spans="1:16" ht="13" x14ac:dyDescent="0.3">
      <c r="A313" s="1158"/>
      <c r="B313" s="491">
        <v>10</v>
      </c>
      <c r="C313" s="492">
        <f>C109</f>
        <v>37</v>
      </c>
      <c r="D313" s="492">
        <f t="shared" ref="D313:F313" si="248">D109</f>
        <v>0.2</v>
      </c>
      <c r="E313" s="492">
        <f t="shared" si="248"/>
        <v>0.4</v>
      </c>
      <c r="F313" s="492">
        <f t="shared" si="248"/>
        <v>0.1</v>
      </c>
      <c r="G313" s="396"/>
      <c r="H313" s="1154"/>
      <c r="I313" s="491">
        <v>10</v>
      </c>
      <c r="J313" s="492">
        <f>I109</f>
        <v>80</v>
      </c>
      <c r="K313" s="492">
        <f t="shared" ref="K313:M313" si="249">J109</f>
        <v>2.2000000000000002</v>
      </c>
      <c r="L313" s="492">
        <f t="shared" si="249"/>
        <v>-4.7</v>
      </c>
      <c r="M313" s="492">
        <f t="shared" si="249"/>
        <v>3.45</v>
      </c>
      <c r="N313" s="396"/>
      <c r="O313" s="396"/>
      <c r="P313" s="396"/>
    </row>
    <row r="314" spans="1:16" ht="13" x14ac:dyDescent="0.3">
      <c r="A314" s="1158"/>
      <c r="B314" s="491">
        <v>11</v>
      </c>
      <c r="C314" s="492">
        <f>C120</f>
        <v>37</v>
      </c>
      <c r="D314" s="492">
        <f t="shared" ref="D314:F314" si="250">D120</f>
        <v>0.5</v>
      </c>
      <c r="E314" s="492" t="str">
        <f t="shared" si="250"/>
        <v>-</v>
      </c>
      <c r="F314" s="492">
        <f t="shared" si="250"/>
        <v>0</v>
      </c>
      <c r="G314" s="396"/>
      <c r="H314" s="1154"/>
      <c r="I314" s="491">
        <v>11</v>
      </c>
      <c r="J314" s="492">
        <f>I120</f>
        <v>80</v>
      </c>
      <c r="K314" s="492">
        <f t="shared" ref="K314:M314" si="251">J120</f>
        <v>-1.4</v>
      </c>
      <c r="L314" s="492" t="str">
        <f t="shared" si="251"/>
        <v>-</v>
      </c>
      <c r="M314" s="492">
        <f t="shared" si="251"/>
        <v>0</v>
      </c>
      <c r="N314" s="396"/>
      <c r="O314" s="396"/>
      <c r="P314" s="396"/>
    </row>
    <row r="315" spans="1:16" ht="13" x14ac:dyDescent="0.3">
      <c r="A315" s="1158"/>
      <c r="B315" s="491">
        <v>12</v>
      </c>
      <c r="C315" s="492">
        <f>C131</f>
        <v>37</v>
      </c>
      <c r="D315" s="492">
        <f t="shared" ref="D315:F315" si="252">D131</f>
        <v>-0.1</v>
      </c>
      <c r="E315" s="492" t="str">
        <f t="shared" si="252"/>
        <v>-</v>
      </c>
      <c r="F315" s="492">
        <f t="shared" si="252"/>
        <v>0</v>
      </c>
      <c r="G315" s="396"/>
      <c r="H315" s="1154"/>
      <c r="I315" s="491">
        <v>12</v>
      </c>
      <c r="J315" s="492">
        <f>I131</f>
        <v>80</v>
      </c>
      <c r="K315" s="492">
        <f t="shared" ref="K315:M315" si="253">J131</f>
        <v>-1.3</v>
      </c>
      <c r="L315" s="492" t="str">
        <f t="shared" si="253"/>
        <v>-</v>
      </c>
      <c r="M315" s="492">
        <f t="shared" si="253"/>
        <v>0</v>
      </c>
      <c r="N315" s="396"/>
      <c r="O315" s="396"/>
      <c r="P315" s="396"/>
    </row>
    <row r="316" spans="1:16" ht="13" x14ac:dyDescent="0.3">
      <c r="A316" s="1158"/>
      <c r="B316" s="491">
        <v>13</v>
      </c>
      <c r="C316" s="492">
        <f>C142</f>
        <v>37</v>
      </c>
      <c r="D316" s="492">
        <f t="shared" ref="D316:F316" si="254">D142</f>
        <v>-0.8</v>
      </c>
      <c r="E316" s="492" t="str">
        <f t="shared" si="254"/>
        <v>-</v>
      </c>
      <c r="F316" s="492">
        <f t="shared" si="254"/>
        <v>0</v>
      </c>
      <c r="G316" s="396"/>
      <c r="H316" s="1154"/>
      <c r="I316" s="491">
        <v>13</v>
      </c>
      <c r="J316" s="492">
        <f>I142</f>
        <v>80</v>
      </c>
      <c r="K316" s="492">
        <f t="shared" ref="K316:M316" si="255">J142</f>
        <v>-0.9</v>
      </c>
      <c r="L316" s="492" t="str">
        <f t="shared" si="255"/>
        <v>-</v>
      </c>
      <c r="M316" s="492">
        <f t="shared" si="255"/>
        <v>0</v>
      </c>
      <c r="N316" s="396"/>
      <c r="O316" s="396"/>
      <c r="P316" s="396"/>
    </row>
    <row r="317" spans="1:16" ht="13" x14ac:dyDescent="0.3">
      <c r="A317" s="1158"/>
      <c r="B317" s="491">
        <v>14</v>
      </c>
      <c r="C317" s="492">
        <f>C153</f>
        <v>37</v>
      </c>
      <c r="D317" s="492">
        <f t="shared" ref="D317:F317" si="256">D153</f>
        <v>0.4</v>
      </c>
      <c r="E317" s="492" t="str">
        <f t="shared" si="256"/>
        <v>-</v>
      </c>
      <c r="F317" s="492">
        <f t="shared" si="256"/>
        <v>0</v>
      </c>
      <c r="G317" s="396"/>
      <c r="H317" s="1154"/>
      <c r="I317" s="491">
        <v>14</v>
      </c>
      <c r="J317" s="492">
        <f>I153</f>
        <v>80</v>
      </c>
      <c r="K317" s="492">
        <f t="shared" ref="K317:M317" si="257">J153</f>
        <v>-2.5</v>
      </c>
      <c r="L317" s="492" t="str">
        <f t="shared" si="257"/>
        <v>-</v>
      </c>
      <c r="M317" s="492">
        <f t="shared" si="257"/>
        <v>0</v>
      </c>
      <c r="N317" s="396"/>
      <c r="O317" s="396"/>
      <c r="P317" s="396"/>
    </row>
    <row r="318" spans="1:16" ht="13" x14ac:dyDescent="0.3">
      <c r="A318" s="1158"/>
      <c r="B318" s="491">
        <v>15</v>
      </c>
      <c r="C318" s="492">
        <f>C164</f>
        <v>37</v>
      </c>
      <c r="D318" s="492">
        <f t="shared" ref="D318:F318" si="258">D164</f>
        <v>-0.6</v>
      </c>
      <c r="E318" s="492" t="str">
        <f t="shared" si="258"/>
        <v>-</v>
      </c>
      <c r="F318" s="492">
        <f t="shared" si="258"/>
        <v>0</v>
      </c>
      <c r="G318" s="396"/>
      <c r="H318" s="1154"/>
      <c r="I318" s="491">
        <v>15</v>
      </c>
      <c r="J318" s="492">
        <f>I164</f>
        <v>80</v>
      </c>
      <c r="K318" s="492">
        <f t="shared" ref="K318:M318" si="259">J164</f>
        <v>-0.8</v>
      </c>
      <c r="L318" s="492" t="str">
        <f t="shared" si="259"/>
        <v>-</v>
      </c>
      <c r="M318" s="492">
        <f t="shared" si="259"/>
        <v>0</v>
      </c>
      <c r="N318" s="396"/>
      <c r="O318" s="396"/>
      <c r="P318" s="396"/>
    </row>
    <row r="319" spans="1:16" ht="13" x14ac:dyDescent="0.3">
      <c r="A319" s="1158"/>
      <c r="B319" s="491">
        <v>16</v>
      </c>
      <c r="C319" s="492">
        <f>C175</f>
        <v>37</v>
      </c>
      <c r="D319" s="492">
        <f t="shared" ref="D319:F319" si="260">D175</f>
        <v>9.9999999999999995E-7</v>
      </c>
      <c r="E319" s="492" t="str">
        <f t="shared" si="260"/>
        <v>-</v>
      </c>
      <c r="F319" s="492">
        <f t="shared" si="260"/>
        <v>0</v>
      </c>
      <c r="G319" s="396"/>
      <c r="H319" s="1154"/>
      <c r="I319" s="491">
        <v>16</v>
      </c>
      <c r="J319" s="492">
        <f>I175</f>
        <v>80</v>
      </c>
      <c r="K319" s="492">
        <f t="shared" ref="K319:M319" si="261">J175</f>
        <v>-2.2999999999999998</v>
      </c>
      <c r="L319" s="492" t="str">
        <f t="shared" si="261"/>
        <v>-</v>
      </c>
      <c r="M319" s="492">
        <f t="shared" si="261"/>
        <v>0</v>
      </c>
      <c r="N319" s="396"/>
      <c r="O319" s="396"/>
      <c r="P319" s="396"/>
    </row>
    <row r="320" spans="1:16" ht="13" x14ac:dyDescent="0.3">
      <c r="A320" s="1158"/>
      <c r="B320" s="491">
        <v>17</v>
      </c>
      <c r="C320" s="492">
        <f>C186</f>
        <v>37</v>
      </c>
      <c r="D320" s="492">
        <f t="shared" ref="D320:F320" si="262">D186</f>
        <v>-0.3</v>
      </c>
      <c r="E320" s="492" t="str">
        <f t="shared" si="262"/>
        <v>-</v>
      </c>
      <c r="F320" s="492">
        <f t="shared" si="262"/>
        <v>0</v>
      </c>
      <c r="G320" s="396"/>
      <c r="H320" s="1154"/>
      <c r="I320" s="491">
        <v>17</v>
      </c>
      <c r="J320" s="492">
        <f>I186</f>
        <v>80</v>
      </c>
      <c r="K320" s="492">
        <f t="shared" ref="K320:M320" si="263">J186</f>
        <v>-0.5</v>
      </c>
      <c r="L320" s="492" t="str">
        <f t="shared" si="263"/>
        <v>-</v>
      </c>
      <c r="M320" s="492">
        <f t="shared" si="263"/>
        <v>0</v>
      </c>
      <c r="N320" s="492"/>
      <c r="O320" s="396"/>
      <c r="P320" s="396"/>
    </row>
    <row r="321" spans="1:16" ht="13" x14ac:dyDescent="0.3">
      <c r="A321" s="1158"/>
      <c r="B321" s="491">
        <v>18</v>
      </c>
      <c r="C321" s="492">
        <f>C197</f>
        <v>37</v>
      </c>
      <c r="D321" s="492">
        <f>E197</f>
        <v>-0.3</v>
      </c>
      <c r="E321" s="492" t="s">
        <v>100</v>
      </c>
      <c r="F321" s="492">
        <f t="shared" ref="F321" si="264">F197</f>
        <v>0</v>
      </c>
      <c r="G321" s="396"/>
      <c r="H321" s="1154"/>
      <c r="I321" s="491">
        <v>18</v>
      </c>
      <c r="J321" s="492">
        <f>I197</f>
        <v>80</v>
      </c>
      <c r="K321" s="492">
        <f>K197</f>
        <v>-0.5</v>
      </c>
      <c r="L321" s="492" t="s">
        <v>100</v>
      </c>
      <c r="M321" s="492">
        <f t="shared" ref="M321" si="265">L197</f>
        <v>0</v>
      </c>
      <c r="N321" s="396"/>
      <c r="O321" s="396"/>
      <c r="P321" s="396"/>
    </row>
    <row r="322" spans="1:16" ht="13" x14ac:dyDescent="0.3">
      <c r="A322" s="1158"/>
      <c r="B322" s="497">
        <v>19</v>
      </c>
      <c r="C322" s="507">
        <f>S10</f>
        <v>37</v>
      </c>
      <c r="D322" s="507">
        <f t="shared" ref="D322:F322" si="266">T10</f>
        <v>-0.3</v>
      </c>
      <c r="E322" s="507">
        <f t="shared" si="266"/>
        <v>0</v>
      </c>
      <c r="F322" s="507">
        <f t="shared" si="266"/>
        <v>0.15</v>
      </c>
      <c r="G322" s="396"/>
      <c r="H322" s="1154"/>
      <c r="I322" s="497">
        <v>19</v>
      </c>
      <c r="J322" s="514">
        <f>Y10</f>
        <v>80</v>
      </c>
      <c r="K322" s="514">
        <f t="shared" ref="K322:M322" si="267">Z10</f>
        <v>-0.5</v>
      </c>
      <c r="L322" s="514">
        <f t="shared" si="267"/>
        <v>-0.9</v>
      </c>
      <c r="M322" s="514">
        <f t="shared" si="267"/>
        <v>0.2</v>
      </c>
      <c r="N322" s="396"/>
      <c r="O322" s="396"/>
      <c r="P322" s="396"/>
    </row>
    <row r="323" spans="1:16" ht="13" x14ac:dyDescent="0.3">
      <c r="A323" s="500"/>
      <c r="B323" s="501"/>
      <c r="C323" s="508"/>
      <c r="D323" s="508"/>
      <c r="E323" s="508"/>
      <c r="F323" s="509"/>
      <c r="G323" s="504"/>
      <c r="H323" s="515"/>
      <c r="I323" s="501"/>
      <c r="J323" s="508"/>
      <c r="K323" s="508"/>
      <c r="L323" s="508"/>
      <c r="M323" s="509"/>
      <c r="N323" s="396"/>
      <c r="O323" s="396"/>
      <c r="P323" s="396"/>
    </row>
    <row r="324" spans="1:16" ht="13" x14ac:dyDescent="0.3">
      <c r="A324" s="1151" t="s">
        <v>283</v>
      </c>
      <c r="B324" s="491">
        <v>1</v>
      </c>
      <c r="C324" s="492">
        <f>C11</f>
        <v>40</v>
      </c>
      <c r="D324" s="492">
        <f t="shared" ref="D324:F324" si="268">D11</f>
        <v>-0.3</v>
      </c>
      <c r="E324" s="492">
        <f t="shared" si="268"/>
        <v>-0.8</v>
      </c>
      <c r="F324" s="492">
        <f t="shared" si="268"/>
        <v>0.25</v>
      </c>
      <c r="G324" s="396"/>
      <c r="H324" s="1153" t="s">
        <v>283</v>
      </c>
      <c r="I324" s="491">
        <v>1</v>
      </c>
      <c r="J324" s="492">
        <f>I11</f>
        <v>90</v>
      </c>
      <c r="K324" s="492">
        <f t="shared" ref="K324:M324" si="269">J11</f>
        <v>0.3</v>
      </c>
      <c r="L324" s="492">
        <f t="shared" si="269"/>
        <v>4.5</v>
      </c>
      <c r="M324" s="492">
        <f t="shared" si="269"/>
        <v>2.1</v>
      </c>
      <c r="N324" s="396"/>
      <c r="O324" s="396"/>
      <c r="P324" s="396"/>
    </row>
    <row r="325" spans="1:16" ht="13" x14ac:dyDescent="0.3">
      <c r="A325" s="1152"/>
      <c r="B325" s="491">
        <v>2</v>
      </c>
      <c r="C325" s="492">
        <f>C22</f>
        <v>40</v>
      </c>
      <c r="D325" s="492">
        <f>E22</f>
        <v>-0.3</v>
      </c>
      <c r="E325" s="492" t="s">
        <v>100</v>
      </c>
      <c r="F325" s="492">
        <f t="shared" ref="F325" si="270">F22</f>
        <v>0</v>
      </c>
      <c r="G325" s="396"/>
      <c r="H325" s="1154"/>
      <c r="I325" s="491">
        <v>2</v>
      </c>
      <c r="J325" s="492">
        <f>I22</f>
        <v>90</v>
      </c>
      <c r="K325" s="492">
        <f>K22</f>
        <v>-0.3</v>
      </c>
      <c r="L325" s="492" t="s">
        <v>100</v>
      </c>
      <c r="M325" s="492">
        <f t="shared" ref="M325" si="271">L22</f>
        <v>0</v>
      </c>
      <c r="N325" s="396"/>
      <c r="O325" s="396"/>
      <c r="P325" s="396"/>
    </row>
    <row r="326" spans="1:16" ht="13" x14ac:dyDescent="0.3">
      <c r="A326" s="1152"/>
      <c r="B326" s="491">
        <v>3</v>
      </c>
      <c r="C326" s="492">
        <f>C33</f>
        <v>40</v>
      </c>
      <c r="D326" s="492">
        <f>E33</f>
        <v>-0.7</v>
      </c>
      <c r="E326" s="492" t="s">
        <v>100</v>
      </c>
      <c r="F326" s="492">
        <f t="shared" ref="F326" si="272">F33</f>
        <v>0</v>
      </c>
      <c r="G326" s="396"/>
      <c r="H326" s="1154"/>
      <c r="I326" s="491">
        <v>3</v>
      </c>
      <c r="J326" s="492">
        <f>I33</f>
        <v>90</v>
      </c>
      <c r="K326" s="492">
        <f>K33</f>
        <v>-2</v>
      </c>
      <c r="L326" s="492" t="s">
        <v>100</v>
      </c>
      <c r="M326" s="492">
        <f t="shared" ref="M326" si="273">L33</f>
        <v>0</v>
      </c>
      <c r="N326" s="396"/>
      <c r="O326" s="396"/>
      <c r="P326" s="396"/>
    </row>
    <row r="327" spans="1:16" ht="13" x14ac:dyDescent="0.3">
      <c r="A327" s="1152"/>
      <c r="B327" s="491">
        <v>4</v>
      </c>
      <c r="C327" s="492">
        <f>C44</f>
        <v>40</v>
      </c>
      <c r="D327" s="492">
        <f>E44</f>
        <v>-0.6</v>
      </c>
      <c r="E327" s="492" t="s">
        <v>100</v>
      </c>
      <c r="F327" s="492">
        <f t="shared" ref="F327" si="274">F44</f>
        <v>0</v>
      </c>
      <c r="G327" s="396"/>
      <c r="H327" s="1154"/>
      <c r="I327" s="491">
        <v>4</v>
      </c>
      <c r="J327" s="492">
        <f>I44</f>
        <v>90</v>
      </c>
      <c r="K327" s="492">
        <f>K44</f>
        <v>3.3</v>
      </c>
      <c r="L327" s="492" t="s">
        <v>100</v>
      </c>
      <c r="M327" s="492">
        <f t="shared" ref="M327" si="275">L44</f>
        <v>0</v>
      </c>
      <c r="N327" s="396"/>
      <c r="O327" s="396"/>
      <c r="P327" s="396"/>
    </row>
    <row r="328" spans="1:16" ht="13" x14ac:dyDescent="0.3">
      <c r="A328" s="1152"/>
      <c r="B328" s="491">
        <v>5</v>
      </c>
      <c r="C328" s="492">
        <f>C55</f>
        <v>40</v>
      </c>
      <c r="D328" s="492">
        <f t="shared" ref="D328:F328" si="276">D55</f>
        <v>0.7</v>
      </c>
      <c r="E328" s="492">
        <f t="shared" si="276"/>
        <v>-0.1</v>
      </c>
      <c r="F328" s="492">
        <f t="shared" si="276"/>
        <v>0.39999999999999997</v>
      </c>
      <c r="G328" s="396"/>
      <c r="H328" s="1154"/>
      <c r="I328" s="491">
        <v>5</v>
      </c>
      <c r="J328" s="492">
        <f>I55</f>
        <v>90</v>
      </c>
      <c r="K328" s="492">
        <f t="shared" ref="K328:M328" si="277">J55</f>
        <v>-1.8</v>
      </c>
      <c r="L328" s="492">
        <f t="shared" si="277"/>
        <v>2.7</v>
      </c>
      <c r="M328" s="492">
        <f t="shared" si="277"/>
        <v>2.25</v>
      </c>
      <c r="N328" s="396"/>
      <c r="O328" s="396"/>
      <c r="P328" s="396"/>
    </row>
    <row r="329" spans="1:16" ht="13" x14ac:dyDescent="0.3">
      <c r="A329" s="1152"/>
      <c r="B329" s="491">
        <v>6</v>
      </c>
      <c r="C329" s="492">
        <f>C66</f>
        <v>40</v>
      </c>
      <c r="D329" s="492">
        <f t="shared" ref="D329:F329" si="278">D66</f>
        <v>0.1</v>
      </c>
      <c r="E329" s="492">
        <f t="shared" si="278"/>
        <v>-1.4</v>
      </c>
      <c r="F329" s="492">
        <f t="shared" si="278"/>
        <v>0.75</v>
      </c>
      <c r="G329" s="396"/>
      <c r="H329" s="1154"/>
      <c r="I329" s="491">
        <v>6</v>
      </c>
      <c r="J329" s="492">
        <f>I66</f>
        <v>90</v>
      </c>
      <c r="K329" s="492">
        <f t="shared" ref="K329:M329" si="279">J66</f>
        <v>-5.2</v>
      </c>
      <c r="L329" s="492">
        <f t="shared" si="279"/>
        <v>-2.6</v>
      </c>
      <c r="M329" s="492">
        <f t="shared" si="279"/>
        <v>1.3</v>
      </c>
      <c r="N329" s="396"/>
      <c r="O329" s="396"/>
      <c r="P329" s="396"/>
    </row>
    <row r="330" spans="1:16" ht="13" x14ac:dyDescent="0.3">
      <c r="A330" s="1152"/>
      <c r="B330" s="491">
        <v>7</v>
      </c>
      <c r="C330" s="492">
        <f>C77</f>
        <v>40</v>
      </c>
      <c r="D330" s="492">
        <f>E77</f>
        <v>-1.7</v>
      </c>
      <c r="E330" s="492" t="s">
        <v>100</v>
      </c>
      <c r="F330" s="492">
        <f t="shared" ref="F330" si="280">F77</f>
        <v>0</v>
      </c>
      <c r="G330" s="396"/>
      <c r="H330" s="1154"/>
      <c r="I330" s="491">
        <v>7</v>
      </c>
      <c r="J330" s="492">
        <f>I77</f>
        <v>90</v>
      </c>
      <c r="K330" s="492">
        <f>K77</f>
        <v>1.8</v>
      </c>
      <c r="L330" s="492" t="s">
        <v>100</v>
      </c>
      <c r="M330" s="492">
        <f t="shared" ref="M330" si="281">L77</f>
        <v>0</v>
      </c>
      <c r="N330" s="396"/>
      <c r="O330" s="396"/>
      <c r="P330" s="396"/>
    </row>
    <row r="331" spans="1:16" ht="13" x14ac:dyDescent="0.3">
      <c r="A331" s="1152"/>
      <c r="B331" s="491">
        <v>8</v>
      </c>
      <c r="C331" s="492">
        <f>C88</f>
        <v>40</v>
      </c>
      <c r="D331" s="492">
        <f>E88</f>
        <v>-0.4</v>
      </c>
      <c r="E331" s="492" t="s">
        <v>100</v>
      </c>
      <c r="F331" s="492">
        <f t="shared" ref="F331" si="282">F88</f>
        <v>0</v>
      </c>
      <c r="G331" s="396"/>
      <c r="H331" s="1154"/>
      <c r="I331" s="491">
        <v>8</v>
      </c>
      <c r="J331" s="492">
        <f>I88</f>
        <v>90</v>
      </c>
      <c r="K331" s="492">
        <f>K88</f>
        <v>-1.3</v>
      </c>
      <c r="L331" s="492" t="s">
        <v>100</v>
      </c>
      <c r="M331" s="492">
        <f t="shared" ref="M331" si="283">L88</f>
        <v>0</v>
      </c>
      <c r="N331" s="396"/>
      <c r="O331" s="396"/>
      <c r="P331" s="396"/>
    </row>
    <row r="332" spans="1:16" ht="13" x14ac:dyDescent="0.3">
      <c r="A332" s="1152"/>
      <c r="B332" s="491">
        <v>9</v>
      </c>
      <c r="C332" s="492">
        <f>C99</f>
        <v>40</v>
      </c>
      <c r="D332" s="492">
        <f t="shared" ref="D332:F332" si="284">D99</f>
        <v>-0.4</v>
      </c>
      <c r="E332" s="492" t="str">
        <f t="shared" si="284"/>
        <v>-</v>
      </c>
      <c r="F332" s="492">
        <f t="shared" si="284"/>
        <v>0</v>
      </c>
      <c r="G332" s="396"/>
      <c r="H332" s="1154"/>
      <c r="I332" s="491">
        <v>9</v>
      </c>
      <c r="J332" s="492">
        <f>I99</f>
        <v>90</v>
      </c>
      <c r="K332" s="492">
        <f t="shared" ref="K332:M332" si="285">J99</f>
        <v>-0.2</v>
      </c>
      <c r="L332" s="492" t="str">
        <f t="shared" si="285"/>
        <v>-</v>
      </c>
      <c r="M332" s="492">
        <f t="shared" si="285"/>
        <v>0</v>
      </c>
      <c r="N332" s="396"/>
      <c r="O332" s="396"/>
      <c r="P332" s="396"/>
    </row>
    <row r="333" spans="1:16" ht="13" x14ac:dyDescent="0.3">
      <c r="A333" s="1152"/>
      <c r="B333" s="491">
        <v>10</v>
      </c>
      <c r="C333" s="492">
        <f>C110</f>
        <v>40</v>
      </c>
      <c r="D333" s="492">
        <f t="shared" ref="D333:F333" si="286">D110</f>
        <v>0.2</v>
      </c>
      <c r="E333" s="492">
        <f t="shared" si="286"/>
        <v>0</v>
      </c>
      <c r="F333" s="492">
        <f t="shared" si="286"/>
        <v>0.1</v>
      </c>
      <c r="G333" s="396"/>
      <c r="H333" s="1154"/>
      <c r="I333" s="491">
        <v>10</v>
      </c>
      <c r="J333" s="492">
        <f>I110</f>
        <v>90</v>
      </c>
      <c r="K333" s="492">
        <f t="shared" ref="K333:M333" si="287">J110</f>
        <v>5.4</v>
      </c>
      <c r="L333" s="492">
        <f t="shared" si="287"/>
        <v>0</v>
      </c>
      <c r="M333" s="492">
        <f t="shared" si="287"/>
        <v>2.7</v>
      </c>
      <c r="N333" s="396"/>
      <c r="O333" s="396"/>
      <c r="P333" s="396"/>
    </row>
    <row r="334" spans="1:16" ht="13" x14ac:dyDescent="0.3">
      <c r="A334" s="1152"/>
      <c r="B334" s="491">
        <v>11</v>
      </c>
      <c r="C334" s="492">
        <f>C121</f>
        <v>40</v>
      </c>
      <c r="D334" s="492">
        <f t="shared" ref="D334:F334" si="288">D121</f>
        <v>0.5</v>
      </c>
      <c r="E334" s="492" t="str">
        <f t="shared" si="288"/>
        <v>-</v>
      </c>
      <c r="F334" s="492">
        <f t="shared" si="288"/>
        <v>0</v>
      </c>
      <c r="G334" s="396"/>
      <c r="H334" s="1154"/>
      <c r="I334" s="491">
        <v>11</v>
      </c>
      <c r="J334" s="492">
        <f>I121</f>
        <v>90</v>
      </c>
      <c r="K334" s="492">
        <f t="shared" ref="K334:M334" si="289">J121</f>
        <v>1.3</v>
      </c>
      <c r="L334" s="492" t="str">
        <f t="shared" si="289"/>
        <v>-</v>
      </c>
      <c r="M334" s="492">
        <f t="shared" si="289"/>
        <v>0</v>
      </c>
      <c r="N334" s="396"/>
      <c r="O334" s="396"/>
      <c r="P334" s="396"/>
    </row>
    <row r="335" spans="1:16" ht="13" x14ac:dyDescent="0.3">
      <c r="A335" s="1152"/>
      <c r="B335" s="491">
        <v>12</v>
      </c>
      <c r="C335" s="492">
        <f>C132</f>
        <v>40</v>
      </c>
      <c r="D335" s="492">
        <f t="shared" ref="D335:F335" si="290">D132</f>
        <v>9.9999999999999995E-7</v>
      </c>
      <c r="E335" s="492" t="str">
        <f t="shared" si="290"/>
        <v>-</v>
      </c>
      <c r="F335" s="492">
        <f t="shared" si="290"/>
        <v>0</v>
      </c>
      <c r="G335" s="396"/>
      <c r="H335" s="1154"/>
      <c r="I335" s="491">
        <v>12</v>
      </c>
      <c r="J335" s="492">
        <f>I132</f>
        <v>90</v>
      </c>
      <c r="K335" s="492">
        <f t="shared" ref="K335:M335" si="291">J132</f>
        <v>-2</v>
      </c>
      <c r="L335" s="492" t="str">
        <f t="shared" si="291"/>
        <v>-</v>
      </c>
      <c r="M335" s="492">
        <f t="shared" si="291"/>
        <v>0</v>
      </c>
      <c r="N335" s="396"/>
      <c r="O335" s="396"/>
      <c r="P335" s="396"/>
    </row>
    <row r="336" spans="1:16" ht="13" x14ac:dyDescent="0.3">
      <c r="A336" s="1152"/>
      <c r="B336" s="491">
        <v>13</v>
      </c>
      <c r="C336" s="492">
        <f>C143</f>
        <v>40</v>
      </c>
      <c r="D336" s="492">
        <f t="shared" ref="D336:F336" si="292">D143</f>
        <v>-1.1000000000000001</v>
      </c>
      <c r="E336" s="492" t="str">
        <f t="shared" si="292"/>
        <v>-</v>
      </c>
      <c r="F336" s="492">
        <f t="shared" si="292"/>
        <v>0</v>
      </c>
      <c r="G336" s="396"/>
      <c r="H336" s="1154"/>
      <c r="I336" s="491">
        <v>13</v>
      </c>
      <c r="J336" s="492">
        <f>I143</f>
        <v>90</v>
      </c>
      <c r="K336" s="492">
        <f t="shared" ref="K336:M336" si="293">J143</f>
        <v>-0.8</v>
      </c>
      <c r="L336" s="492" t="str">
        <f t="shared" si="293"/>
        <v>-</v>
      </c>
      <c r="M336" s="492">
        <f t="shared" si="293"/>
        <v>0</v>
      </c>
      <c r="N336" s="396"/>
      <c r="O336" s="396"/>
      <c r="P336" s="396"/>
    </row>
    <row r="337" spans="1:16" ht="13" x14ac:dyDescent="0.3">
      <c r="A337" s="1152"/>
      <c r="B337" s="491">
        <v>14</v>
      </c>
      <c r="C337" s="492">
        <f>C154</f>
        <v>40</v>
      </c>
      <c r="D337" s="492">
        <f t="shared" ref="D337:F337" si="294">D154</f>
        <v>0.5</v>
      </c>
      <c r="E337" s="492" t="str">
        <f t="shared" si="294"/>
        <v>-</v>
      </c>
      <c r="F337" s="492">
        <f t="shared" si="294"/>
        <v>0</v>
      </c>
      <c r="G337" s="396"/>
      <c r="H337" s="1154"/>
      <c r="I337" s="491">
        <v>14</v>
      </c>
      <c r="J337" s="492">
        <f>I154</f>
        <v>90</v>
      </c>
      <c r="K337" s="492">
        <f t="shared" ref="K337:M337" si="295">J154</f>
        <v>-3.2</v>
      </c>
      <c r="L337" s="492" t="str">
        <f t="shared" si="295"/>
        <v>-</v>
      </c>
      <c r="M337" s="492">
        <f t="shared" si="295"/>
        <v>0</v>
      </c>
      <c r="N337" s="396"/>
      <c r="O337" s="396"/>
      <c r="P337" s="396"/>
    </row>
    <row r="338" spans="1:16" ht="13" x14ac:dyDescent="0.3">
      <c r="A338" s="1152"/>
      <c r="B338" s="491">
        <v>15</v>
      </c>
      <c r="C338" s="492">
        <f>C165</f>
        <v>40</v>
      </c>
      <c r="D338" s="492">
        <f t="shared" ref="D338:F338" si="296">D165</f>
        <v>-0.8</v>
      </c>
      <c r="E338" s="492" t="str">
        <f t="shared" si="296"/>
        <v>-</v>
      </c>
      <c r="F338" s="492">
        <f t="shared" si="296"/>
        <v>0</v>
      </c>
      <c r="G338" s="396"/>
      <c r="H338" s="1154"/>
      <c r="I338" s="491">
        <v>15</v>
      </c>
      <c r="J338" s="492">
        <f>I165</f>
        <v>90</v>
      </c>
      <c r="K338" s="492">
        <f t="shared" ref="K338:M338" si="297">J165</f>
        <v>-1.4</v>
      </c>
      <c r="L338" s="492" t="str">
        <f t="shared" si="297"/>
        <v>-</v>
      </c>
      <c r="M338" s="492">
        <f t="shared" si="297"/>
        <v>0</v>
      </c>
      <c r="N338" s="396"/>
      <c r="O338" s="396"/>
      <c r="P338" s="396"/>
    </row>
    <row r="339" spans="1:16" ht="13" x14ac:dyDescent="0.3">
      <c r="A339" s="1152"/>
      <c r="B339" s="491">
        <v>16</v>
      </c>
      <c r="C339" s="492">
        <f>C176</f>
        <v>40</v>
      </c>
      <c r="D339" s="492">
        <f t="shared" ref="D339:F339" si="298">D176</f>
        <v>9.9999999999999995E-7</v>
      </c>
      <c r="E339" s="492" t="str">
        <f t="shared" si="298"/>
        <v>-</v>
      </c>
      <c r="F339" s="492">
        <f t="shared" si="298"/>
        <v>0</v>
      </c>
      <c r="G339" s="396"/>
      <c r="H339" s="1154"/>
      <c r="I339" s="491">
        <v>16</v>
      </c>
      <c r="J339" s="492">
        <f>I176</f>
        <v>90</v>
      </c>
      <c r="K339" s="492">
        <f t="shared" ref="K339:M339" si="299">J176</f>
        <v>-3</v>
      </c>
      <c r="L339" s="492" t="str">
        <f t="shared" si="299"/>
        <v>-</v>
      </c>
      <c r="M339" s="492">
        <f t="shared" si="299"/>
        <v>0</v>
      </c>
      <c r="N339" s="396"/>
      <c r="O339" s="396"/>
      <c r="P339" s="396"/>
    </row>
    <row r="340" spans="1:16" ht="13" x14ac:dyDescent="0.3">
      <c r="A340" s="1152"/>
      <c r="B340" s="491">
        <v>17</v>
      </c>
      <c r="C340" s="492">
        <f>C187</f>
        <v>40</v>
      </c>
      <c r="D340" s="492">
        <f t="shared" ref="D340:F340" si="300">D187</f>
        <v>-0.4</v>
      </c>
      <c r="E340" s="492" t="str">
        <f t="shared" si="300"/>
        <v>-</v>
      </c>
      <c r="F340" s="492">
        <f t="shared" si="300"/>
        <v>0</v>
      </c>
      <c r="G340" s="396"/>
      <c r="H340" s="1154"/>
      <c r="I340" s="491">
        <v>17</v>
      </c>
      <c r="J340" s="492">
        <f>I187</f>
        <v>90</v>
      </c>
      <c r="K340" s="492">
        <f t="shared" ref="K340:M340" si="301">J187</f>
        <v>-0.8</v>
      </c>
      <c r="L340" s="492" t="str">
        <f t="shared" si="301"/>
        <v>-</v>
      </c>
      <c r="M340" s="492">
        <f t="shared" si="301"/>
        <v>0</v>
      </c>
      <c r="N340" s="396"/>
      <c r="O340" s="396"/>
      <c r="P340" s="396"/>
    </row>
    <row r="341" spans="1:16" ht="13" x14ac:dyDescent="0.3">
      <c r="A341" s="1152"/>
      <c r="B341" s="491">
        <v>18</v>
      </c>
      <c r="C341" s="492">
        <f>C198</f>
        <v>40</v>
      </c>
      <c r="D341" s="492">
        <f>E198</f>
        <v>-0.4</v>
      </c>
      <c r="E341" s="492" t="s">
        <v>100</v>
      </c>
      <c r="F341" s="492">
        <f t="shared" ref="F341" si="302">F198</f>
        <v>0</v>
      </c>
      <c r="G341" s="396"/>
      <c r="H341" s="1154"/>
      <c r="I341" s="491">
        <v>18</v>
      </c>
      <c r="J341" s="492">
        <f>I198</f>
        <v>90</v>
      </c>
      <c r="K341" s="492">
        <f>K198</f>
        <v>-0.9</v>
      </c>
      <c r="L341" s="492" t="s">
        <v>100</v>
      </c>
      <c r="M341" s="492">
        <f t="shared" ref="M341" si="303">L198</f>
        <v>0</v>
      </c>
      <c r="N341" s="396"/>
      <c r="O341" s="396"/>
      <c r="P341" s="396"/>
    </row>
    <row r="342" spans="1:16" ht="13" x14ac:dyDescent="0.3">
      <c r="A342" s="1152"/>
      <c r="B342" s="516">
        <v>19</v>
      </c>
      <c r="C342" s="517">
        <f>S11</f>
        <v>40</v>
      </c>
      <c r="D342" s="517">
        <f t="shared" ref="D342:F342" si="304">T11</f>
        <v>-0.4</v>
      </c>
      <c r="E342" s="517">
        <f t="shared" si="304"/>
        <v>0.2</v>
      </c>
      <c r="F342" s="517">
        <f t="shared" si="304"/>
        <v>0.30000000000000004</v>
      </c>
      <c r="G342" s="396"/>
      <c r="H342" s="1154"/>
      <c r="I342" s="491">
        <v>19</v>
      </c>
      <c r="J342" s="492">
        <f>Y11</f>
        <v>90</v>
      </c>
      <c r="K342" s="492">
        <f t="shared" ref="K342:M342" si="305">Z11</f>
        <v>-0.8</v>
      </c>
      <c r="L342" s="492">
        <f t="shared" si="305"/>
        <v>-0.6</v>
      </c>
      <c r="M342" s="492">
        <f t="shared" si="305"/>
        <v>0.10000000000000003</v>
      </c>
      <c r="N342" s="396"/>
      <c r="O342" s="396"/>
      <c r="P342" s="396"/>
    </row>
    <row r="343" spans="1:16" ht="13.5" thickBot="1" x14ac:dyDescent="0.35">
      <c r="A343" s="518"/>
      <c r="B343" s="519"/>
      <c r="C343" s="504"/>
      <c r="D343" s="504"/>
      <c r="E343" s="504"/>
      <c r="F343" s="504"/>
      <c r="G343" s="504"/>
      <c r="H343" s="396"/>
      <c r="I343" s="520"/>
      <c r="J343" s="519"/>
      <c r="K343" s="504"/>
      <c r="L343" s="504"/>
      <c r="M343" s="504"/>
      <c r="N343" s="504"/>
      <c r="O343" s="504"/>
      <c r="P343" s="396"/>
    </row>
    <row r="344" spans="1:16" ht="29.25" customHeight="1" x14ac:dyDescent="0.3">
      <c r="A344" s="521">
        <f>A383</f>
        <v>16</v>
      </c>
      <c r="B344" s="1155" t="str">
        <f>A363</f>
        <v>Thermohygrobarometer, Merek : EXTECH, Model : SD700, SN : A.100616</v>
      </c>
      <c r="C344" s="1155"/>
      <c r="D344" s="1156"/>
      <c r="E344" s="522"/>
      <c r="F344" s="521">
        <f>A344</f>
        <v>16</v>
      </c>
      <c r="G344" s="1155" t="str">
        <f>B344</f>
        <v>Thermohygrobarometer, Merek : EXTECH, Model : SD700, SN : A.100616</v>
      </c>
      <c r="H344" s="1155"/>
      <c r="I344" s="1156"/>
      <c r="J344" s="522"/>
      <c r="K344" s="521">
        <f>A344</f>
        <v>16</v>
      </c>
      <c r="L344" s="1141" t="str">
        <f>G344</f>
        <v>Thermohygrobarometer, Merek : EXTECH, Model : SD700, SN : A.100616</v>
      </c>
      <c r="M344" s="1142"/>
      <c r="N344" s="1142"/>
      <c r="O344" s="1143"/>
      <c r="P344" s="396"/>
    </row>
    <row r="345" spans="1:16" ht="13.5" x14ac:dyDescent="0.3">
      <c r="A345" s="523" t="s">
        <v>220</v>
      </c>
      <c r="B345" s="1144" t="s">
        <v>253</v>
      </c>
      <c r="C345" s="1144"/>
      <c r="D345" s="1145" t="s">
        <v>222</v>
      </c>
      <c r="E345" s="504"/>
      <c r="F345" s="523" t="s">
        <v>221</v>
      </c>
      <c r="G345" s="1144" t="s">
        <v>253</v>
      </c>
      <c r="H345" s="1144"/>
      <c r="I345" s="1145" t="s">
        <v>222</v>
      </c>
      <c r="J345" s="504"/>
      <c r="K345" s="1146"/>
      <c r="L345" s="1149" t="s">
        <v>307</v>
      </c>
      <c r="M345" s="1149" t="s">
        <v>308</v>
      </c>
      <c r="N345" s="1149" t="s">
        <v>309</v>
      </c>
      <c r="O345" s="1150" t="s">
        <v>167</v>
      </c>
      <c r="P345" s="396"/>
    </row>
    <row r="346" spans="1:16" ht="14" x14ac:dyDescent="0.3">
      <c r="A346" s="524" t="s">
        <v>449</v>
      </c>
      <c r="B346" s="525">
        <f>VLOOKUP(B344,A364:K382,9,FALSE)</f>
        <v>2020</v>
      </c>
      <c r="C346" s="525" t="str">
        <f>VLOOKUP(B344,A364:K382,10,FALSE)</f>
        <v>-</v>
      </c>
      <c r="D346" s="1145"/>
      <c r="E346" s="504"/>
      <c r="F346" s="526" t="s">
        <v>140</v>
      </c>
      <c r="G346" s="525">
        <f>B346</f>
        <v>2020</v>
      </c>
      <c r="H346" s="525" t="str">
        <f>C346</f>
        <v>-</v>
      </c>
      <c r="I346" s="1145"/>
      <c r="J346" s="504"/>
      <c r="K346" s="1147"/>
      <c r="L346" s="1149"/>
      <c r="M346" s="1149"/>
      <c r="N346" s="1149"/>
      <c r="O346" s="1150"/>
      <c r="P346" s="396"/>
    </row>
    <row r="347" spans="1:16" ht="13" x14ac:dyDescent="0.3">
      <c r="A347" s="527">
        <f>VLOOKUP($A$344,$B$204:$F$222,2,FALSE)</f>
        <v>15</v>
      </c>
      <c r="B347" s="528">
        <f>VLOOKUP($A$344,$B$204:$F$222,3,FALSE)</f>
        <v>0.1</v>
      </c>
      <c r="C347" s="528" t="str">
        <f>VLOOKUP($A$344,$B$204:$F$222,4,FALSE)</f>
        <v>-</v>
      </c>
      <c r="D347" s="529">
        <f>VLOOKUP($A$344,$B$204:$F$222,5,FALSE)</f>
        <v>0</v>
      </c>
      <c r="E347" s="504"/>
      <c r="F347" s="527">
        <f>VLOOKUP($F$344,$I$204:$M$222,2,FALSE)</f>
        <v>30</v>
      </c>
      <c r="G347" s="527">
        <f>VLOOKUP($F$344,$I$204:$M$222,3,FALSE)</f>
        <v>-1.6</v>
      </c>
      <c r="H347" s="527" t="str">
        <f>VLOOKUP($F$344,$I$204:$M$222,4,FALSE)</f>
        <v>-</v>
      </c>
      <c r="I347" s="527">
        <f>VLOOKUP($F$344,$I$204:$M$222,5,FALSE)</f>
        <v>0</v>
      </c>
      <c r="J347" s="504"/>
      <c r="K347" s="1148"/>
      <c r="L347" s="1149"/>
      <c r="M347" s="1149"/>
      <c r="N347" s="1149"/>
      <c r="O347" s="1150"/>
      <c r="P347" s="396"/>
    </row>
    <row r="348" spans="1:16" ht="13" x14ac:dyDescent="0.3">
      <c r="A348" s="527">
        <f>VLOOKUP($A$344,$B$224:$F$242,2,FALSE)</f>
        <v>20</v>
      </c>
      <c r="B348" s="528">
        <f>VLOOKUP($A$344,$B$224:$F$242,3,FALSE)</f>
        <v>0.2</v>
      </c>
      <c r="C348" s="528" t="str">
        <f>VLOOKUP($A$344,$B$224:$F$242,4,FALSE)</f>
        <v>-</v>
      </c>
      <c r="D348" s="529">
        <f>VLOOKUP($A$344,$B$224:$F$242,5,FALSE)</f>
        <v>0</v>
      </c>
      <c r="E348" s="504"/>
      <c r="F348" s="527">
        <f>VLOOKUP($F$344,$I$224:$M$242,2,FALSE)</f>
        <v>40</v>
      </c>
      <c r="G348" s="527">
        <f>VLOOKUP($F$344,$I$224:$M$242,3,FALSE)</f>
        <v>-1.4</v>
      </c>
      <c r="H348" s="527" t="str">
        <f>VLOOKUP($F$344,$I$224:$M$242,4,FALSE)</f>
        <v>-</v>
      </c>
      <c r="I348" s="527">
        <f>VLOOKUP($F$344,$I$224:$M$242,5,FALSE)</f>
        <v>0</v>
      </c>
      <c r="J348" s="504"/>
      <c r="K348" s="530" t="s">
        <v>220</v>
      </c>
      <c r="L348" s="531">
        <f>AVERAGE(ID!E15:F15)</f>
        <v>36.650000000000006</v>
      </c>
      <c r="M348" s="532">
        <f>L348+C357</f>
        <v>36.717581043770814</v>
      </c>
      <c r="N348" s="532">
        <f>STDEV([2]ID!E14:F14)</f>
        <v>0.21213203435596475</v>
      </c>
      <c r="O348" s="533">
        <f>IF($K$344=$O$203,P203,IF($K$344=$O$204,P204,IF($K$344=$O$205,P205,IF($K$344=$O$206,P206,IF($K$344=$O$207,P207,IF($K$344=$O$208,P208,IF($K$344=$O$209,P209,IF($K$344=$O$210,P210,IF($K$344=$O$211,P211,IF($K$344=$O$212,P212,IF($K$344=$O$213,P213,IF($K$344=$O$214,P214,IF($K$344=$O$215,P215,IF($K$344=$O$216,P216,IF($K$344=$O$217,P217,IF($K$344=$O$218,P218,IF($K$344=$O$219,P219,IF($K$344=$O$220,P220,IF($K$344=$O$221,P221)))))))))))))))))))</f>
        <v>0.4</v>
      </c>
    </row>
    <row r="349" spans="1:16" ht="13.5" thickBot="1" x14ac:dyDescent="0.35">
      <c r="A349" s="527">
        <f>VLOOKUP($A$344,$B$244:$F$262,2,FALSE)</f>
        <v>25</v>
      </c>
      <c r="B349" s="528">
        <f>VLOOKUP($A$344,$B$244:$F$262,3,FALSE)</f>
        <v>0.2</v>
      </c>
      <c r="C349" s="528" t="str">
        <f>VLOOKUP($A$344,$B$244:$F$262,4,FALSE)</f>
        <v>-</v>
      </c>
      <c r="D349" s="529">
        <f>VLOOKUP($A$344,$B$244:$F$262,5,FALSE)</f>
        <v>0</v>
      </c>
      <c r="E349" s="504"/>
      <c r="F349" s="527">
        <f>VLOOKUP($F$344,$I$244:$M$262,2,FALSE)</f>
        <v>50</v>
      </c>
      <c r="G349" s="527">
        <f>VLOOKUP($F$344,$I$244:$M$262,3,FALSE)</f>
        <v>-1.4</v>
      </c>
      <c r="H349" s="527" t="str">
        <f>VLOOKUP($F$344,$I$244:$M$262,4,FALSE)</f>
        <v>-</v>
      </c>
      <c r="I349" s="527">
        <f>VLOOKUP($F$344,$I$244:$M$262,5,FALSE)</f>
        <v>0</v>
      </c>
      <c r="J349" s="504"/>
      <c r="K349" s="534" t="s">
        <v>140</v>
      </c>
      <c r="L349" s="531">
        <f>AVERAGE(ID!E16:F16)</f>
        <v>59.5</v>
      </c>
      <c r="M349" s="535">
        <f>L349+H357</f>
        <v>57.654285714285713</v>
      </c>
      <c r="N349" s="532">
        <f>STDEV([2]ID!E15:F15)</f>
        <v>7.0710678118660789E-2</v>
      </c>
      <c r="O349" s="533">
        <f>IF($K$344=$O$203,Q203,IF($K$344=$O$204,Q204,IF($K$344=$O$205,Q205,IF($K$344=$O$206,Q206,IF($K$344=$O$207,Q207,IF($K$344=$O$208,Q208,IF($K$344=$O$209,Q209,IF($K$344=$O$210,Q210,IF($K$344=$O$211,Q211,IF($K$344=$O$212,Q212,IF($K$344=$O$213,Q213,IF($K$344=$O$214,Q214,IF($K$344=$O$215,Q215,IF($K$344=$O$216,Q216,IF($K$344=$O$217,Q217,IF($K$344=$O$218,Q218,IF($K$344=$O$219,Q219,IF($K$344=$O$220,Q220,IF($K$344=$O$221,Q221)))))))))))))))))))</f>
        <v>2.2000000000000002</v>
      </c>
      <c r="P349" s="536"/>
    </row>
    <row r="350" spans="1:16" ht="13" x14ac:dyDescent="0.3">
      <c r="A350" s="527">
        <f>VLOOKUP($A$344,$B$264:$F$282,2,FALSE)</f>
        <v>30</v>
      </c>
      <c r="B350" s="528">
        <f>VLOOKUP($A$344,$B$264:$F$282,3,FALSE)</f>
        <v>0.2</v>
      </c>
      <c r="C350" s="528" t="str">
        <f>VLOOKUP($A$344,$B$264:$F$282,4,FALSE)</f>
        <v>-</v>
      </c>
      <c r="D350" s="529">
        <f>VLOOKUP($A$344,$B$264:$F$282,5,FALSE)</f>
        <v>0</v>
      </c>
      <c r="E350" s="504"/>
      <c r="F350" s="527">
        <f>VLOOKUP($F$344,$I$264:$M$282,2,FALSE)</f>
        <v>60</v>
      </c>
      <c r="G350" s="527">
        <f>VLOOKUP($F$344,$I$264:$M$282,3,FALSE)</f>
        <v>-1.5</v>
      </c>
      <c r="H350" s="527" t="str">
        <f>VLOOKUP($F$344,$I$264:$M$282,4,FALSE)</f>
        <v>-</v>
      </c>
      <c r="I350" s="527">
        <f>VLOOKUP($F$344,$I$264:$M$282,5,FALSE)</f>
        <v>0</v>
      </c>
      <c r="J350" s="504"/>
      <c r="K350" s="504"/>
      <c r="L350" s="537"/>
      <c r="M350" s="538"/>
      <c r="N350" s="537"/>
      <c r="O350" s="539"/>
      <c r="P350" s="536"/>
    </row>
    <row r="351" spans="1:16" ht="13.5" thickBot="1" x14ac:dyDescent="0.35">
      <c r="A351" s="527">
        <f>VLOOKUP($A$344,$B$284:$F$302,2,FALSE)</f>
        <v>35</v>
      </c>
      <c r="B351" s="528">
        <f>VLOOKUP($A$344,$B$284:$F$302,3,FALSE)</f>
        <v>0.1</v>
      </c>
      <c r="C351" s="528" t="str">
        <f>VLOOKUP($A$344,$B$284:$F$302,4,FALSE)</f>
        <v>-</v>
      </c>
      <c r="D351" s="529">
        <f>VLOOKUP($A$344,$B$284:$F$302,5,FALSE)</f>
        <v>0</v>
      </c>
      <c r="E351" s="504"/>
      <c r="F351" s="527">
        <f>VLOOKUP($F$344,$I$284:$M$302,2,FALSE)</f>
        <v>70</v>
      </c>
      <c r="G351" s="527">
        <f>VLOOKUP($F$344,$I$284:$M$302,3,FALSE)</f>
        <v>-1.8</v>
      </c>
      <c r="H351" s="527" t="str">
        <f>VLOOKUP($F$344,$I$284:$M$302,4,FALSE)</f>
        <v>-</v>
      </c>
      <c r="I351" s="527">
        <f>VLOOKUP($F$344,$I$284:$M$302,5,FALSE)</f>
        <v>0</v>
      </c>
      <c r="J351" s="504"/>
      <c r="K351" s="504"/>
      <c r="O351" s="540"/>
      <c r="P351" s="536"/>
    </row>
    <row r="352" spans="1:16" ht="14" x14ac:dyDescent="0.3">
      <c r="A352" s="527">
        <f>VLOOKUP($A$344,$B$304:$F$322,2,FALSE)</f>
        <v>37</v>
      </c>
      <c r="B352" s="528">
        <f>VLOOKUP($A$344,$B$304:$F$322,3,FALSE)</f>
        <v>9.9999999999999995E-7</v>
      </c>
      <c r="C352" s="528" t="str">
        <f>VLOOKUP($A$344,$B$304:$F$322,4,FALSE)</f>
        <v>-</v>
      </c>
      <c r="D352" s="529">
        <f>VLOOKUP($A$344,$B$304:$F$322,5,FALSE)</f>
        <v>0</v>
      </c>
      <c r="E352" s="504"/>
      <c r="F352" s="527">
        <f>VLOOKUP($F$344,$I$304:$M$322,2,FALSE)</f>
        <v>80</v>
      </c>
      <c r="G352" s="527">
        <f>VLOOKUP($F$344,$I$304:$M$322,3,FALSE)</f>
        <v>-2.2999999999999998</v>
      </c>
      <c r="H352" s="527" t="str">
        <f>VLOOKUP($F$344,$I$304:$M$322,4,FALSE)</f>
        <v>-</v>
      </c>
      <c r="I352" s="527">
        <f>VLOOKUP($F$344,$I$304:$M$322,5,FALSE)</f>
        <v>0</v>
      </c>
      <c r="J352" s="504"/>
      <c r="K352" s="1127" t="s">
        <v>450</v>
      </c>
      <c r="L352" s="398" t="str">
        <f>M366&amp;M364&amp;N366&amp;N364&amp;O366&amp;O364</f>
        <v>( 36.7 ± 0.4 ) °C</v>
      </c>
      <c r="M352" s="541"/>
      <c r="N352" s="397" t="s">
        <v>3</v>
      </c>
      <c r="O352" s="542"/>
      <c r="P352" s="543"/>
    </row>
    <row r="353" spans="1:16" ht="14.5" thickBot="1" x14ac:dyDescent="0.35">
      <c r="A353" s="544">
        <f>VLOOKUP($A$344,$B$324:$F$342,2,FALSE)</f>
        <v>40</v>
      </c>
      <c r="B353" s="545">
        <f>VLOOKUP($A$344,$B$324:$F$342,3,FALSE)</f>
        <v>9.9999999999999995E-7</v>
      </c>
      <c r="C353" s="545" t="str">
        <f>VLOOKUP($A$344,$B$324:$F$342,4,FALSE)</f>
        <v>-</v>
      </c>
      <c r="D353" s="546">
        <f>VLOOKUP($A$344,$B$324:$F$342,5,FALSE)</f>
        <v>0</v>
      </c>
      <c r="E353" s="504"/>
      <c r="F353" s="544">
        <f>VLOOKUP($F$344,$I$324:$M$342,2,FALSE)</f>
        <v>90</v>
      </c>
      <c r="G353" s="544">
        <f>VLOOKUP($F$344,$I$324:$M$342,3,FALSE)</f>
        <v>-3</v>
      </c>
      <c r="H353" s="544" t="str">
        <f>VLOOKUP($F$344,$I$324:$M$342,4,FALSE)</f>
        <v>-</v>
      </c>
      <c r="I353" s="544">
        <f>VLOOKUP($F$344,$I$324:$M$342,5,FALSE)</f>
        <v>0</v>
      </c>
      <c r="J353" s="504"/>
      <c r="K353" s="1128"/>
      <c r="L353" s="432" t="str">
        <f>M366&amp;M365&amp;N366&amp;N365&amp;O366&amp;O365</f>
        <v>( 57.7 ± 2.2 ) %RH</v>
      </c>
      <c r="M353" s="433"/>
      <c r="O353" s="542"/>
      <c r="P353" s="536"/>
    </row>
    <row r="354" spans="1:16" ht="16" thickBot="1" x14ac:dyDescent="0.4">
      <c r="A354" s="547"/>
      <c r="B354" s="504"/>
      <c r="C354" s="504"/>
      <c r="D354" s="504"/>
      <c r="E354" s="504"/>
      <c r="F354" s="504"/>
      <c r="G354" s="504"/>
      <c r="H354" s="504"/>
      <c r="I354" s="504"/>
      <c r="J354" s="504"/>
      <c r="K354" s="504"/>
      <c r="O354" s="542"/>
      <c r="P354" s="548"/>
    </row>
    <row r="355" spans="1:16" ht="14.5" thickBot="1" x14ac:dyDescent="0.35">
      <c r="A355" s="1129" t="s">
        <v>316</v>
      </c>
      <c r="B355" s="1130"/>
      <c r="C355" s="1130"/>
      <c r="D355" s="1131"/>
      <c r="E355" s="549"/>
      <c r="F355" s="1129" t="s">
        <v>317</v>
      </c>
      <c r="G355" s="1130"/>
      <c r="H355" s="1130"/>
      <c r="I355" s="1131"/>
      <c r="J355" s="504"/>
      <c r="K355" s="504"/>
      <c r="L355" s="504"/>
      <c r="M355" s="550"/>
      <c r="N355" s="551"/>
      <c r="O355" s="542"/>
      <c r="P355" s="552"/>
    </row>
    <row r="356" spans="1:16" ht="13.5" x14ac:dyDescent="0.3">
      <c r="A356" s="553"/>
      <c r="B356" s="554"/>
      <c r="C356" s="554"/>
      <c r="D356" s="555"/>
      <c r="E356" s="556"/>
      <c r="F356" s="557"/>
      <c r="G356" s="554"/>
      <c r="H356" s="554"/>
      <c r="I356" s="555"/>
      <c r="J356" s="504"/>
      <c r="K356" s="504"/>
      <c r="L356" s="504"/>
      <c r="M356" s="504"/>
      <c r="N356" s="504"/>
      <c r="O356" s="558"/>
      <c r="P356" s="559"/>
    </row>
    <row r="357" spans="1:16" ht="14" x14ac:dyDescent="0.3">
      <c r="A357" s="560">
        <f>L348</f>
        <v>36.650000000000006</v>
      </c>
      <c r="B357" s="561"/>
      <c r="C357" s="561">
        <f>FORECAST(A357,B347:B353,A347:A353)</f>
        <v>6.7581043770810201E-2</v>
      </c>
      <c r="D357" s="562"/>
      <c r="E357" s="556"/>
      <c r="F357" s="560">
        <f>L349</f>
        <v>59.5</v>
      </c>
      <c r="G357" s="561"/>
      <c r="H357" s="561">
        <f>FORECAST(F357,G347:G353,F347:F353)</f>
        <v>-1.8457142857142859</v>
      </c>
      <c r="I357" s="562"/>
      <c r="J357" s="504"/>
      <c r="K357" s="504"/>
      <c r="L357" s="504"/>
      <c r="M357" s="504"/>
      <c r="N357" s="504"/>
      <c r="O357" s="558"/>
      <c r="P357" s="563"/>
    </row>
    <row r="358" spans="1:16" ht="13.5" thickBot="1" x14ac:dyDescent="0.35">
      <c r="A358" s="564"/>
      <c r="B358" s="565"/>
      <c r="C358" s="566"/>
      <c r="D358" s="567"/>
      <c r="E358" s="568"/>
      <c r="F358" s="564"/>
      <c r="G358" s="565"/>
      <c r="H358" s="566"/>
      <c r="I358" s="567"/>
      <c r="J358" s="569"/>
      <c r="K358" s="569"/>
      <c r="L358" s="569"/>
      <c r="M358" s="569"/>
      <c r="N358" s="569"/>
      <c r="O358" s="570"/>
      <c r="P358" s="571"/>
    </row>
    <row r="362" spans="1:16" ht="13" thickBot="1" x14ac:dyDescent="0.3"/>
    <row r="363" spans="1:16" s="572" customFormat="1" ht="13.5" thickBot="1" x14ac:dyDescent="0.3">
      <c r="A363" s="1132" t="str">
        <f>[2]ID!B75</f>
        <v>Thermohygrobarometer, Merek : EXTECH, Model : SD700, SN : A.100616</v>
      </c>
      <c r="B363" s="1133"/>
      <c r="C363" s="1133"/>
      <c r="D363" s="1133"/>
      <c r="E363" s="1133"/>
      <c r="F363" s="1133"/>
      <c r="G363" s="1133"/>
      <c r="H363" s="1133"/>
      <c r="I363" s="1134"/>
      <c r="J363" s="1134"/>
      <c r="K363" s="1135"/>
      <c r="M363" s="1136" t="s">
        <v>310</v>
      </c>
      <c r="N363" s="1136"/>
      <c r="O363" s="1136"/>
    </row>
    <row r="364" spans="1:16" s="572" customFormat="1" ht="15.5" x14ac:dyDescent="0.25">
      <c r="A364" s="573" t="s">
        <v>436</v>
      </c>
      <c r="B364" s="574"/>
      <c r="C364" s="574"/>
      <c r="D364" s="575"/>
      <c r="E364" s="575"/>
      <c r="F364" s="575"/>
      <c r="G364" s="576"/>
      <c r="H364" s="577"/>
      <c r="I364" s="578">
        <f>D4</f>
        <v>2020</v>
      </c>
      <c r="J364" s="579">
        <f>E4</f>
        <v>2017</v>
      </c>
      <c r="K364" s="580">
        <v>1</v>
      </c>
      <c r="M364" s="581" t="str">
        <f>TEXT(M348,"0.0")</f>
        <v>36.7</v>
      </c>
      <c r="N364" s="581" t="str">
        <f>TEXT(O348,"0.0")</f>
        <v>0.4</v>
      </c>
      <c r="O364" s="582" t="s">
        <v>311</v>
      </c>
    </row>
    <row r="365" spans="1:16" s="572" customFormat="1" ht="15.5" x14ac:dyDescent="0.25">
      <c r="A365" s="573" t="s">
        <v>437</v>
      </c>
      <c r="B365" s="574"/>
      <c r="C365" s="574"/>
      <c r="D365" s="575"/>
      <c r="E365" s="575"/>
      <c r="F365" s="575"/>
      <c r="G365" s="576"/>
      <c r="H365" s="577"/>
      <c r="I365" s="583">
        <f>D15</f>
        <v>2021</v>
      </c>
      <c r="J365" s="584">
        <f>E15</f>
        <v>2018</v>
      </c>
      <c r="K365" s="580">
        <v>2</v>
      </c>
      <c r="M365" s="581" t="str">
        <f>TEXT(M349,"0.0")</f>
        <v>57.7</v>
      </c>
      <c r="N365" s="581" t="str">
        <f>TEXT(O349,"0.0")</f>
        <v>2.2</v>
      </c>
      <c r="O365" s="582" t="s">
        <v>312</v>
      </c>
    </row>
    <row r="366" spans="1:16" s="572" customFormat="1" ht="15.5" x14ac:dyDescent="0.3">
      <c r="A366" s="573" t="s">
        <v>318</v>
      </c>
      <c r="B366" s="574"/>
      <c r="C366" s="574"/>
      <c r="D366" s="575"/>
      <c r="E366" s="575"/>
      <c r="F366" s="575"/>
      <c r="G366" s="576"/>
      <c r="H366" s="577"/>
      <c r="I366" s="583">
        <f>D26</f>
        <v>2021</v>
      </c>
      <c r="J366" s="584">
        <f>E26</f>
        <v>2018</v>
      </c>
      <c r="K366" s="580">
        <v>3</v>
      </c>
      <c r="M366" s="585" t="s">
        <v>313</v>
      </c>
      <c r="N366" s="586" t="s">
        <v>314</v>
      </c>
      <c r="O366" s="586" t="s">
        <v>315</v>
      </c>
    </row>
    <row r="367" spans="1:16" s="572" customFormat="1" ht="13" x14ac:dyDescent="0.25">
      <c r="A367" s="573" t="s">
        <v>438</v>
      </c>
      <c r="B367" s="574"/>
      <c r="C367" s="574"/>
      <c r="D367" s="575"/>
      <c r="E367" s="575"/>
      <c r="F367" s="575"/>
      <c r="G367" s="576"/>
      <c r="H367" s="577"/>
      <c r="I367" s="583">
        <f>D37</f>
        <v>2019</v>
      </c>
      <c r="J367" s="584">
        <f>E37</f>
        <v>2017</v>
      </c>
      <c r="K367" s="580">
        <v>4</v>
      </c>
    </row>
    <row r="368" spans="1:16" s="572" customFormat="1" ht="13" x14ac:dyDescent="0.25">
      <c r="A368" s="573" t="s">
        <v>439</v>
      </c>
      <c r="B368" s="574"/>
      <c r="C368" s="574"/>
      <c r="D368" s="575"/>
      <c r="E368" s="575"/>
      <c r="F368" s="575"/>
      <c r="G368" s="576"/>
      <c r="H368" s="577"/>
      <c r="I368" s="583">
        <f>D48</f>
        <v>2020</v>
      </c>
      <c r="J368" s="584">
        <f>E48</f>
        <v>2017</v>
      </c>
      <c r="K368" s="580">
        <v>5</v>
      </c>
    </row>
    <row r="369" spans="1:11" s="572" customFormat="1" ht="13" x14ac:dyDescent="0.25">
      <c r="A369" s="573" t="s">
        <v>319</v>
      </c>
      <c r="B369" s="574"/>
      <c r="C369" s="574"/>
      <c r="D369" s="575"/>
      <c r="E369" s="575"/>
      <c r="F369" s="575"/>
      <c r="G369" s="576"/>
      <c r="H369" s="577"/>
      <c r="I369" s="583">
        <f>D59</f>
        <v>2019</v>
      </c>
      <c r="J369" s="584">
        <f>E59</f>
        <v>2018</v>
      </c>
      <c r="K369" s="580">
        <v>6</v>
      </c>
    </row>
    <row r="370" spans="1:11" s="572" customFormat="1" ht="13" x14ac:dyDescent="0.25">
      <c r="A370" s="573" t="s">
        <v>320</v>
      </c>
      <c r="B370" s="574"/>
      <c r="C370" s="574"/>
      <c r="D370" s="575"/>
      <c r="E370" s="575"/>
      <c r="F370" s="575"/>
      <c r="G370" s="576"/>
      <c r="H370" s="577"/>
      <c r="I370" s="583">
        <f>D70</f>
        <v>2021</v>
      </c>
      <c r="J370" s="584">
        <f>E70</f>
        <v>2018</v>
      </c>
      <c r="K370" s="580">
        <v>7</v>
      </c>
    </row>
    <row r="371" spans="1:11" s="572" customFormat="1" ht="13" x14ac:dyDescent="0.25">
      <c r="A371" s="573" t="s">
        <v>321</v>
      </c>
      <c r="B371" s="574"/>
      <c r="C371" s="574"/>
      <c r="D371" s="575"/>
      <c r="E371" s="575"/>
      <c r="F371" s="575"/>
      <c r="G371" s="576"/>
      <c r="H371" s="577"/>
      <c r="I371" s="583">
        <f>D81</f>
        <v>2021</v>
      </c>
      <c r="J371" s="584">
        <f>E81</f>
        <v>2019</v>
      </c>
      <c r="K371" s="580">
        <v>8</v>
      </c>
    </row>
    <row r="372" spans="1:11" s="572" customFormat="1" ht="13" x14ac:dyDescent="0.25">
      <c r="A372" s="573" t="s">
        <v>322</v>
      </c>
      <c r="B372" s="574"/>
      <c r="C372" s="574"/>
      <c r="D372" s="575"/>
      <c r="E372" s="575"/>
      <c r="F372" s="575"/>
      <c r="G372" s="576"/>
      <c r="H372" s="577"/>
      <c r="I372" s="583">
        <f>D92</f>
        <v>2019</v>
      </c>
      <c r="J372" s="584" t="str">
        <f>E92</f>
        <v>-</v>
      </c>
      <c r="K372" s="580">
        <v>9</v>
      </c>
    </row>
    <row r="373" spans="1:11" s="572" customFormat="1" ht="13" x14ac:dyDescent="0.25">
      <c r="A373" s="573" t="s">
        <v>323</v>
      </c>
      <c r="B373" s="574"/>
      <c r="C373" s="574"/>
      <c r="D373" s="575"/>
      <c r="E373" s="575"/>
      <c r="F373" s="575"/>
      <c r="G373" s="576"/>
      <c r="H373" s="577"/>
      <c r="I373" s="583">
        <f>D103</f>
        <v>2019</v>
      </c>
      <c r="J373" s="584">
        <f>E103</f>
        <v>2016</v>
      </c>
      <c r="K373" s="580">
        <v>10</v>
      </c>
    </row>
    <row r="374" spans="1:11" s="572" customFormat="1" ht="13" x14ac:dyDescent="0.25">
      <c r="A374" s="573" t="s">
        <v>324</v>
      </c>
      <c r="B374" s="574"/>
      <c r="C374" s="574"/>
      <c r="D374" s="575"/>
      <c r="E374" s="575"/>
      <c r="F374" s="575"/>
      <c r="G374" s="576"/>
      <c r="H374" s="577"/>
      <c r="I374" s="583">
        <f>D114</f>
        <v>2020</v>
      </c>
      <c r="J374" s="583" t="str">
        <f>E114</f>
        <v>-</v>
      </c>
      <c r="K374" s="580">
        <v>11</v>
      </c>
    </row>
    <row r="375" spans="1:11" s="572" customFormat="1" ht="13" x14ac:dyDescent="0.25">
      <c r="A375" s="573" t="s">
        <v>451</v>
      </c>
      <c r="B375" s="574"/>
      <c r="C375" s="574"/>
      <c r="D375" s="575"/>
      <c r="E375" s="575"/>
      <c r="F375" s="575"/>
      <c r="G375" s="576"/>
      <c r="H375" s="577"/>
      <c r="I375" s="587">
        <f>D125</f>
        <v>2020</v>
      </c>
      <c r="J375" s="587" t="str">
        <f>E125</f>
        <v>-</v>
      </c>
      <c r="K375" s="580">
        <v>12</v>
      </c>
    </row>
    <row r="376" spans="1:11" s="572" customFormat="1" ht="13" x14ac:dyDescent="0.25">
      <c r="A376" s="573" t="s">
        <v>452</v>
      </c>
      <c r="B376" s="574"/>
      <c r="C376" s="574"/>
      <c r="D376" s="575"/>
      <c r="E376" s="575"/>
      <c r="F376" s="575"/>
      <c r="G376" s="576"/>
      <c r="H376" s="577"/>
      <c r="I376" s="587">
        <f>D136</f>
        <v>2020</v>
      </c>
      <c r="J376" s="587" t="str">
        <f>E136</f>
        <v>-</v>
      </c>
      <c r="K376" s="580">
        <v>13</v>
      </c>
    </row>
    <row r="377" spans="1:11" s="572" customFormat="1" ht="13" x14ac:dyDescent="0.25">
      <c r="A377" s="573" t="s">
        <v>453</v>
      </c>
      <c r="B377" s="574"/>
      <c r="C377" s="574"/>
      <c r="D377" s="575"/>
      <c r="E377" s="575"/>
      <c r="F377" s="575"/>
      <c r="G377" s="576"/>
      <c r="H377" s="577"/>
      <c r="I377" s="587">
        <f>D147</f>
        <v>2020</v>
      </c>
      <c r="J377" s="587" t="str">
        <f>E147</f>
        <v>-</v>
      </c>
      <c r="K377" s="580">
        <v>14</v>
      </c>
    </row>
    <row r="378" spans="1:11" s="572" customFormat="1" ht="13" x14ac:dyDescent="0.25">
      <c r="A378" s="573" t="s">
        <v>454</v>
      </c>
      <c r="B378" s="574"/>
      <c r="C378" s="574"/>
      <c r="D378" s="575"/>
      <c r="E378" s="575"/>
      <c r="F378" s="575"/>
      <c r="G378" s="576"/>
      <c r="H378" s="577"/>
      <c r="I378" s="587">
        <f>D158</f>
        <v>2020</v>
      </c>
      <c r="J378" s="587" t="str">
        <f>E158</f>
        <v>-</v>
      </c>
      <c r="K378" s="580">
        <v>15</v>
      </c>
    </row>
    <row r="379" spans="1:11" s="572" customFormat="1" ht="13" x14ac:dyDescent="0.25">
      <c r="A379" s="573" t="s">
        <v>455</v>
      </c>
      <c r="B379" s="574"/>
      <c r="C379" s="574"/>
      <c r="D379" s="575"/>
      <c r="E379" s="575"/>
      <c r="F379" s="575"/>
      <c r="G379" s="576"/>
      <c r="H379" s="577"/>
      <c r="I379" s="587">
        <f>D169</f>
        <v>2020</v>
      </c>
      <c r="J379" s="587" t="str">
        <f>E169</f>
        <v>-</v>
      </c>
      <c r="K379" s="580">
        <v>16</v>
      </c>
    </row>
    <row r="380" spans="1:11" s="572" customFormat="1" ht="13" x14ac:dyDescent="0.25">
      <c r="A380" s="573" t="s">
        <v>456</v>
      </c>
      <c r="B380" s="574"/>
      <c r="C380" s="574"/>
      <c r="D380" s="575"/>
      <c r="E380" s="575"/>
      <c r="F380" s="575"/>
      <c r="G380" s="576"/>
      <c r="H380" s="577"/>
      <c r="I380" s="587">
        <f>D180</f>
        <v>2020</v>
      </c>
      <c r="J380" s="587" t="str">
        <f>E180</f>
        <v>-</v>
      </c>
      <c r="K380" s="580">
        <v>17</v>
      </c>
    </row>
    <row r="381" spans="1:11" s="572" customFormat="1" ht="13.5" thickBot="1" x14ac:dyDescent="0.3">
      <c r="A381" s="573" t="s">
        <v>457</v>
      </c>
      <c r="B381" s="574"/>
      <c r="C381" s="574"/>
      <c r="D381" s="575"/>
      <c r="E381" s="575"/>
      <c r="F381" s="575"/>
      <c r="G381" s="576"/>
      <c r="H381" s="577"/>
      <c r="I381" s="588">
        <f>D191</f>
        <v>2020</v>
      </c>
      <c r="J381" s="589">
        <f>E191</f>
        <v>2017</v>
      </c>
      <c r="K381" s="580">
        <v>18</v>
      </c>
    </row>
    <row r="382" spans="1:11" s="572" customFormat="1" ht="13.5" thickBot="1" x14ac:dyDescent="0.3">
      <c r="A382" s="590" t="s">
        <v>458</v>
      </c>
      <c r="B382" s="591"/>
      <c r="C382" s="591"/>
      <c r="D382" s="592"/>
      <c r="E382" s="592"/>
      <c r="F382" s="592"/>
      <c r="G382" s="593"/>
      <c r="H382" s="594"/>
      <c r="I382" s="595">
        <f>U4</f>
        <v>2021</v>
      </c>
      <c r="J382" s="596">
        <f>T4</f>
        <v>2020</v>
      </c>
      <c r="K382" s="597">
        <v>19</v>
      </c>
    </row>
    <row r="383" spans="1:11" s="572" customFormat="1" ht="13.5" thickBot="1" x14ac:dyDescent="0.3">
      <c r="A383" s="1137">
        <f>VLOOKUP(A363,A364:K382,11,(FALSE))</f>
        <v>16</v>
      </c>
      <c r="B383" s="1138"/>
      <c r="C383" s="1138"/>
      <c r="D383" s="1138"/>
      <c r="E383" s="1138"/>
      <c r="F383" s="1138"/>
      <c r="G383" s="1138"/>
      <c r="H383" s="1138"/>
      <c r="I383" s="1139"/>
      <c r="J383" s="1139"/>
      <c r="K383" s="1140"/>
    </row>
  </sheetData>
  <mergeCells count="276">
    <mergeCell ref="A1:O1"/>
    <mergeCell ref="Q1:AE1"/>
    <mergeCell ref="A2:A11"/>
    <mergeCell ref="B2:F2"/>
    <mergeCell ref="H2:L2"/>
    <mergeCell ref="N2:O2"/>
    <mergeCell ref="Q2:Q11"/>
    <mergeCell ref="R2:V2"/>
    <mergeCell ref="X2:AB2"/>
    <mergeCell ref="AD2:AE2"/>
    <mergeCell ref="R3:S3"/>
    <mergeCell ref="T3:U3"/>
    <mergeCell ref="V3:V4"/>
    <mergeCell ref="X3:Y3"/>
    <mergeCell ref="Z3:AA3"/>
    <mergeCell ref="AB3:AB4"/>
    <mergeCell ref="R4:S4"/>
    <mergeCell ref="X4:Y4"/>
    <mergeCell ref="B3:C3"/>
    <mergeCell ref="D3:E3"/>
    <mergeCell ref="F3:F4"/>
    <mergeCell ref="H3:I3"/>
    <mergeCell ref="J3:K3"/>
    <mergeCell ref="L3:L4"/>
    <mergeCell ref="B4:C4"/>
    <mergeCell ref="H4:I4"/>
    <mergeCell ref="N24:O24"/>
    <mergeCell ref="B25:C25"/>
    <mergeCell ref="D25:E25"/>
    <mergeCell ref="F25:F26"/>
    <mergeCell ref="H25:I25"/>
    <mergeCell ref="A13:A22"/>
    <mergeCell ref="B13:F13"/>
    <mergeCell ref="H13:L13"/>
    <mergeCell ref="N13:O13"/>
    <mergeCell ref="B14:C14"/>
    <mergeCell ref="D14:E14"/>
    <mergeCell ref="F14:F15"/>
    <mergeCell ref="H14:I14"/>
    <mergeCell ref="J14:K14"/>
    <mergeCell ref="L14:L15"/>
    <mergeCell ref="J25:K25"/>
    <mergeCell ref="L25:L26"/>
    <mergeCell ref="B26:C26"/>
    <mergeCell ref="H26:I26"/>
    <mergeCell ref="A35:A44"/>
    <mergeCell ref="B35:F35"/>
    <mergeCell ref="H35:L35"/>
    <mergeCell ref="B15:C15"/>
    <mergeCell ref="H15:I15"/>
    <mergeCell ref="A24:A33"/>
    <mergeCell ref="B24:F24"/>
    <mergeCell ref="H24:L24"/>
    <mergeCell ref="N35:O35"/>
    <mergeCell ref="B36:C36"/>
    <mergeCell ref="D36:E36"/>
    <mergeCell ref="F36:F37"/>
    <mergeCell ref="H36:I36"/>
    <mergeCell ref="J36:K36"/>
    <mergeCell ref="L36:L37"/>
    <mergeCell ref="B37:C37"/>
    <mergeCell ref="H37:I37"/>
    <mergeCell ref="H46:L46"/>
    <mergeCell ref="N46:O46"/>
    <mergeCell ref="B47:C47"/>
    <mergeCell ref="D47:E47"/>
    <mergeCell ref="F47:F48"/>
    <mergeCell ref="H47:I47"/>
    <mergeCell ref="J47:K47"/>
    <mergeCell ref="L47:L48"/>
    <mergeCell ref="J58:K58"/>
    <mergeCell ref="L58:L59"/>
    <mergeCell ref="B59:C59"/>
    <mergeCell ref="H59:I59"/>
    <mergeCell ref="A68:A77"/>
    <mergeCell ref="B68:F68"/>
    <mergeCell ref="H68:L68"/>
    <mergeCell ref="B48:C48"/>
    <mergeCell ref="H48:I48"/>
    <mergeCell ref="A57:A66"/>
    <mergeCell ref="B57:F57"/>
    <mergeCell ref="H57:L57"/>
    <mergeCell ref="N68:O68"/>
    <mergeCell ref="B69:C69"/>
    <mergeCell ref="D69:E69"/>
    <mergeCell ref="F69:F70"/>
    <mergeCell ref="H69:I69"/>
    <mergeCell ref="J69:K69"/>
    <mergeCell ref="L69:L70"/>
    <mergeCell ref="B70:C70"/>
    <mergeCell ref="H70:I70"/>
    <mergeCell ref="N57:O57"/>
    <mergeCell ref="B58:C58"/>
    <mergeCell ref="D58:E58"/>
    <mergeCell ref="F58:F59"/>
    <mergeCell ref="H58:I58"/>
    <mergeCell ref="A46:A55"/>
    <mergeCell ref="B46:F46"/>
    <mergeCell ref="H79:L79"/>
    <mergeCell ref="N79:O79"/>
    <mergeCell ref="B80:C80"/>
    <mergeCell ref="D80:E80"/>
    <mergeCell ref="F80:F81"/>
    <mergeCell ref="H80:I80"/>
    <mergeCell ref="J80:K80"/>
    <mergeCell ref="L80:L81"/>
    <mergeCell ref="J91:K91"/>
    <mergeCell ref="L91:L92"/>
    <mergeCell ref="B92:C92"/>
    <mergeCell ref="H92:I92"/>
    <mergeCell ref="A101:A110"/>
    <mergeCell ref="B101:F101"/>
    <mergeCell ref="H101:L101"/>
    <mergeCell ref="B81:C81"/>
    <mergeCell ref="H81:I81"/>
    <mergeCell ref="A90:A99"/>
    <mergeCell ref="B90:F90"/>
    <mergeCell ref="H90:L90"/>
    <mergeCell ref="N101:O101"/>
    <mergeCell ref="B102:C102"/>
    <mergeCell ref="D102:E102"/>
    <mergeCell ref="F102:F103"/>
    <mergeCell ref="H102:I102"/>
    <mergeCell ref="J102:K102"/>
    <mergeCell ref="L102:L103"/>
    <mergeCell ref="B103:C103"/>
    <mergeCell ref="H103:I103"/>
    <mergeCell ref="N90:O90"/>
    <mergeCell ref="B91:C91"/>
    <mergeCell ref="D91:E91"/>
    <mergeCell ref="F91:F92"/>
    <mergeCell ref="H91:I91"/>
    <mergeCell ref="A79:A88"/>
    <mergeCell ref="B79:F79"/>
    <mergeCell ref="H112:L112"/>
    <mergeCell ref="N112:O112"/>
    <mergeCell ref="B113:C113"/>
    <mergeCell ref="D113:E113"/>
    <mergeCell ref="F113:F114"/>
    <mergeCell ref="H113:I113"/>
    <mergeCell ref="J113:K113"/>
    <mergeCell ref="L113:L114"/>
    <mergeCell ref="J124:K124"/>
    <mergeCell ref="L124:L125"/>
    <mergeCell ref="B125:C125"/>
    <mergeCell ref="H125:I125"/>
    <mergeCell ref="A134:A143"/>
    <mergeCell ref="B134:F134"/>
    <mergeCell ref="H134:L134"/>
    <mergeCell ref="B114:C114"/>
    <mergeCell ref="H114:I114"/>
    <mergeCell ref="A123:A132"/>
    <mergeCell ref="B123:F123"/>
    <mergeCell ref="H123:L123"/>
    <mergeCell ref="N134:O134"/>
    <mergeCell ref="B135:C135"/>
    <mergeCell ref="D135:E135"/>
    <mergeCell ref="F135:F136"/>
    <mergeCell ref="H135:I135"/>
    <mergeCell ref="J135:K135"/>
    <mergeCell ref="L135:L136"/>
    <mergeCell ref="B136:C136"/>
    <mergeCell ref="H136:I136"/>
    <mergeCell ref="N123:O123"/>
    <mergeCell ref="B124:C124"/>
    <mergeCell ref="D124:E124"/>
    <mergeCell ref="F124:F125"/>
    <mergeCell ref="H124:I124"/>
    <mergeCell ref="A112:A121"/>
    <mergeCell ref="B112:F112"/>
    <mergeCell ref="H145:L145"/>
    <mergeCell ref="N145:O145"/>
    <mergeCell ref="B146:C146"/>
    <mergeCell ref="D146:E146"/>
    <mergeCell ref="F146:F147"/>
    <mergeCell ref="H146:I146"/>
    <mergeCell ref="J146:K146"/>
    <mergeCell ref="L146:L147"/>
    <mergeCell ref="J157:K157"/>
    <mergeCell ref="L157:L158"/>
    <mergeCell ref="B158:C158"/>
    <mergeCell ref="H158:I158"/>
    <mergeCell ref="A167:A176"/>
    <mergeCell ref="B167:F167"/>
    <mergeCell ref="H167:L167"/>
    <mergeCell ref="B147:C147"/>
    <mergeCell ref="H147:I147"/>
    <mergeCell ref="A156:A165"/>
    <mergeCell ref="B156:F156"/>
    <mergeCell ref="H156:L156"/>
    <mergeCell ref="N167:O167"/>
    <mergeCell ref="B168:C168"/>
    <mergeCell ref="D168:E168"/>
    <mergeCell ref="F168:F169"/>
    <mergeCell ref="H168:I168"/>
    <mergeCell ref="J168:K168"/>
    <mergeCell ref="L168:L169"/>
    <mergeCell ref="B169:C169"/>
    <mergeCell ref="H169:I169"/>
    <mergeCell ref="N156:O156"/>
    <mergeCell ref="B157:C157"/>
    <mergeCell ref="D157:E157"/>
    <mergeCell ref="F157:F158"/>
    <mergeCell ref="H157:I157"/>
    <mergeCell ref="A145:A154"/>
    <mergeCell ref="B145:F145"/>
    <mergeCell ref="B180:C180"/>
    <mergeCell ref="H180:I180"/>
    <mergeCell ref="A189:A198"/>
    <mergeCell ref="B189:F189"/>
    <mergeCell ref="H189:L189"/>
    <mergeCell ref="N189:O189"/>
    <mergeCell ref="B190:C190"/>
    <mergeCell ref="D190:E190"/>
    <mergeCell ref="F190:F191"/>
    <mergeCell ref="H190:I190"/>
    <mergeCell ref="A178:A187"/>
    <mergeCell ref="B178:F178"/>
    <mergeCell ref="H178:L178"/>
    <mergeCell ref="N178:O178"/>
    <mergeCell ref="B179:C179"/>
    <mergeCell ref="D179:E179"/>
    <mergeCell ref="F179:F180"/>
    <mergeCell ref="H179:I179"/>
    <mergeCell ref="J179:K179"/>
    <mergeCell ref="L179:L180"/>
    <mergeCell ref="J190:K190"/>
    <mergeCell ref="L190:L191"/>
    <mergeCell ref="B191:C191"/>
    <mergeCell ref="H191:I191"/>
    <mergeCell ref="O224:P224"/>
    <mergeCell ref="O225:P225"/>
    <mergeCell ref="O201:P201"/>
    <mergeCell ref="D202:E202"/>
    <mergeCell ref="F202:F203"/>
    <mergeCell ref="K202:L202"/>
    <mergeCell ref="M202:M203"/>
    <mergeCell ref="O202:P202"/>
    <mergeCell ref="A304:A322"/>
    <mergeCell ref="H304:H322"/>
    <mergeCell ref="A201:A203"/>
    <mergeCell ref="B201:B203"/>
    <mergeCell ref="C201:F201"/>
    <mergeCell ref="H201:H203"/>
    <mergeCell ref="I201:I203"/>
    <mergeCell ref="J201:M201"/>
    <mergeCell ref="A204:A222"/>
    <mergeCell ref="H204:H222"/>
    <mergeCell ref="A224:A242"/>
    <mergeCell ref="H224:H242"/>
    <mergeCell ref="A324:A342"/>
    <mergeCell ref="H324:H342"/>
    <mergeCell ref="B344:D344"/>
    <mergeCell ref="G344:I344"/>
    <mergeCell ref="A244:A262"/>
    <mergeCell ref="H244:H262"/>
    <mergeCell ref="A264:A282"/>
    <mergeCell ref="H264:H282"/>
    <mergeCell ref="A284:A302"/>
    <mergeCell ref="H284:H302"/>
    <mergeCell ref="K352:K353"/>
    <mergeCell ref="A355:D355"/>
    <mergeCell ref="F355:I355"/>
    <mergeCell ref="A363:K363"/>
    <mergeCell ref="M363:O363"/>
    <mergeCell ref="A383:K383"/>
    <mergeCell ref="L344:O344"/>
    <mergeCell ref="B345:C345"/>
    <mergeCell ref="D345:D346"/>
    <mergeCell ref="G345:H345"/>
    <mergeCell ref="I345:I346"/>
    <mergeCell ref="K345:K347"/>
    <mergeCell ref="L345:L347"/>
    <mergeCell ref="M345:M347"/>
    <mergeCell ref="N345:N347"/>
    <mergeCell ref="O345:O347"/>
  </mergeCells>
  <pageMargins left="0.7" right="0.7" top="0.75" bottom="0.75" header="0.3" footer="0.3"/>
  <pageSetup paperSize="9" scale="99" orientation="portrait" r:id="rId1"/>
  <rowBreaks count="1" manualBreakCount="1">
    <brk id="54" max="14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E8FFF-3EBC-4579-A557-D61C34630933}">
  <sheetPr>
    <tabColor rgb="FF00B050"/>
  </sheetPr>
  <dimension ref="A1:O61"/>
  <sheetViews>
    <sheetView topLeftCell="A34" zoomScaleNormal="100" zoomScaleSheetLayoutView="90" workbookViewId="0">
      <selection activeCell="B61" sqref="B61"/>
    </sheetView>
  </sheetViews>
  <sheetFormatPr defaultColWidth="9.26953125" defaultRowHeight="12.5" x14ac:dyDescent="0.25"/>
  <cols>
    <col min="1" max="1" width="18.26953125" style="207" customWidth="1"/>
    <col min="2" max="2" width="26.26953125" style="207" customWidth="1"/>
    <col min="3" max="3" width="3.26953125" style="207" customWidth="1"/>
    <col min="4" max="4" width="11.54296875" style="207" customWidth="1"/>
    <col min="5" max="5" width="9.453125" style="207" customWidth="1"/>
    <col min="6" max="6" width="22.54296875" style="207" customWidth="1"/>
    <col min="7" max="7" width="9.26953125" style="207"/>
    <col min="8" max="8" width="18.7265625" style="207" customWidth="1"/>
    <col min="9" max="9" width="12.26953125" style="207" customWidth="1"/>
    <col min="10" max="16384" width="9.26953125" style="207"/>
  </cols>
  <sheetData>
    <row r="1" spans="1:15" x14ac:dyDescent="0.25">
      <c r="H1" s="784"/>
      <c r="I1" s="785"/>
      <c r="J1" s="785"/>
    </row>
    <row r="2" spans="1:15" ht="30" x14ac:dyDescent="0.25">
      <c r="A2" s="1244" t="str">
        <f>B46</f>
        <v>SERTIFIKAT KALIBRASI</v>
      </c>
      <c r="B2" s="1244"/>
      <c r="C2" s="1244"/>
      <c r="D2" s="1244"/>
      <c r="E2" s="1244"/>
      <c r="F2" s="1244"/>
      <c r="H2" s="786"/>
      <c r="I2" s="1245"/>
      <c r="J2" s="1246"/>
    </row>
    <row r="3" spans="1:15" ht="14" x14ac:dyDescent="0.3">
      <c r="A3" s="1247" t="str">
        <f>LH!A2</f>
        <v>Nomor Sertifikat : 42 / 1 / IV - 21 / E - 050.000 DL</v>
      </c>
      <c r="B3" s="1247"/>
      <c r="C3" s="1247"/>
      <c r="D3" s="1247"/>
      <c r="E3" s="1247"/>
      <c r="F3" s="1247"/>
    </row>
    <row r="4" spans="1:15" ht="13" x14ac:dyDescent="0.3">
      <c r="C4" s="207" t="s">
        <v>254</v>
      </c>
      <c r="D4" s="1248" t="str">
        <f>LH!E11</f>
        <v>MK 041 - 18</v>
      </c>
      <c r="E4" s="1248"/>
      <c r="F4" s="1248"/>
      <c r="H4" s="787"/>
      <c r="I4" s="787"/>
      <c r="J4" s="787"/>
    </row>
    <row r="5" spans="1:15" ht="14.5" x14ac:dyDescent="0.35">
      <c r="H5" s="1249"/>
      <c r="I5" s="1249"/>
      <c r="J5" s="1249"/>
    </row>
    <row r="6" spans="1:15" ht="14" x14ac:dyDescent="0.25">
      <c r="A6" s="782" t="s">
        <v>255</v>
      </c>
      <c r="B6" s="208" t="s">
        <v>464</v>
      </c>
      <c r="C6" s="788"/>
      <c r="D6" s="1231" t="s">
        <v>256</v>
      </c>
      <c r="E6" s="1232"/>
      <c r="F6" s="789" t="str">
        <f>MID(A3,SEARCH("E - ",A3),LEN(A3))</f>
        <v>E - 050.000 DL</v>
      </c>
    </row>
    <row r="7" spans="1:15" ht="14" x14ac:dyDescent="0.25">
      <c r="A7" s="209"/>
      <c r="B7" s="209"/>
      <c r="C7" s="209"/>
    </row>
    <row r="8" spans="1:15" ht="14" x14ac:dyDescent="0.25">
      <c r="A8" s="1226" t="s">
        <v>2</v>
      </c>
      <c r="B8" s="1226"/>
      <c r="C8" s="210" t="s">
        <v>23</v>
      </c>
      <c r="D8" s="1226" t="str">
        <f>LH!E4</f>
        <v>Acare</v>
      </c>
      <c r="E8" s="1226"/>
      <c r="F8" s="1226"/>
      <c r="I8" s="1241"/>
      <c r="J8" s="1241"/>
    </row>
    <row r="9" spans="1:15" ht="14" x14ac:dyDescent="0.25">
      <c r="A9" s="1226" t="s">
        <v>257</v>
      </c>
      <c r="B9" s="1226"/>
      <c r="C9" s="210" t="s">
        <v>23</v>
      </c>
      <c r="D9" s="1226" t="str">
        <f>LH!E5</f>
        <v>-</v>
      </c>
      <c r="E9" s="1226"/>
      <c r="F9" s="1226"/>
      <c r="I9" s="1241"/>
      <c r="J9" s="1241"/>
    </row>
    <row r="10" spans="1:15" ht="14.5" x14ac:dyDescent="0.35">
      <c r="A10" s="1226" t="s">
        <v>258</v>
      </c>
      <c r="B10" s="1226"/>
      <c r="C10" s="210" t="s">
        <v>23</v>
      </c>
      <c r="D10" s="1226" t="str">
        <f>LH!E6</f>
        <v>-</v>
      </c>
      <c r="E10" s="1226"/>
      <c r="F10" s="1226"/>
      <c r="I10" s="1242"/>
      <c r="J10" s="1233"/>
      <c r="O10" s="790"/>
    </row>
    <row r="11" spans="1:15" s="785" customFormat="1" ht="14.5" hidden="1" x14ac:dyDescent="0.35">
      <c r="A11" s="1243" t="s">
        <v>462</v>
      </c>
      <c r="B11" s="1243"/>
      <c r="C11" s="791" t="s">
        <v>23</v>
      </c>
      <c r="D11" s="792" t="str">
        <f>I11&amp;"    "&amp;J11&amp;""</f>
        <v xml:space="preserve">    </v>
      </c>
      <c r="E11" s="792"/>
      <c r="F11" s="793">
        <f>J11</f>
        <v>0</v>
      </c>
      <c r="I11" s="794"/>
      <c r="J11" s="795"/>
      <c r="O11" s="795"/>
    </row>
    <row r="12" spans="1:15" s="785" customFormat="1" ht="14.5" hidden="1" x14ac:dyDescent="0.35">
      <c r="A12" s="1243" t="s">
        <v>6</v>
      </c>
      <c r="B12" s="1243"/>
      <c r="C12" s="791" t="s">
        <v>23</v>
      </c>
      <c r="D12" s="796">
        <f>[3]LH!E8</f>
        <v>1</v>
      </c>
      <c r="E12" s="796"/>
      <c r="F12" s="793"/>
      <c r="I12" s="797"/>
      <c r="J12" s="795"/>
      <c r="O12" s="795"/>
    </row>
    <row r="13" spans="1:15" ht="14.5" x14ac:dyDescent="0.35">
      <c r="A13" s="798"/>
      <c r="B13" s="798"/>
      <c r="C13" s="209"/>
      <c r="I13" s="1240"/>
      <c r="J13" s="1240"/>
      <c r="O13" s="790"/>
    </row>
    <row r="14" spans="1:15" ht="28.5" customHeight="1" x14ac:dyDescent="0.35">
      <c r="A14" s="211" t="s">
        <v>259</v>
      </c>
      <c r="B14" s="212"/>
      <c r="C14" s="209"/>
      <c r="D14" s="1231" t="s">
        <v>260</v>
      </c>
      <c r="E14" s="1232"/>
      <c r="F14" s="213"/>
      <c r="I14" s="1233"/>
      <c r="J14" s="1233"/>
      <c r="O14" s="790"/>
    </row>
    <row r="15" spans="1:15" ht="14.5" x14ac:dyDescent="0.25">
      <c r="A15" s="214"/>
      <c r="B15" s="209"/>
      <c r="C15" s="209"/>
      <c r="D15" s="209"/>
      <c r="E15" s="209"/>
      <c r="I15" s="1234"/>
      <c r="J15" s="1234"/>
    </row>
    <row r="16" spans="1:15" s="785" customFormat="1" ht="42.75" customHeight="1" x14ac:dyDescent="0.3">
      <c r="A16" s="1235" t="s">
        <v>261</v>
      </c>
      <c r="B16" s="1235"/>
      <c r="C16" s="215" t="s">
        <v>23</v>
      </c>
      <c r="D16" s="1236" t="s">
        <v>407</v>
      </c>
      <c r="E16" s="1236"/>
      <c r="F16" s="1236"/>
      <c r="H16" s="799"/>
      <c r="I16" s="1237"/>
      <c r="J16" s="1238"/>
    </row>
    <row r="17" spans="1:10" ht="14.5" x14ac:dyDescent="0.35">
      <c r="A17" s="1226" t="str">
        <f>"Nama Ruang "</f>
        <v xml:space="preserve">Nama Ruang </v>
      </c>
      <c r="B17" s="1226"/>
      <c r="C17" s="210" t="s">
        <v>23</v>
      </c>
      <c r="D17" s="1228" t="str">
        <f>LH!E10</f>
        <v>UGD</v>
      </c>
      <c r="E17" s="1228"/>
      <c r="F17" s="1228"/>
      <c r="H17" s="1239"/>
      <c r="I17" s="1239"/>
      <c r="J17" s="1239"/>
    </row>
    <row r="18" spans="1:10" ht="14.5" x14ac:dyDescent="0.35">
      <c r="A18" s="1226" t="s">
        <v>10</v>
      </c>
      <c r="B18" s="1226"/>
      <c r="C18" s="210" t="s">
        <v>23</v>
      </c>
      <c r="D18" s="1230">
        <f>LH!E7</f>
        <v>43630</v>
      </c>
      <c r="E18" s="1230"/>
      <c r="F18" s="1230"/>
      <c r="H18" s="800"/>
      <c r="I18" s="800"/>
      <c r="J18" s="800"/>
    </row>
    <row r="19" spans="1:10" ht="14.25" customHeight="1" x14ac:dyDescent="0.25">
      <c r="A19" s="1226" t="str">
        <f>"Tanggal "&amp;B50</f>
        <v>Tanggal Kalibrasi</v>
      </c>
      <c r="B19" s="1226"/>
      <c r="C19" s="210" t="s">
        <v>23</v>
      </c>
      <c r="D19" s="1230" t="str">
        <f>LH!E8</f>
        <v>14 Juni 2019</v>
      </c>
      <c r="E19" s="1230"/>
      <c r="F19" s="1230"/>
    </row>
    <row r="20" spans="1:10" ht="14" x14ac:dyDescent="0.25">
      <c r="A20" s="1226" t="str">
        <f>"Penanggungjawab "&amp;B50</f>
        <v>Penanggungjawab Kalibrasi</v>
      </c>
      <c r="B20" s="1226"/>
      <c r="C20" s="210" t="s">
        <v>23</v>
      </c>
      <c r="D20" s="1226" t="str">
        <f>[4]ID!B59</f>
        <v>Septia Khairunnisa</v>
      </c>
      <c r="E20" s="1226"/>
      <c r="F20" s="1226"/>
    </row>
    <row r="21" spans="1:10" ht="14.5" x14ac:dyDescent="0.35">
      <c r="A21" s="1226" t="str">
        <f>"Lokasi "&amp;B50</f>
        <v>Lokasi Kalibrasi</v>
      </c>
      <c r="B21" s="1226"/>
      <c r="C21" s="210" t="s">
        <v>23</v>
      </c>
      <c r="D21" s="1228" t="str">
        <f>LH!E9</f>
        <v>UGD</v>
      </c>
      <c r="E21" s="1228"/>
      <c r="F21" s="1228"/>
      <c r="H21" s="801"/>
    </row>
    <row r="22" spans="1:10" ht="31.5" customHeight="1" x14ac:dyDescent="0.25">
      <c r="A22" s="1228" t="str">
        <f>"Hasil "&amp;B50</f>
        <v>Hasil Kalibrasi</v>
      </c>
      <c r="B22" s="1228"/>
      <c r="C22" s="216" t="s">
        <v>23</v>
      </c>
      <c r="D22" s="1229" t="s">
        <v>463</v>
      </c>
      <c r="E22" s="1229"/>
      <c r="F22" s="1229"/>
    </row>
    <row r="23" spans="1:10" ht="14" x14ac:dyDescent="0.25">
      <c r="A23" s="1226" t="s">
        <v>132</v>
      </c>
      <c r="B23" s="1226"/>
      <c r="C23" s="210" t="s">
        <v>23</v>
      </c>
      <c r="D23" s="1226" t="str">
        <f>D4</f>
        <v>MK 041 - 18</v>
      </c>
      <c r="E23" s="1226"/>
      <c r="F23" s="1226"/>
    </row>
    <row r="26" spans="1:10" ht="26.25" customHeight="1" x14ac:dyDescent="0.25">
      <c r="D26" s="217" t="s">
        <v>263</v>
      </c>
      <c r="E26" s="1227">
        <f ca="1">TODAY()</f>
        <v>45186</v>
      </c>
      <c r="F26" s="1227"/>
    </row>
    <row r="27" spans="1:10" ht="14" x14ac:dyDescent="0.25">
      <c r="D27" s="1226" t="s">
        <v>264</v>
      </c>
      <c r="E27" s="1226"/>
      <c r="F27" s="1226"/>
    </row>
    <row r="28" spans="1:10" ht="14" x14ac:dyDescent="0.25">
      <c r="D28" s="1226" t="s">
        <v>265</v>
      </c>
      <c r="E28" s="1226"/>
      <c r="F28" s="1226"/>
    </row>
    <row r="29" spans="1:10" ht="14" x14ac:dyDescent="0.25">
      <c r="D29" s="783"/>
      <c r="E29" s="783"/>
    </row>
    <row r="30" spans="1:10" ht="14" x14ac:dyDescent="0.25">
      <c r="D30" s="783"/>
      <c r="E30" s="783"/>
    </row>
    <row r="31" spans="1:10" ht="14" x14ac:dyDescent="0.25">
      <c r="D31" s="783"/>
      <c r="E31" s="783"/>
    </row>
    <row r="32" spans="1:10" ht="14" x14ac:dyDescent="0.25">
      <c r="D32" s="1226" t="s">
        <v>266</v>
      </c>
      <c r="E32" s="1226"/>
      <c r="F32" s="1226"/>
    </row>
    <row r="33" spans="1:6" ht="14" x14ac:dyDescent="0.25">
      <c r="D33" s="1225" t="s">
        <v>267</v>
      </c>
      <c r="E33" s="1225"/>
      <c r="F33" s="1225"/>
    </row>
    <row r="36" spans="1:6" ht="13" x14ac:dyDescent="0.25">
      <c r="A36" s="218"/>
      <c r="B36" s="218"/>
      <c r="C36" s="218"/>
      <c r="D36" s="218"/>
      <c r="E36" s="218"/>
      <c r="F36" s="218"/>
    </row>
    <row r="42" spans="1:6" ht="13" thickBot="1" x14ac:dyDescent="0.3"/>
    <row r="43" spans="1:6" ht="31.5" customHeight="1" x14ac:dyDescent="0.25">
      <c r="A43" s="256" t="s">
        <v>408</v>
      </c>
      <c r="B43" s="257" t="str">
        <f>MID([2]ID!I2,SEARCH("E - ",[2]ID!I2),LEN([2]ID!I2))</f>
        <v>E - 003.30 DL</v>
      </c>
    </row>
    <row r="44" spans="1:6" x14ac:dyDescent="0.25">
      <c r="A44" s="258"/>
      <c r="B44" s="259"/>
    </row>
    <row r="45" spans="1:6" ht="24" customHeight="1" x14ac:dyDescent="0.25">
      <c r="A45" s="260" t="s">
        <v>409</v>
      </c>
      <c r="B45" s="261" t="str">
        <f>[2]ID!A1</f>
        <v>INPUT DATA KALIBRASI ELECTROCARDIOGRAPH</v>
      </c>
    </row>
    <row r="46" spans="1:6" ht="39" customHeight="1" x14ac:dyDescent="0.25">
      <c r="A46" s="260" t="s">
        <v>410</v>
      </c>
      <c r="B46" s="262" t="str">
        <f>IF(B45="INPUT DATA KALIBRASI ELECTROCARDIOGRAPH",B47,B48)</f>
        <v>SERTIFIKAT KALIBRASI</v>
      </c>
    </row>
    <row r="47" spans="1:6" ht="22.5" customHeight="1" x14ac:dyDescent="0.25">
      <c r="A47" s="260" t="s">
        <v>411</v>
      </c>
      <c r="B47" s="259" t="s">
        <v>252</v>
      </c>
    </row>
    <row r="48" spans="1:6" x14ac:dyDescent="0.25">
      <c r="A48" s="258"/>
      <c r="B48" s="259" t="s">
        <v>412</v>
      </c>
    </row>
    <row r="49" spans="1:2" x14ac:dyDescent="0.25">
      <c r="A49" s="258"/>
      <c r="B49" s="259"/>
    </row>
    <row r="50" spans="1:2" ht="48" customHeight="1" x14ac:dyDescent="0.25">
      <c r="A50" s="260" t="s">
        <v>413</v>
      </c>
      <c r="B50" s="259" t="str">
        <f>IF(RIGHT(A2,10)=" KALIBRASI","Kalibrasi","Pengujian")</f>
        <v>Kalibrasi</v>
      </c>
    </row>
    <row r="51" spans="1:2" x14ac:dyDescent="0.25">
      <c r="A51" s="258"/>
      <c r="B51" s="259"/>
    </row>
    <row r="52" spans="1:2" s="264" customFormat="1" ht="34.5" customHeight="1" x14ac:dyDescent="0.3">
      <c r="A52" s="260" t="s">
        <v>414</v>
      </c>
      <c r="B52" s="263" t="s">
        <v>262</v>
      </c>
    </row>
    <row r="53" spans="1:2" x14ac:dyDescent="0.25">
      <c r="A53" s="258"/>
      <c r="B53" s="259"/>
    </row>
    <row r="54" spans="1:2" ht="50.25" customHeight="1" x14ac:dyDescent="0.3">
      <c r="A54" s="265" t="s">
        <v>415</v>
      </c>
      <c r="B54" s="266" t="e">
        <f>DATE(YEAR(D19)+1,MONTH(D19),DAY(D19))</f>
        <v>#VALUE!</v>
      </c>
    </row>
    <row r="55" spans="1:2" ht="27" customHeight="1" x14ac:dyDescent="0.25">
      <c r="A55" s="260" t="s">
        <v>416</v>
      </c>
      <c r="B55" s="802" t="e">
        <f>TEXT(B54,"d mmmm yyyy")</f>
        <v>#VALUE!</v>
      </c>
    </row>
    <row r="56" spans="1:2" x14ac:dyDescent="0.25">
      <c r="A56" s="258"/>
      <c r="B56" s="259"/>
    </row>
    <row r="57" spans="1:2" ht="30" customHeight="1" x14ac:dyDescent="0.3">
      <c r="A57" s="265" t="s">
        <v>417</v>
      </c>
      <c r="B57" s="267" t="e">
        <f>IF(B46=B47,B58,B59)</f>
        <v>#VALUE!</v>
      </c>
    </row>
    <row r="58" spans="1:2" ht="14" x14ac:dyDescent="0.3">
      <c r="A58" s="258" t="s">
        <v>418</v>
      </c>
      <c r="B58" s="268" t="e">
        <f>CONCATENATE(B60,B55)</f>
        <v>#VALUE!</v>
      </c>
    </row>
    <row r="59" spans="1:2" ht="14" x14ac:dyDescent="0.3">
      <c r="A59" s="258"/>
      <c r="B59" s="268" t="e">
        <f>CONCATENATE(B61,B55)</f>
        <v>#VALUE!</v>
      </c>
    </row>
    <row r="60" spans="1:2" ht="42" customHeight="1" x14ac:dyDescent="0.3">
      <c r="A60" s="269" t="s">
        <v>411</v>
      </c>
      <c r="B60" s="268" t="s">
        <v>419</v>
      </c>
    </row>
    <row r="61" spans="1:2" ht="39.75" customHeight="1" thickBot="1" x14ac:dyDescent="0.35">
      <c r="A61" s="270"/>
      <c r="B61" s="271" t="s">
        <v>420</v>
      </c>
    </row>
  </sheetData>
  <sheetProtection formatRows="0"/>
  <mergeCells count="44">
    <mergeCell ref="D6:E6"/>
    <mergeCell ref="A2:F2"/>
    <mergeCell ref="I2:J2"/>
    <mergeCell ref="A3:F3"/>
    <mergeCell ref="D4:F4"/>
    <mergeCell ref="H5:J5"/>
    <mergeCell ref="I13:J13"/>
    <mergeCell ref="A8:B8"/>
    <mergeCell ref="D8:F8"/>
    <mergeCell ref="I8:J8"/>
    <mergeCell ref="A9:B9"/>
    <mergeCell ref="D9:F9"/>
    <mergeCell ref="I9:J9"/>
    <mergeCell ref="A10:B10"/>
    <mergeCell ref="D10:F10"/>
    <mergeCell ref="I10:J10"/>
    <mergeCell ref="A11:B11"/>
    <mergeCell ref="A12:B12"/>
    <mergeCell ref="A19:B19"/>
    <mergeCell ref="D19:F19"/>
    <mergeCell ref="D14:E14"/>
    <mergeCell ref="I14:J14"/>
    <mergeCell ref="I15:J15"/>
    <mergeCell ref="A16:B16"/>
    <mergeCell ref="D16:F16"/>
    <mergeCell ref="I16:J16"/>
    <mergeCell ref="A17:B17"/>
    <mergeCell ref="D17:F17"/>
    <mergeCell ref="H17:J17"/>
    <mergeCell ref="A18:B18"/>
    <mergeCell ref="D18:F18"/>
    <mergeCell ref="A20:B20"/>
    <mergeCell ref="D20:F20"/>
    <mergeCell ref="A21:B21"/>
    <mergeCell ref="D21:F21"/>
    <mergeCell ref="A22:B22"/>
    <mergeCell ref="D22:F22"/>
    <mergeCell ref="D33:F33"/>
    <mergeCell ref="A23:B23"/>
    <mergeCell ref="D23:F23"/>
    <mergeCell ref="E26:F26"/>
    <mergeCell ref="D27:F27"/>
    <mergeCell ref="D28:F28"/>
    <mergeCell ref="D32:F32"/>
  </mergeCells>
  <dataValidations count="3">
    <dataValidation type="list" allowBlank="1" showInputMessage="1" showErrorMessage="1" sqref="A2:F2" xr:uid="{37ABB583-9E0F-4AF2-9737-E7B5BD4693AF}">
      <formula1>"SERTIFIKAT KALIBRASI,SERTIFIKAT PENGUJIAN"</formula1>
    </dataValidation>
    <dataValidation type="list" allowBlank="1" showInputMessage="1" showErrorMessage="1" sqref="J11" xr:uid="{85749686-7326-4B95-8704-BF45562D9249}">
      <formula1>$M$2:$M$22</formula1>
    </dataValidation>
    <dataValidation type="list" allowBlank="1" showInputMessage="1" showErrorMessage="1" sqref="J12" xr:uid="{39D18D3C-C380-4CBB-9079-029DCC601BE2}">
      <formula1>$O$9:$O$14</formula1>
    </dataValidation>
  </dataValidations>
  <pageMargins left="0.6" right="0.3" top="1.57" bottom="0" header="0.5" footer="0.6"/>
  <pageSetup paperSize="9" orientation="portrait" horizontalDpi="0" verticalDpi="0" r:id="rId1"/>
  <headerFooter>
    <oddFooter>&amp;L&amp;"Times New Roman,Bold"Sertifikat ini terdiri dari 2 halaman</oddFoot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5:R84"/>
  <sheetViews>
    <sheetView tabSelected="1" topLeftCell="D48" zoomScale="111" zoomScaleNormal="150" workbookViewId="0">
      <selection activeCell="K58" sqref="K58"/>
    </sheetView>
  </sheetViews>
  <sheetFormatPr defaultColWidth="8.6328125" defaultRowHeight="12.5" x14ac:dyDescent="0.25"/>
  <cols>
    <col min="1" max="1" width="8.6328125" style="220"/>
    <col min="2" max="2" width="10.54296875" style="220" customWidth="1"/>
    <col min="3" max="3" width="13.08984375" style="220" customWidth="1"/>
    <col min="4" max="4" width="9.90625" style="220" bestFit="1" customWidth="1"/>
    <col min="5" max="5" width="9.6328125" style="220" bestFit="1" customWidth="1"/>
    <col min="6" max="7" width="11.36328125" style="220" customWidth="1"/>
    <col min="8" max="8" width="10.90625" style="220" customWidth="1"/>
    <col min="9" max="9" width="11.453125" style="220" customWidth="1"/>
    <col min="10" max="10" width="10.90625" style="220" customWidth="1"/>
    <col min="11" max="11" width="10.08984375" style="220" customWidth="1"/>
    <col min="12" max="12" width="10.453125" style="220" customWidth="1"/>
    <col min="13" max="13" width="10.08984375" style="220" customWidth="1"/>
    <col min="14" max="14" width="10.90625" style="220" customWidth="1"/>
    <col min="15" max="16384" width="8.6328125" style="220"/>
  </cols>
  <sheetData>
    <row r="5" spans="2:14" ht="23" thickBot="1" x14ac:dyDescent="0.5">
      <c r="B5" s="219" t="s">
        <v>394</v>
      </c>
    </row>
    <row r="6" spans="2:14" ht="13" thickBot="1" x14ac:dyDescent="0.3">
      <c r="B6" s="221"/>
      <c r="C6" s="222"/>
      <c r="D6" s="222"/>
      <c r="E6" s="222"/>
      <c r="F6" s="222"/>
      <c r="G6" s="222"/>
      <c r="H6" s="222"/>
      <c r="I6" s="222"/>
      <c r="J6" s="222"/>
      <c r="K6" s="222"/>
      <c r="L6" s="222"/>
      <c r="M6" s="222"/>
      <c r="N6" s="223"/>
    </row>
    <row r="7" spans="2:14" ht="39.9" customHeight="1" thickBot="1" x14ac:dyDescent="0.35">
      <c r="B7" s="224">
        <f>'DATA SERTIFIKAT(BPM)'!A92</f>
        <v>5</v>
      </c>
      <c r="C7" s="1254" t="str">
        <f>'DATA SERTIFIKAT(BPM)'!B92</f>
        <v>SPO₂ Simulator, Merek : Fluke, Model : SPOT LIGHT, SN : 4404040</v>
      </c>
      <c r="D7" s="1254"/>
      <c r="E7" s="1254"/>
      <c r="I7" s="1251" t="s">
        <v>395</v>
      </c>
      <c r="J7" s="1252"/>
      <c r="K7" s="1252"/>
      <c r="L7" s="1252"/>
      <c r="M7" s="1253"/>
      <c r="N7" s="225"/>
    </row>
    <row r="8" spans="2:14" x14ac:dyDescent="0.25">
      <c r="B8" s="226"/>
      <c r="C8" s="227" t="s">
        <v>9</v>
      </c>
      <c r="D8" s="228" t="s">
        <v>164</v>
      </c>
      <c r="N8" s="229"/>
    </row>
    <row r="9" spans="2:14" x14ac:dyDescent="0.25">
      <c r="B9" s="226"/>
      <c r="C9" s="278">
        <v>1.0000000000000001E-5</v>
      </c>
      <c r="D9" s="278">
        <v>1.0000000000000001E-5</v>
      </c>
      <c r="N9" s="229"/>
    </row>
    <row r="10" spans="2:14" x14ac:dyDescent="0.25">
      <c r="B10" s="226"/>
      <c r="C10" s="317">
        <v>30</v>
      </c>
      <c r="D10" s="278">
        <v>1.0000000000000001E-5</v>
      </c>
      <c r="I10" s="230"/>
      <c r="J10" s="231"/>
      <c r="K10" s="231"/>
      <c r="N10" s="229"/>
    </row>
    <row r="11" spans="2:14" x14ac:dyDescent="0.25">
      <c r="B11" s="226"/>
      <c r="C11" s="317">
        <v>60</v>
      </c>
      <c r="D11" s="278">
        <v>1.0000000000000001E-5</v>
      </c>
      <c r="I11" s="220" t="s">
        <v>396</v>
      </c>
      <c r="K11" s="231"/>
      <c r="N11" s="229"/>
    </row>
    <row r="12" spans="2:14" ht="12.9" customHeight="1" x14ac:dyDescent="0.25">
      <c r="B12" s="226"/>
      <c r="C12" s="339">
        <v>120</v>
      </c>
      <c r="D12" s="278">
        <v>1.0000000000000001E-5</v>
      </c>
      <c r="I12" s="228" t="s">
        <v>9</v>
      </c>
      <c r="J12" s="232" t="s">
        <v>397</v>
      </c>
      <c r="K12" s="233" t="s">
        <v>164</v>
      </c>
      <c r="L12" s="234" t="s">
        <v>287</v>
      </c>
      <c r="M12" s="228" t="s">
        <v>164</v>
      </c>
      <c r="N12" s="229"/>
    </row>
    <row r="13" spans="2:14" ht="14.5" x14ac:dyDescent="0.35">
      <c r="B13" s="226"/>
      <c r="C13" s="318">
        <v>240</v>
      </c>
      <c r="D13" s="278">
        <v>1.0000000000000001E-5</v>
      </c>
      <c r="I13" s="317">
        <v>30</v>
      </c>
      <c r="J13" s="313">
        <f>ID!K82</f>
        <v>30</v>
      </c>
      <c r="K13" s="313">
        <f>FORECAST(J13,$D$9:$D$14,$C$9:$C$14)</f>
        <v>1.0000000000000001E-5</v>
      </c>
      <c r="L13" s="313">
        <f>J13+K13</f>
        <v>30.00001</v>
      </c>
      <c r="M13" s="313">
        <f>L13-I13</f>
        <v>9.9999999996214228E-6</v>
      </c>
      <c r="N13" s="229"/>
    </row>
    <row r="14" spans="2:14" x14ac:dyDescent="0.25">
      <c r="B14" s="226"/>
      <c r="C14" s="317">
        <v>250</v>
      </c>
      <c r="D14" s="278">
        <v>1.0000000000000001E-5</v>
      </c>
      <c r="I14" s="317">
        <v>60</v>
      </c>
      <c r="J14" s="313">
        <f>ID!K83</f>
        <v>60</v>
      </c>
      <c r="K14" s="313">
        <f t="shared" ref="K14:K16" si="0">FORECAST(J14,$D$9:$D$14,$C$9:$C$14)</f>
        <v>1.0000000000000001E-5</v>
      </c>
      <c r="L14" s="313">
        <f t="shared" ref="L14:L16" si="1">J14+K14</f>
        <v>60.000010000000003</v>
      </c>
      <c r="M14" s="313">
        <f t="shared" ref="M14:M16" si="2">L14-I14</f>
        <v>1.0000000003174137E-5</v>
      </c>
      <c r="N14" s="229"/>
    </row>
    <row r="15" spans="2:14" ht="14.5" x14ac:dyDescent="0.35">
      <c r="B15" s="226"/>
      <c r="C15" s="230"/>
      <c r="D15" s="231"/>
      <c r="I15" s="318">
        <v>120</v>
      </c>
      <c r="J15" s="313">
        <f>ID!K84</f>
        <v>120</v>
      </c>
      <c r="K15" s="313">
        <f t="shared" si="0"/>
        <v>1.0000000000000001E-5</v>
      </c>
      <c r="L15" s="313">
        <f t="shared" si="1"/>
        <v>120.00001</v>
      </c>
      <c r="M15" s="313">
        <f t="shared" si="2"/>
        <v>1.0000000003174137E-5</v>
      </c>
      <c r="N15" s="229"/>
    </row>
    <row r="16" spans="2:14" ht="14.5" x14ac:dyDescent="0.35">
      <c r="B16" s="226"/>
      <c r="C16" s="227" t="s">
        <v>398</v>
      </c>
      <c r="D16" s="228" t="s">
        <v>164</v>
      </c>
      <c r="I16" s="318">
        <v>240</v>
      </c>
      <c r="J16" s="313">
        <f>ID!K85</f>
        <v>240</v>
      </c>
      <c r="K16" s="313">
        <f t="shared" si="0"/>
        <v>1.0000000000000001E-5</v>
      </c>
      <c r="L16" s="313">
        <f t="shared" si="1"/>
        <v>240.00001</v>
      </c>
      <c r="M16" s="313">
        <f t="shared" si="2"/>
        <v>1.0000000003174137E-5</v>
      </c>
      <c r="N16" s="229"/>
    </row>
    <row r="17" spans="2:14" ht="14.5" x14ac:dyDescent="0.35">
      <c r="B17" s="226"/>
      <c r="C17" s="324">
        <v>101</v>
      </c>
      <c r="D17" s="278">
        <v>1.0000000000000001E-5</v>
      </c>
      <c r="I17" s="314"/>
      <c r="J17" s="231"/>
      <c r="K17" s="272"/>
      <c r="L17" s="272"/>
      <c r="N17" s="229"/>
    </row>
    <row r="18" spans="2:14" ht="15.5" x14ac:dyDescent="0.25">
      <c r="B18" s="226"/>
      <c r="C18" s="342">
        <v>100</v>
      </c>
      <c r="D18" s="278">
        <v>1.0000000000000001E-5</v>
      </c>
      <c r="I18" s="230"/>
      <c r="J18" s="231"/>
      <c r="K18" s="235"/>
      <c r="L18" s="235"/>
      <c r="N18" s="229"/>
    </row>
    <row r="19" spans="2:14" ht="15.5" x14ac:dyDescent="0.25">
      <c r="B19" s="226"/>
      <c r="C19" s="342">
        <v>99</v>
      </c>
      <c r="D19" s="278">
        <v>1.0000000000000001E-5</v>
      </c>
      <c r="I19" s="227" t="s">
        <v>398</v>
      </c>
      <c r="J19" s="228" t="s">
        <v>399</v>
      </c>
      <c r="K19" s="233" t="s">
        <v>164</v>
      </c>
      <c r="L19" s="233" t="s">
        <v>287</v>
      </c>
      <c r="M19" s="228" t="s">
        <v>164</v>
      </c>
      <c r="N19" s="229"/>
    </row>
    <row r="20" spans="2:14" ht="15.5" x14ac:dyDescent="0.35">
      <c r="B20" s="226"/>
      <c r="C20" s="343">
        <v>98</v>
      </c>
      <c r="D20" s="278">
        <v>1.0000000000000001E-5</v>
      </c>
      <c r="I20" s="315">
        <v>100</v>
      </c>
      <c r="J20" s="313">
        <f>ID!K89</f>
        <v>99</v>
      </c>
      <c r="K20" s="313">
        <f>FORECAST(J20,$D$17:$D$25,$C$17:$C$25)</f>
        <v>1.0000000000000001E-5</v>
      </c>
      <c r="L20" s="313">
        <f>J20+K20</f>
        <v>99.000010000000003</v>
      </c>
      <c r="M20" s="324">
        <f>L20-I20</f>
        <v>-0.99998999999999683</v>
      </c>
    </row>
    <row r="21" spans="2:14" ht="15.5" x14ac:dyDescent="0.35">
      <c r="B21" s="226"/>
      <c r="C21" s="343">
        <v>97</v>
      </c>
      <c r="D21" s="278">
        <v>1.0000000000000001E-5</v>
      </c>
      <c r="I21" s="315">
        <v>99</v>
      </c>
      <c r="J21" s="313">
        <f>ID!K90</f>
        <v>99</v>
      </c>
      <c r="K21" s="313">
        <f t="shared" ref="K21:K26" si="3">FORECAST(J21,$D$17:$D$25,$C$17:$C$25)</f>
        <v>1.0000000000000001E-5</v>
      </c>
      <c r="L21" s="313">
        <f t="shared" ref="L21:L26" si="4">J21+K21</f>
        <v>99.000010000000003</v>
      </c>
      <c r="M21" s="324">
        <f t="shared" ref="M21:M26" si="5">L21-I21</f>
        <v>1.0000000003174137E-5</v>
      </c>
      <c r="N21" s="229"/>
    </row>
    <row r="22" spans="2:14" ht="15.5" x14ac:dyDescent="0.35">
      <c r="B22" s="226"/>
      <c r="C22" s="343">
        <v>95</v>
      </c>
      <c r="D22" s="278">
        <v>1.0000000000000001E-5</v>
      </c>
      <c r="I22" s="316">
        <v>98</v>
      </c>
      <c r="J22" s="313">
        <f>ID!K91</f>
        <v>98</v>
      </c>
      <c r="K22" s="313">
        <f t="shared" si="3"/>
        <v>1.0000000000000001E-5</v>
      </c>
      <c r="L22" s="313">
        <f t="shared" si="4"/>
        <v>98.000010000000003</v>
      </c>
      <c r="M22" s="324">
        <f t="shared" si="5"/>
        <v>1.0000000003174137E-5</v>
      </c>
      <c r="N22" s="229"/>
    </row>
    <row r="23" spans="2:14" ht="15.5" x14ac:dyDescent="0.35">
      <c r="B23" s="226"/>
      <c r="C23" s="343">
        <v>90</v>
      </c>
      <c r="D23" s="278">
        <v>1.0000000000000001E-5</v>
      </c>
      <c r="I23" s="316">
        <v>97</v>
      </c>
      <c r="J23" s="313">
        <f>ID!K92</f>
        <v>97</v>
      </c>
      <c r="K23" s="313">
        <f t="shared" si="3"/>
        <v>1.0000000000000001E-5</v>
      </c>
      <c r="L23" s="313">
        <f t="shared" si="4"/>
        <v>97.000010000000003</v>
      </c>
      <c r="M23" s="324">
        <f t="shared" si="5"/>
        <v>1.0000000003174137E-5</v>
      </c>
      <c r="N23" s="229"/>
    </row>
    <row r="24" spans="2:14" ht="15.5" x14ac:dyDescent="0.35">
      <c r="B24" s="226"/>
      <c r="C24" s="343">
        <v>85</v>
      </c>
      <c r="D24" s="278">
        <v>1.0000000000000001E-5</v>
      </c>
      <c r="I24" s="316">
        <v>95</v>
      </c>
      <c r="J24" s="313">
        <f>ID!K93</f>
        <v>95</v>
      </c>
      <c r="K24" s="313">
        <f t="shared" si="3"/>
        <v>1.0000000000000001E-5</v>
      </c>
      <c r="L24" s="313">
        <f t="shared" si="4"/>
        <v>95.000010000000003</v>
      </c>
      <c r="M24" s="324">
        <f t="shared" si="5"/>
        <v>1.0000000003174137E-5</v>
      </c>
      <c r="N24" s="229"/>
    </row>
    <row r="25" spans="2:14" ht="15.5" x14ac:dyDescent="0.35">
      <c r="B25" s="226"/>
      <c r="C25" s="278">
        <v>80</v>
      </c>
      <c r="D25" s="278">
        <v>1.0000000000000001E-5</v>
      </c>
      <c r="I25" s="316">
        <v>90</v>
      </c>
      <c r="J25" s="313">
        <f>ID!K94</f>
        <v>90</v>
      </c>
      <c r="K25" s="313">
        <f t="shared" si="3"/>
        <v>1.0000000000000001E-5</v>
      </c>
      <c r="L25" s="313">
        <f t="shared" si="4"/>
        <v>90.000010000000003</v>
      </c>
      <c r="M25" s="324">
        <f t="shared" si="5"/>
        <v>1.0000000003174137E-5</v>
      </c>
      <c r="N25" s="229"/>
    </row>
    <row r="26" spans="2:14" ht="15.5" x14ac:dyDescent="0.35">
      <c r="B26" s="226"/>
      <c r="I26" s="316">
        <v>85</v>
      </c>
      <c r="J26" s="313">
        <f>ID!K95</f>
        <v>85</v>
      </c>
      <c r="K26" s="313">
        <f t="shared" si="3"/>
        <v>1.0000000000000001E-5</v>
      </c>
      <c r="L26" s="313">
        <f t="shared" si="4"/>
        <v>85.000010000000003</v>
      </c>
      <c r="M26" s="324">
        <f t="shared" si="5"/>
        <v>1.0000000003174137E-5</v>
      </c>
      <c r="N26" s="229"/>
    </row>
    <row r="27" spans="2:14" x14ac:dyDescent="0.25">
      <c r="B27" s="226"/>
      <c r="I27" s="230"/>
      <c r="J27" s="231"/>
      <c r="K27" s="235"/>
      <c r="L27" s="235"/>
      <c r="N27" s="229"/>
    </row>
    <row r="28" spans="2:14" x14ac:dyDescent="0.25">
      <c r="B28" s="226"/>
      <c r="I28" s="230"/>
      <c r="J28" s="231"/>
      <c r="K28" s="235"/>
      <c r="L28" s="235"/>
      <c r="N28" s="229"/>
    </row>
    <row r="29" spans="2:14" x14ac:dyDescent="0.25">
      <c r="B29" s="226"/>
      <c r="I29" s="230"/>
      <c r="J29" s="231"/>
      <c r="K29" s="235"/>
      <c r="L29" s="235"/>
      <c r="N29" s="229"/>
    </row>
    <row r="30" spans="2:14" x14ac:dyDescent="0.25">
      <c r="B30" s="226"/>
      <c r="I30" s="230"/>
      <c r="J30" s="231"/>
      <c r="K30" s="235"/>
      <c r="L30" s="235"/>
      <c r="N30" s="229"/>
    </row>
    <row r="31" spans="2:14" x14ac:dyDescent="0.25">
      <c r="B31" s="226"/>
      <c r="N31" s="229"/>
    </row>
    <row r="32" spans="2:14" ht="13" thickBot="1" x14ac:dyDescent="0.3">
      <c r="B32" s="236"/>
      <c r="C32" s="237"/>
      <c r="D32" s="237"/>
      <c r="E32" s="237"/>
      <c r="F32" s="237"/>
      <c r="G32" s="237"/>
      <c r="H32" s="237"/>
      <c r="I32" s="237"/>
      <c r="J32" s="237"/>
      <c r="K32" s="237"/>
      <c r="L32" s="237"/>
      <c r="M32" s="237"/>
      <c r="N32" s="238"/>
    </row>
    <row r="34" spans="2:18" ht="25.5" thickBot="1" x14ac:dyDescent="0.55000000000000004">
      <c r="B34" s="239"/>
    </row>
    <row r="35" spans="2:18" ht="13" thickBot="1" x14ac:dyDescent="0.3">
      <c r="B35" s="221"/>
      <c r="C35" s="222"/>
      <c r="D35" s="222"/>
      <c r="E35" s="222"/>
      <c r="F35" s="222"/>
      <c r="G35" s="222"/>
      <c r="H35" s="222"/>
      <c r="I35" s="222"/>
      <c r="J35" s="222"/>
      <c r="K35" s="222"/>
      <c r="L35" s="222"/>
      <c r="M35" s="222"/>
      <c r="N35" s="222"/>
      <c r="O35" s="222"/>
      <c r="P35" s="222"/>
      <c r="Q35" s="222"/>
      <c r="R35" s="223"/>
    </row>
    <row r="36" spans="2:18" ht="45.9" customHeight="1" thickBot="1" x14ac:dyDescent="0.3">
      <c r="B36" s="240"/>
      <c r="C36" s="1255"/>
      <c r="D36" s="1255"/>
      <c r="E36" s="1255"/>
      <c r="I36" s="1251"/>
      <c r="J36" s="1252"/>
      <c r="K36" s="1252"/>
      <c r="L36" s="1252"/>
      <c r="M36" s="1252"/>
      <c r="N36" s="1252"/>
      <c r="O36" s="1252"/>
      <c r="P36" s="1252"/>
      <c r="Q36" s="1253"/>
      <c r="R36" s="229"/>
    </row>
    <row r="37" spans="2:18" x14ac:dyDescent="0.25">
      <c r="B37" s="226"/>
      <c r="R37" s="229"/>
    </row>
    <row r="38" spans="2:18" ht="13" x14ac:dyDescent="0.3">
      <c r="B38" s="226"/>
      <c r="C38" s="241"/>
      <c r="F38" s="241"/>
      <c r="I38" s="1256"/>
      <c r="J38" s="1256"/>
      <c r="K38" s="1256"/>
      <c r="L38" s="1256"/>
      <c r="M38" s="1256"/>
      <c r="N38" s="1256"/>
      <c r="O38" s="1256"/>
      <c r="P38" s="1256"/>
      <c r="Q38" s="1256"/>
      <c r="R38" s="229"/>
    </row>
    <row r="39" spans="2:18" x14ac:dyDescent="0.25">
      <c r="B39" s="226"/>
      <c r="C39" s="228"/>
      <c r="D39" s="228"/>
      <c r="F39" s="228"/>
      <c r="G39" s="228"/>
      <c r="I39" s="228"/>
      <c r="J39" s="228"/>
      <c r="K39" s="228"/>
      <c r="L39" s="228"/>
      <c r="N39" s="228"/>
      <c r="O39" s="228"/>
      <c r="P39" s="228"/>
      <c r="Q39" s="228"/>
      <c r="R39" s="229"/>
    </row>
    <row r="40" spans="2:18" x14ac:dyDescent="0.25">
      <c r="B40" s="226"/>
      <c r="C40" s="345"/>
      <c r="D40" s="278"/>
      <c r="F40" s="344"/>
      <c r="G40" s="233"/>
      <c r="I40" s="242"/>
      <c r="J40" s="242"/>
      <c r="K40" s="242"/>
      <c r="L40" s="242"/>
      <c r="M40" s="253"/>
      <c r="N40" s="242"/>
      <c r="O40" s="242"/>
      <c r="P40" s="242"/>
      <c r="Q40" s="242"/>
      <c r="R40" s="229"/>
    </row>
    <row r="41" spans="2:18" x14ac:dyDescent="0.25">
      <c r="B41" s="226"/>
      <c r="C41" s="345"/>
      <c r="D41" s="278"/>
      <c r="F41" s="344"/>
      <c r="G41" s="233"/>
      <c r="I41" s="243"/>
      <c r="R41" s="229"/>
    </row>
    <row r="42" spans="2:18" x14ac:dyDescent="0.25">
      <c r="B42" s="226"/>
      <c r="C42" s="345"/>
      <c r="D42" s="278"/>
      <c r="F42" s="344"/>
      <c r="G42" s="233"/>
      <c r="I42" s="244"/>
      <c r="R42" s="229"/>
    </row>
    <row r="43" spans="2:18" x14ac:dyDescent="0.25">
      <c r="B43" s="226"/>
      <c r="C43" s="345"/>
      <c r="D43" s="278"/>
      <c r="F43" s="346"/>
      <c r="G43" s="233"/>
      <c r="I43" s="244"/>
      <c r="R43" s="229"/>
    </row>
    <row r="44" spans="2:18" x14ac:dyDescent="0.25">
      <c r="B44" s="226"/>
      <c r="C44" s="345"/>
      <c r="D44" s="278"/>
      <c r="F44" s="346"/>
      <c r="G44" s="233"/>
      <c r="I44" s="244"/>
      <c r="R44" s="229"/>
    </row>
    <row r="45" spans="2:18" x14ac:dyDescent="0.25">
      <c r="B45" s="226"/>
      <c r="C45" s="345"/>
      <c r="D45" s="278"/>
      <c r="F45" s="346"/>
      <c r="G45" s="233"/>
      <c r="I45" s="243"/>
      <c r="R45" s="229"/>
    </row>
    <row r="46" spans="2:18" ht="15.5" x14ac:dyDescent="0.25">
      <c r="B46" s="226"/>
      <c r="C46" s="345"/>
      <c r="D46" s="278"/>
      <c r="F46" s="346"/>
      <c r="G46" s="233"/>
      <c r="I46" s="37"/>
      <c r="J46" s="37"/>
      <c r="K46" s="38"/>
      <c r="M46" s="334"/>
      <c r="N46" s="347"/>
      <c r="O46" s="334"/>
      <c r="R46" s="229"/>
    </row>
    <row r="47" spans="2:18" ht="15.5" x14ac:dyDescent="0.25">
      <c r="B47" s="226"/>
      <c r="I47" s="37"/>
      <c r="J47" s="37"/>
      <c r="K47" s="38"/>
      <c r="M47" s="334"/>
      <c r="N47" s="347"/>
      <c r="O47" s="334"/>
      <c r="R47" s="229"/>
    </row>
    <row r="48" spans="2:18" ht="15.5" x14ac:dyDescent="0.3">
      <c r="B48" s="226"/>
      <c r="I48" s="39"/>
      <c r="J48" s="40"/>
      <c r="K48" s="40"/>
      <c r="R48" s="229"/>
    </row>
    <row r="49" spans="2:18" ht="13" thickBot="1" x14ac:dyDescent="0.3">
      <c r="B49" s="236"/>
      <c r="C49" s="237"/>
      <c r="D49" s="237"/>
      <c r="E49" s="237"/>
      <c r="F49" s="237"/>
      <c r="G49" s="237"/>
      <c r="H49" s="237"/>
      <c r="I49" s="237"/>
      <c r="J49" s="237"/>
      <c r="K49" s="237"/>
      <c r="L49" s="237"/>
      <c r="M49" s="237"/>
      <c r="N49" s="237"/>
      <c r="O49" s="237"/>
      <c r="P49" s="237"/>
      <c r="Q49" s="237"/>
      <c r="R49" s="238"/>
    </row>
    <row r="51" spans="2:18" ht="25.5" thickBot="1" x14ac:dyDescent="0.55000000000000004">
      <c r="B51" s="239" t="s">
        <v>32</v>
      </c>
    </row>
    <row r="52" spans="2:18" ht="13" thickBot="1" x14ac:dyDescent="0.3">
      <c r="B52" s="221"/>
      <c r="C52" s="222"/>
      <c r="D52" s="222"/>
      <c r="E52" s="222"/>
      <c r="F52" s="222"/>
      <c r="G52" s="222"/>
      <c r="H52" s="222"/>
      <c r="I52" s="222"/>
      <c r="J52" s="222"/>
      <c r="K52" s="222"/>
      <c r="L52" s="223"/>
    </row>
    <row r="53" spans="2:18" ht="30" thickBot="1" x14ac:dyDescent="0.3">
      <c r="B53" s="245">
        <f>'DB ESA'!A195</f>
        <v>4</v>
      </c>
      <c r="C53" s="1250" t="str">
        <f>'DB ESA'!B195</f>
        <v>Electrical Safety Analyzer, Merek : Fluke, Model : ESA 615, SN : 2853078</v>
      </c>
      <c r="D53" s="1250"/>
      <c r="E53" s="1250"/>
      <c r="F53" s="1250"/>
      <c r="H53" s="1251" t="s">
        <v>395</v>
      </c>
      <c r="I53" s="1252"/>
      <c r="J53" s="1252"/>
      <c r="K53" s="1253"/>
      <c r="L53" s="246"/>
      <c r="M53" s="247"/>
      <c r="N53" s="247"/>
      <c r="O53" s="247"/>
      <c r="P53" s="247"/>
    </row>
    <row r="54" spans="2:18" x14ac:dyDescent="0.25">
      <c r="B54" s="226"/>
      <c r="L54" s="229"/>
    </row>
    <row r="55" spans="2:18" ht="26.4" customHeight="1" x14ac:dyDescent="0.25">
      <c r="B55" s="226"/>
      <c r="C55" s="248" t="s">
        <v>400</v>
      </c>
      <c r="D55" s="228" t="s">
        <v>164</v>
      </c>
      <c r="E55" s="228" t="s">
        <v>167</v>
      </c>
      <c r="H55" s="234" t="s">
        <v>285</v>
      </c>
      <c r="I55" s="228" t="s">
        <v>164</v>
      </c>
      <c r="J55" s="228" t="s">
        <v>401</v>
      </c>
      <c r="K55" s="228" t="s">
        <v>287</v>
      </c>
      <c r="L55" s="231"/>
    </row>
    <row r="56" spans="2:18" ht="15.5" x14ac:dyDescent="0.35">
      <c r="B56" s="226"/>
      <c r="C56" s="348">
        <v>150</v>
      </c>
      <c r="D56" s="313">
        <f>'DB ESA'!C199</f>
        <v>0.11</v>
      </c>
      <c r="E56" s="323">
        <f>'DB ESA'!E199</f>
        <v>0.47</v>
      </c>
      <c r="F56" s="322"/>
      <c r="H56" s="316">
        <f>ID!E17</f>
        <v>220.5</v>
      </c>
      <c r="I56" s="316">
        <f>FORECAST(H56,D56:D61,C56:C61)</f>
        <v>0.11830434440203562</v>
      </c>
      <c r="J56" s="316">
        <f>H56+I56</f>
        <v>220.61830434440205</v>
      </c>
      <c r="K56" s="316">
        <f>IF(H56="-","-",J56)</f>
        <v>220.61830434440205</v>
      </c>
      <c r="L56" s="231"/>
    </row>
    <row r="57" spans="2:18" ht="15.5" x14ac:dyDescent="0.35">
      <c r="B57" s="226"/>
      <c r="C57" s="349">
        <v>180</v>
      </c>
      <c r="D57" s="313">
        <f>'DB ESA'!C200</f>
        <v>0.03</v>
      </c>
      <c r="E57" s="323">
        <f>'DB ESA'!E200</f>
        <v>0.47</v>
      </c>
      <c r="F57" s="322"/>
      <c r="H57" s="316" t="str">
        <f>ID!K26</f>
        <v>OL</v>
      </c>
      <c r="I57" s="316" t="e">
        <f>FORECAST(H57,D64:D67,C64:C67)</f>
        <v>#VALUE!</v>
      </c>
      <c r="J57" s="316" t="e">
        <f t="shared" ref="J57:J60" si="6">H57+I57</f>
        <v>#VALUE!</v>
      </c>
      <c r="K57" s="316" t="str">
        <f>IF(H57="OL","OL",IF(H57="NC","NC",IF(H57="OR","OR",IFERROR(J57,"-"))))</f>
        <v>OL</v>
      </c>
      <c r="L57" s="231"/>
    </row>
    <row r="58" spans="2:18" ht="15.5" x14ac:dyDescent="0.35">
      <c r="B58" s="226"/>
      <c r="C58" s="349">
        <v>200</v>
      </c>
      <c r="D58" s="313">
        <f>'DB ESA'!C201</f>
        <v>0.05</v>
      </c>
      <c r="E58" s="323">
        <f>'DB ESA'!E201</f>
        <v>0.47</v>
      </c>
      <c r="F58" s="322"/>
      <c r="H58" s="316">
        <f>ID!K27</f>
        <v>0.123</v>
      </c>
      <c r="I58" s="316">
        <f>FORECAST(H58,D70:D73,C70:C73)</f>
        <v>-1.9301247745532056E-4</v>
      </c>
      <c r="J58" s="316">
        <f t="shared" si="6"/>
        <v>0.12280698752254468</v>
      </c>
      <c r="K58" s="1391">
        <f>IF(H58="OL","OL",IF(H58="NC","NC",IF(H58="OR","OR",IFERROR(J58,"-"))))</f>
        <v>0.12280698752254468</v>
      </c>
      <c r="L58" s="231"/>
    </row>
    <row r="59" spans="2:18" ht="15.5" x14ac:dyDescent="0.35">
      <c r="B59" s="226"/>
      <c r="C59" s="349">
        <v>220</v>
      </c>
      <c r="D59" s="313">
        <f>'DB ESA'!C202</f>
        <v>0.1</v>
      </c>
      <c r="E59" s="323">
        <f>'DB ESA'!E202</f>
        <v>0.47</v>
      </c>
      <c r="F59" s="322"/>
      <c r="G59" s="250" t="s">
        <v>288</v>
      </c>
      <c r="H59" s="316">
        <f>ID!K28</f>
        <v>120</v>
      </c>
      <c r="I59" s="316">
        <f>FORECAST(H59,$D$78:$D$83,$C$78:$C$83)</f>
        <v>0.71352466260671599</v>
      </c>
      <c r="J59" s="316">
        <f t="shared" si="6"/>
        <v>120.71352466260672</v>
      </c>
      <c r="K59" s="316">
        <f>IF(H59="-","-",J59)</f>
        <v>120.71352466260672</v>
      </c>
      <c r="L59" s="231"/>
    </row>
    <row r="60" spans="2:18" ht="15.5" x14ac:dyDescent="0.35">
      <c r="B60" s="226"/>
      <c r="C60" s="349">
        <v>230</v>
      </c>
      <c r="D60" s="313">
        <f>'DB ESA'!C203</f>
        <v>0.36799999999999999</v>
      </c>
      <c r="E60" s="323">
        <f>'DB ESA'!E203</f>
        <v>0.47</v>
      </c>
      <c r="F60" s="322"/>
      <c r="G60" s="250" t="s">
        <v>148</v>
      </c>
      <c r="H60" s="316">
        <f>ID!Q32</f>
        <v>0</v>
      </c>
      <c r="I60" s="316">
        <f>FORECAST(H60,$D$67:$D$71,$C$67:$C$71)</f>
        <v>-5.4909905887962074E-4</v>
      </c>
      <c r="J60" s="316">
        <f t="shared" si="6"/>
        <v>-5.4909905887962074E-4</v>
      </c>
      <c r="K60" s="316">
        <f>IFERROR(J60,"-")</f>
        <v>-5.4909905887962074E-4</v>
      </c>
      <c r="L60" s="272"/>
    </row>
    <row r="61" spans="2:18" x14ac:dyDescent="0.25">
      <c r="B61" s="226"/>
      <c r="C61" s="349">
        <v>250</v>
      </c>
      <c r="D61" s="313">
        <f>'DB ESA'!C204</f>
        <v>9.9999999999999995E-7</v>
      </c>
      <c r="E61" s="323">
        <f>'DB ESA'!E204</f>
        <v>0.47</v>
      </c>
      <c r="L61" s="229"/>
    </row>
    <row r="62" spans="2:18" x14ac:dyDescent="0.25">
      <c r="B62" s="226"/>
      <c r="G62" s="319"/>
      <c r="H62" s="319"/>
      <c r="I62" s="319"/>
      <c r="J62" s="319"/>
      <c r="K62" s="319"/>
      <c r="L62" s="229"/>
    </row>
    <row r="63" spans="2:18" ht="13" x14ac:dyDescent="0.25">
      <c r="B63" s="226"/>
      <c r="C63" s="251" t="s">
        <v>402</v>
      </c>
      <c r="D63" s="228" t="s">
        <v>164</v>
      </c>
      <c r="E63" s="228" t="s">
        <v>167</v>
      </c>
      <c r="G63" s="319"/>
      <c r="H63" s="319"/>
      <c r="I63" s="319"/>
      <c r="J63" s="319"/>
      <c r="K63" s="319"/>
      <c r="L63" s="229"/>
    </row>
    <row r="64" spans="2:18" x14ac:dyDescent="0.25">
      <c r="B64" s="226"/>
      <c r="C64" s="350">
        <v>10</v>
      </c>
      <c r="D64" s="341">
        <f>'DB ESA'!C215</f>
        <v>0.1</v>
      </c>
      <c r="E64" s="341"/>
      <c r="G64" s="319"/>
      <c r="H64" s="319"/>
      <c r="I64" s="319"/>
      <c r="J64" s="319"/>
      <c r="K64" s="319"/>
      <c r="L64" s="229"/>
    </row>
    <row r="65" spans="2:12" x14ac:dyDescent="0.25">
      <c r="B65" s="226"/>
      <c r="C65" s="350">
        <v>20</v>
      </c>
      <c r="D65" s="341">
        <f>'DB ESA'!C216</f>
        <v>0.2</v>
      </c>
      <c r="E65" s="341"/>
      <c r="G65" s="319"/>
      <c r="H65" s="319"/>
      <c r="I65" s="319"/>
      <c r="J65" s="319"/>
      <c r="K65" s="319"/>
      <c r="L65" s="229"/>
    </row>
    <row r="66" spans="2:12" x14ac:dyDescent="0.25">
      <c r="B66" s="226"/>
      <c r="C66" s="350">
        <v>50</v>
      </c>
      <c r="D66" s="341">
        <f>'DB ESA'!C217</f>
        <v>0.5</v>
      </c>
      <c r="E66" s="341"/>
      <c r="G66" s="320"/>
      <c r="H66" s="321"/>
      <c r="J66" s="319"/>
      <c r="K66" s="319"/>
      <c r="L66" s="229"/>
    </row>
    <row r="67" spans="2:12" x14ac:dyDescent="0.25">
      <c r="B67" s="226"/>
      <c r="C67" s="350">
        <v>100</v>
      </c>
      <c r="D67" s="341">
        <f>'DB ESA'!C218</f>
        <v>1</v>
      </c>
      <c r="E67" s="341"/>
      <c r="G67" s="319"/>
      <c r="H67" s="321"/>
      <c r="I67" s="321"/>
      <c r="J67" s="319"/>
      <c r="K67" s="319"/>
      <c r="L67" s="229"/>
    </row>
    <row r="68" spans="2:12" x14ac:dyDescent="0.25">
      <c r="B68" s="226"/>
      <c r="G68" s="319"/>
      <c r="H68" s="321"/>
      <c r="I68" s="321"/>
      <c r="J68" s="319"/>
      <c r="K68" s="319"/>
      <c r="L68" s="229"/>
    </row>
    <row r="69" spans="2:12" x14ac:dyDescent="0.25">
      <c r="B69" s="226"/>
      <c r="C69" s="227" t="s">
        <v>279</v>
      </c>
      <c r="D69" s="227" t="s">
        <v>164</v>
      </c>
      <c r="E69" s="227" t="s">
        <v>167</v>
      </c>
      <c r="G69" s="319"/>
      <c r="H69" s="319"/>
      <c r="I69" s="319"/>
      <c r="J69" s="319"/>
      <c r="K69" s="319"/>
      <c r="L69" s="229"/>
    </row>
    <row r="70" spans="2:12" x14ac:dyDescent="0.25">
      <c r="B70" s="226"/>
      <c r="C70" s="351">
        <v>0.01</v>
      </c>
      <c r="D70" s="340">
        <f>'DB ESA'!C221</f>
        <v>9.9999999999999995E-7</v>
      </c>
      <c r="E70" s="340"/>
      <c r="G70" s="319"/>
      <c r="H70" s="319"/>
      <c r="I70" s="319"/>
      <c r="J70" s="319"/>
      <c r="K70" s="319"/>
      <c r="L70" s="229"/>
    </row>
    <row r="71" spans="2:12" x14ac:dyDescent="0.25">
      <c r="B71" s="226"/>
      <c r="C71" s="340">
        <v>0.1</v>
      </c>
      <c r="D71" s="340">
        <f>'DB ESA'!C222</f>
        <v>9.9999999999999995E-7</v>
      </c>
      <c r="E71" s="340"/>
      <c r="G71" s="320"/>
      <c r="H71" s="321"/>
      <c r="I71" s="321"/>
      <c r="J71" s="319"/>
      <c r="K71" s="319"/>
      <c r="L71" s="229"/>
    </row>
    <row r="72" spans="2:12" x14ac:dyDescent="0.25">
      <c r="B72" s="226"/>
      <c r="C72" s="340">
        <v>1</v>
      </c>
      <c r="D72" s="340">
        <f>'DB ESA'!C223</f>
        <v>-1E-3</v>
      </c>
      <c r="E72" s="340"/>
      <c r="G72" s="319"/>
      <c r="H72" s="321"/>
      <c r="I72" s="321"/>
      <c r="J72" s="319"/>
      <c r="K72" s="319"/>
      <c r="L72" s="229"/>
    </row>
    <row r="73" spans="2:12" x14ac:dyDescent="0.25">
      <c r="B73" s="226"/>
      <c r="C73" s="340">
        <v>2</v>
      </c>
      <c r="D73" s="340">
        <f>'DB ESA'!C224</f>
        <v>9.9999999999999995E-7</v>
      </c>
      <c r="E73" s="340"/>
      <c r="G73" s="319"/>
      <c r="H73" s="321"/>
      <c r="I73" s="321"/>
      <c r="J73" s="319"/>
      <c r="K73" s="319"/>
      <c r="L73" s="229"/>
    </row>
    <row r="74" spans="2:12" x14ac:dyDescent="0.25">
      <c r="B74" s="252"/>
      <c r="G74" s="319"/>
      <c r="H74" s="319"/>
      <c r="I74" s="319"/>
      <c r="J74" s="319"/>
      <c r="K74" s="319"/>
      <c r="L74" s="229"/>
    </row>
    <row r="75" spans="2:12" x14ac:dyDescent="0.25">
      <c r="B75" s="252"/>
      <c r="L75" s="229"/>
    </row>
    <row r="76" spans="2:12" x14ac:dyDescent="0.25">
      <c r="B76" s="226"/>
      <c r="L76" s="229"/>
    </row>
    <row r="77" spans="2:12" ht="26" x14ac:dyDescent="0.25">
      <c r="B77" s="226"/>
      <c r="C77" s="251" t="s">
        <v>276</v>
      </c>
      <c r="D77" s="228" t="s">
        <v>164</v>
      </c>
      <c r="E77" s="228" t="s">
        <v>167</v>
      </c>
      <c r="L77" s="229"/>
    </row>
    <row r="78" spans="2:12" x14ac:dyDescent="0.25">
      <c r="B78" s="226"/>
      <c r="C78" s="249">
        <v>0</v>
      </c>
      <c r="D78" s="278">
        <f>'DB ESA'!C207</f>
        <v>9.9999999999999995E-7</v>
      </c>
      <c r="E78" s="278"/>
      <c r="L78" s="229"/>
    </row>
    <row r="79" spans="2:12" x14ac:dyDescent="0.25">
      <c r="B79" s="226"/>
      <c r="C79" s="249">
        <v>50</v>
      </c>
      <c r="D79" s="278">
        <f>'DB ESA'!C208</f>
        <v>0.2</v>
      </c>
      <c r="E79" s="278"/>
      <c r="L79" s="229"/>
    </row>
    <row r="80" spans="2:12" x14ac:dyDescent="0.25">
      <c r="B80" s="226"/>
      <c r="C80" s="249">
        <v>100</v>
      </c>
      <c r="D80" s="278">
        <f>'DB ESA'!C209</f>
        <v>0.3</v>
      </c>
      <c r="E80" s="278"/>
      <c r="L80" s="229"/>
    </row>
    <row r="81" spans="2:12" x14ac:dyDescent="0.25">
      <c r="B81" s="226"/>
      <c r="C81" s="249">
        <v>200</v>
      </c>
      <c r="D81" s="278">
        <f>'DB ESA'!C210</f>
        <v>1.4</v>
      </c>
      <c r="E81" s="278"/>
      <c r="L81" s="229"/>
    </row>
    <row r="82" spans="2:12" x14ac:dyDescent="0.25">
      <c r="B82" s="226"/>
      <c r="C82" s="249">
        <v>500</v>
      </c>
      <c r="D82" s="278">
        <f>'DB ESA'!C211</f>
        <v>2.8</v>
      </c>
      <c r="E82" s="278"/>
      <c r="L82" s="229"/>
    </row>
    <row r="83" spans="2:12" x14ac:dyDescent="0.25">
      <c r="B83" s="226"/>
      <c r="C83" s="249">
        <v>1000</v>
      </c>
      <c r="D83" s="278">
        <f>'DB ESA'!C212</f>
        <v>1.2E-2</v>
      </c>
      <c r="E83" s="278"/>
      <c r="L83" s="229"/>
    </row>
    <row r="84" spans="2:12" ht="13" thickBot="1" x14ac:dyDescent="0.3">
      <c r="B84" s="236"/>
      <c r="C84" s="237"/>
      <c r="D84" s="237"/>
      <c r="E84" s="237"/>
      <c r="F84" s="237"/>
      <c r="G84" s="237"/>
      <c r="H84" s="237"/>
      <c r="I84" s="237"/>
      <c r="J84" s="237"/>
      <c r="K84" s="237"/>
      <c r="L84" s="238"/>
    </row>
  </sheetData>
  <mergeCells count="7">
    <mergeCell ref="C53:F53"/>
    <mergeCell ref="H53:K53"/>
    <mergeCell ref="C7:E7"/>
    <mergeCell ref="I7:M7"/>
    <mergeCell ref="C36:E36"/>
    <mergeCell ref="I36:Q36"/>
    <mergeCell ref="I38:Q38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8"/>
  <sheetViews>
    <sheetView view="pageBreakPreview" zoomScaleNormal="100" zoomScaleSheetLayoutView="100" workbookViewId="0">
      <selection activeCell="J34" sqref="J34"/>
    </sheetView>
  </sheetViews>
  <sheetFormatPr defaultRowHeight="12.5" x14ac:dyDescent="0.25"/>
  <cols>
    <col min="1" max="1" width="4.36328125" customWidth="1"/>
    <col min="2" max="2" width="5.453125" customWidth="1"/>
    <col min="3" max="3" width="12.453125" customWidth="1"/>
    <col min="6" max="6" width="9.90625" customWidth="1"/>
    <col min="7" max="7" width="8.54296875" customWidth="1"/>
    <col min="8" max="8" width="9.453125" customWidth="1"/>
    <col min="9" max="9" width="8.90625" customWidth="1"/>
    <col min="10" max="10" width="9" customWidth="1"/>
    <col min="11" max="11" width="11.36328125" customWidth="1"/>
    <col min="12" max="12" width="17.08984375" customWidth="1"/>
    <col min="13" max="13" width="6" customWidth="1"/>
    <col min="14" max="14" width="9.08984375" customWidth="1"/>
  </cols>
  <sheetData>
    <row r="1" spans="1:13" ht="18" x14ac:dyDescent="0.25">
      <c r="A1" s="1265" t="s">
        <v>0</v>
      </c>
      <c r="B1" s="1265"/>
      <c r="C1" s="1265"/>
      <c r="D1" s="1265"/>
      <c r="E1" s="1265"/>
      <c r="F1" s="1265"/>
      <c r="G1" s="1265"/>
      <c r="H1" s="1265"/>
      <c r="I1" s="1265"/>
      <c r="J1" s="1265"/>
      <c r="K1" s="1265"/>
      <c r="L1" s="1265"/>
      <c r="M1" s="1265"/>
    </row>
    <row r="2" spans="1:13" ht="15.5" x14ac:dyDescent="0.25">
      <c r="A2" s="1266" t="s">
        <v>1</v>
      </c>
      <c r="B2" s="1266"/>
      <c r="C2" s="1266"/>
      <c r="D2" s="1266"/>
      <c r="E2" s="1266"/>
      <c r="F2" s="1266"/>
      <c r="G2" s="1266"/>
      <c r="H2" s="1266"/>
      <c r="I2" s="1266"/>
      <c r="J2" s="1266"/>
      <c r="K2" s="1266"/>
      <c r="L2" s="1266"/>
      <c r="M2" s="1266"/>
    </row>
    <row r="3" spans="1:13" ht="14" x14ac:dyDescent="0.25">
      <c r="A3" s="21"/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21"/>
    </row>
    <row r="4" spans="1:13" ht="14" x14ac:dyDescent="0.3">
      <c r="A4" s="46" t="s">
        <v>2</v>
      </c>
      <c r="B4" s="48"/>
      <c r="C4" s="46"/>
      <c r="D4" s="46"/>
      <c r="E4" s="46" t="s">
        <v>3</v>
      </c>
      <c r="F4" s="1270"/>
      <c r="G4" s="1270"/>
      <c r="H4" s="1270"/>
      <c r="I4" s="1270"/>
      <c r="J4" s="1270"/>
      <c r="K4" s="1270"/>
      <c r="L4" s="46"/>
      <c r="M4" s="48"/>
    </row>
    <row r="5" spans="1:13" ht="14" x14ac:dyDescent="0.3">
      <c r="A5" s="46" t="s">
        <v>4</v>
      </c>
      <c r="B5" s="48"/>
      <c r="C5" s="46"/>
      <c r="D5" s="46"/>
      <c r="E5" s="46" t="s">
        <v>3</v>
      </c>
      <c r="F5" s="1270"/>
      <c r="G5" s="1270"/>
      <c r="H5" s="1270"/>
      <c r="I5" s="1270"/>
      <c r="J5" s="1270"/>
      <c r="K5" s="1270"/>
      <c r="L5" s="46"/>
      <c r="M5" s="48"/>
    </row>
    <row r="6" spans="1:13" ht="14" x14ac:dyDescent="0.3">
      <c r="A6" s="46" t="s">
        <v>5</v>
      </c>
      <c r="B6" s="48"/>
      <c r="C6" s="46"/>
      <c r="D6" s="46"/>
      <c r="E6" s="46" t="s">
        <v>3</v>
      </c>
      <c r="F6" s="46"/>
      <c r="G6" s="46"/>
      <c r="H6" s="46"/>
      <c r="I6" s="46"/>
      <c r="J6" s="46"/>
      <c r="K6" s="46"/>
      <c r="L6" s="46"/>
      <c r="M6" s="48"/>
    </row>
    <row r="7" spans="1:13" ht="14" hidden="1" x14ac:dyDescent="0.3">
      <c r="A7" s="46" t="s">
        <v>6</v>
      </c>
      <c r="B7" s="48"/>
      <c r="C7" s="46"/>
      <c r="D7" s="46"/>
      <c r="E7" s="46" t="s">
        <v>7</v>
      </c>
      <c r="F7" s="46" t="s">
        <v>8</v>
      </c>
      <c r="G7" s="46" t="s">
        <v>9</v>
      </c>
      <c r="H7" s="46"/>
      <c r="I7" s="46"/>
      <c r="J7" s="46"/>
      <c r="K7" s="46"/>
      <c r="L7" s="46"/>
      <c r="M7" s="48"/>
    </row>
    <row r="8" spans="1:13" ht="14" x14ac:dyDescent="0.3">
      <c r="A8" s="46" t="s">
        <v>10</v>
      </c>
      <c r="B8" s="48"/>
      <c r="C8" s="46"/>
      <c r="D8" s="46"/>
      <c r="E8" s="46" t="s">
        <v>3</v>
      </c>
      <c r="F8" s="46"/>
      <c r="G8" s="46"/>
      <c r="H8" s="46"/>
      <c r="I8" s="46"/>
      <c r="J8" s="46"/>
      <c r="K8" s="46"/>
      <c r="L8" s="46"/>
      <c r="M8" s="48"/>
    </row>
    <row r="9" spans="1:13" ht="14" x14ac:dyDescent="0.3">
      <c r="A9" s="46" t="s">
        <v>11</v>
      </c>
      <c r="B9" s="48"/>
      <c r="C9" s="46"/>
      <c r="D9" s="46"/>
      <c r="E9" s="46" t="s">
        <v>3</v>
      </c>
      <c r="F9" s="46"/>
      <c r="G9" s="46"/>
      <c r="H9" s="46"/>
      <c r="I9" s="46"/>
      <c r="J9" s="46"/>
      <c r="K9" s="46"/>
      <c r="L9" s="46"/>
      <c r="M9" s="48"/>
    </row>
    <row r="10" spans="1:13" ht="14" x14ac:dyDescent="0.3">
      <c r="A10" s="46" t="s">
        <v>12</v>
      </c>
      <c r="B10" s="48"/>
      <c r="C10" s="46"/>
      <c r="D10" s="46"/>
      <c r="E10" s="46" t="s">
        <v>3</v>
      </c>
      <c r="F10" s="46"/>
      <c r="G10" s="46"/>
      <c r="H10" s="46"/>
      <c r="I10" s="46"/>
      <c r="J10" s="46"/>
      <c r="K10" s="46"/>
      <c r="L10" s="46"/>
      <c r="M10" s="48"/>
    </row>
    <row r="11" spans="1:13" ht="14" x14ac:dyDescent="0.3">
      <c r="A11" s="46" t="s">
        <v>13</v>
      </c>
      <c r="B11" s="48"/>
      <c r="C11" s="46"/>
      <c r="D11" s="46"/>
      <c r="E11" s="46" t="s">
        <v>3</v>
      </c>
      <c r="F11" s="46"/>
      <c r="G11" s="46"/>
      <c r="H11" s="46"/>
      <c r="I11" s="46"/>
      <c r="J11" s="46"/>
      <c r="K11" s="46"/>
      <c r="L11" s="46"/>
      <c r="M11" s="48"/>
    </row>
    <row r="12" spans="1:13" ht="14" x14ac:dyDescent="0.3">
      <c r="A12" s="48"/>
      <c r="B12" s="46"/>
      <c r="C12" s="46"/>
      <c r="D12" s="46"/>
      <c r="E12" s="46"/>
      <c r="F12" s="46"/>
      <c r="G12" s="46"/>
      <c r="H12" s="46"/>
      <c r="I12" s="46"/>
      <c r="J12" s="46"/>
      <c r="K12" s="46"/>
      <c r="L12" s="46"/>
      <c r="M12" s="48"/>
    </row>
    <row r="13" spans="1:13" ht="14" x14ac:dyDescent="0.3">
      <c r="A13" s="49" t="s">
        <v>14</v>
      </c>
      <c r="B13" s="49" t="s">
        <v>15</v>
      </c>
      <c r="C13" s="48"/>
      <c r="D13" s="49"/>
      <c r="E13" s="49"/>
      <c r="F13" s="50"/>
      <c r="G13" s="50"/>
      <c r="H13" s="49"/>
      <c r="I13" s="49"/>
      <c r="J13" s="49"/>
      <c r="K13" s="49"/>
      <c r="L13" s="49"/>
      <c r="M13" s="48"/>
    </row>
    <row r="14" spans="1:13" ht="14" x14ac:dyDescent="0.3">
      <c r="A14" s="48"/>
      <c r="B14" s="49"/>
      <c r="C14" s="49"/>
      <c r="D14" s="49"/>
      <c r="E14" s="51" t="s">
        <v>16</v>
      </c>
      <c r="F14" s="51" t="s">
        <v>17</v>
      </c>
      <c r="G14" s="49"/>
      <c r="H14" s="50"/>
      <c r="I14" s="49"/>
      <c r="J14" s="49"/>
      <c r="K14" s="49"/>
      <c r="L14" s="49"/>
      <c r="M14" s="48"/>
    </row>
    <row r="15" spans="1:13" ht="16.5" x14ac:dyDescent="0.3">
      <c r="A15" s="48"/>
      <c r="B15" s="46" t="s">
        <v>18</v>
      </c>
      <c r="C15" s="48"/>
      <c r="D15" s="46"/>
      <c r="E15" s="52"/>
      <c r="F15" s="52"/>
      <c r="G15" s="53" t="s">
        <v>19</v>
      </c>
      <c r="H15" s="50"/>
      <c r="I15" s="46"/>
      <c r="J15" s="46"/>
      <c r="K15" s="46"/>
      <c r="L15" s="46"/>
      <c r="M15" s="48"/>
    </row>
    <row r="16" spans="1:13" ht="14" x14ac:dyDescent="0.3">
      <c r="A16" s="48"/>
      <c r="B16" s="46" t="s">
        <v>20</v>
      </c>
      <c r="C16" s="48"/>
      <c r="D16" s="46"/>
      <c r="E16" s="52"/>
      <c r="F16" s="52"/>
      <c r="G16" s="46" t="s">
        <v>21</v>
      </c>
      <c r="H16" s="50"/>
      <c r="I16" s="46"/>
      <c r="J16" s="46"/>
      <c r="K16" s="46"/>
      <c r="L16" s="46"/>
      <c r="M16" s="48"/>
    </row>
    <row r="17" spans="1:14" ht="14" x14ac:dyDescent="0.3">
      <c r="A17" s="48"/>
      <c r="B17" s="46" t="s">
        <v>22</v>
      </c>
      <c r="C17" s="48"/>
      <c r="D17" s="46"/>
      <c r="E17" s="54" t="s">
        <v>23</v>
      </c>
      <c r="F17" s="46" t="s">
        <v>24</v>
      </c>
      <c r="G17" s="48"/>
      <c r="H17" s="46"/>
      <c r="I17" s="46"/>
      <c r="J17" s="46"/>
      <c r="K17" s="46"/>
      <c r="L17" s="46"/>
      <c r="M17" s="48"/>
    </row>
    <row r="18" spans="1:14" ht="14" x14ac:dyDescent="0.3">
      <c r="A18" s="48"/>
      <c r="B18" s="46"/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8"/>
    </row>
    <row r="19" spans="1:14" ht="14" x14ac:dyDescent="0.3">
      <c r="A19" s="49" t="s">
        <v>25</v>
      </c>
      <c r="B19" s="49" t="s">
        <v>26</v>
      </c>
      <c r="C19" s="48"/>
      <c r="D19" s="49"/>
      <c r="E19" s="49"/>
      <c r="F19" s="49"/>
      <c r="G19" s="49"/>
      <c r="H19" s="49"/>
      <c r="I19" s="49"/>
      <c r="J19" s="49"/>
      <c r="K19" s="49"/>
      <c r="L19" s="46"/>
      <c r="M19" s="151" t="s">
        <v>27</v>
      </c>
    </row>
    <row r="20" spans="1:14" ht="14" x14ac:dyDescent="0.3">
      <c r="A20" s="48"/>
      <c r="B20" s="47" t="s">
        <v>28</v>
      </c>
      <c r="C20" s="48"/>
      <c r="D20" s="46"/>
      <c r="E20" s="46" t="s">
        <v>29</v>
      </c>
      <c r="F20" s="50"/>
      <c r="G20" s="46"/>
      <c r="H20" s="46"/>
      <c r="I20" s="46"/>
      <c r="J20" s="46"/>
      <c r="K20" s="46"/>
      <c r="L20" s="46"/>
      <c r="M20" s="152">
        <v>5</v>
      </c>
    </row>
    <row r="21" spans="1:14" ht="14" x14ac:dyDescent="0.3">
      <c r="A21" s="48"/>
      <c r="B21" s="47" t="s">
        <v>30</v>
      </c>
      <c r="C21" s="48"/>
      <c r="D21" s="46"/>
      <c r="E21" s="46" t="s">
        <v>29</v>
      </c>
      <c r="F21" s="50"/>
      <c r="G21" s="46"/>
      <c r="H21" s="46"/>
      <c r="I21" s="46"/>
      <c r="J21" s="46"/>
      <c r="K21" s="46"/>
      <c r="L21" s="46"/>
      <c r="M21" s="152">
        <v>5</v>
      </c>
    </row>
    <row r="22" spans="1:14" ht="14" x14ac:dyDescent="0.3">
      <c r="A22" s="48"/>
      <c r="B22" s="46"/>
      <c r="C22" s="46"/>
      <c r="D22" s="46"/>
      <c r="E22" s="46"/>
      <c r="F22" s="46"/>
      <c r="G22" s="46"/>
      <c r="H22" s="46"/>
      <c r="I22" s="46"/>
      <c r="J22" s="46"/>
      <c r="K22" s="46"/>
      <c r="L22" s="46"/>
      <c r="M22" s="48"/>
    </row>
    <row r="23" spans="1:14" ht="14" x14ac:dyDescent="0.3">
      <c r="A23" s="49" t="s">
        <v>31</v>
      </c>
      <c r="B23" s="49" t="s">
        <v>32</v>
      </c>
      <c r="C23" s="48"/>
      <c r="D23" s="46"/>
      <c r="E23" s="46"/>
      <c r="F23" s="46"/>
      <c r="G23" s="55"/>
      <c r="H23" s="56"/>
      <c r="I23" s="57"/>
      <c r="J23" s="46"/>
      <c r="K23" s="46"/>
      <c r="L23" s="46"/>
      <c r="M23" s="48"/>
    </row>
    <row r="24" spans="1:14" ht="15.75" customHeight="1" x14ac:dyDescent="0.3">
      <c r="A24" s="48"/>
      <c r="B24" s="1271" t="s">
        <v>33</v>
      </c>
      <c r="C24" s="1075" t="s">
        <v>34</v>
      </c>
      <c r="D24" s="1076"/>
      <c r="E24" s="1076"/>
      <c r="F24" s="1076"/>
      <c r="G24" s="1076"/>
      <c r="H24" s="1076"/>
      <c r="I24" s="1076"/>
      <c r="J24" s="1077"/>
      <c r="K24" s="1274" t="s">
        <v>35</v>
      </c>
      <c r="L24" s="58" t="s">
        <v>36</v>
      </c>
    </row>
    <row r="25" spans="1:14" ht="14" x14ac:dyDescent="0.3">
      <c r="A25" s="48"/>
      <c r="B25" s="1272"/>
      <c r="C25" s="1078"/>
      <c r="D25" s="1079"/>
      <c r="E25" s="1079"/>
      <c r="F25" s="1079"/>
      <c r="G25" s="1079"/>
      <c r="H25" s="1079"/>
      <c r="I25" s="1079"/>
      <c r="J25" s="1080"/>
      <c r="K25" s="1275"/>
      <c r="L25" s="59" t="s">
        <v>37</v>
      </c>
      <c r="M25" s="29" t="s">
        <v>27</v>
      </c>
    </row>
    <row r="26" spans="1:14" ht="18" customHeight="1" x14ac:dyDescent="0.3">
      <c r="A26" s="48"/>
      <c r="B26" s="52">
        <v>1</v>
      </c>
      <c r="C26" s="41" t="s">
        <v>38</v>
      </c>
      <c r="D26" s="54"/>
      <c r="E26" s="54"/>
      <c r="F26" s="54"/>
      <c r="G26" s="54"/>
      <c r="H26" s="54"/>
      <c r="I26" s="54"/>
      <c r="J26" s="60"/>
      <c r="K26" s="150" t="s">
        <v>39</v>
      </c>
      <c r="L26" s="44" t="s">
        <v>40</v>
      </c>
      <c r="M26" s="153">
        <v>10</v>
      </c>
      <c r="N26" s="42"/>
    </row>
    <row r="27" spans="1:14" ht="14" x14ac:dyDescent="0.3">
      <c r="A27" s="48"/>
      <c r="B27" s="52">
        <v>2</v>
      </c>
      <c r="C27" s="41" t="s">
        <v>41</v>
      </c>
      <c r="D27" s="54"/>
      <c r="E27" s="54"/>
      <c r="F27" s="54"/>
      <c r="G27" s="54"/>
      <c r="H27" s="54"/>
      <c r="I27" s="54"/>
      <c r="J27" s="60"/>
      <c r="K27" s="150" t="s">
        <v>42</v>
      </c>
      <c r="L27" s="45" t="s">
        <v>43</v>
      </c>
      <c r="M27" s="153">
        <v>10</v>
      </c>
      <c r="N27" s="43"/>
    </row>
    <row r="28" spans="1:14" ht="14" x14ac:dyDescent="0.3">
      <c r="A28" s="48"/>
      <c r="B28" s="52">
        <v>3</v>
      </c>
      <c r="C28" s="41" t="s">
        <v>44</v>
      </c>
      <c r="D28" s="54"/>
      <c r="E28" s="54"/>
      <c r="F28" s="54"/>
      <c r="G28" s="54"/>
      <c r="H28" s="54"/>
      <c r="I28" s="54"/>
      <c r="J28" s="60"/>
      <c r="K28" s="150" t="s">
        <v>45</v>
      </c>
      <c r="L28" s="45" t="s">
        <v>46</v>
      </c>
      <c r="M28" s="153">
        <v>20</v>
      </c>
      <c r="N28" s="43"/>
    </row>
    <row r="29" spans="1:14" ht="8.25" customHeight="1" x14ac:dyDescent="0.3">
      <c r="A29" s="48"/>
      <c r="B29" s="61"/>
      <c r="C29" s="46"/>
      <c r="D29" s="46"/>
      <c r="E29" s="46"/>
      <c r="F29" s="46"/>
      <c r="G29" s="46"/>
      <c r="H29" s="46"/>
      <c r="I29" s="46"/>
      <c r="J29" s="46"/>
      <c r="K29" s="46"/>
      <c r="L29" s="61" t="s">
        <v>47</v>
      </c>
      <c r="M29" s="62" t="s">
        <v>48</v>
      </c>
    </row>
    <row r="30" spans="1:14" ht="14" x14ac:dyDescent="0.3">
      <c r="A30" s="49" t="s">
        <v>49</v>
      </c>
      <c r="B30" s="49" t="s">
        <v>50</v>
      </c>
      <c r="C30" s="48"/>
      <c r="D30" s="49"/>
      <c r="E30" s="49"/>
      <c r="F30" s="49"/>
      <c r="G30" s="49"/>
      <c r="H30" s="61"/>
      <c r="I30" s="46"/>
      <c r="J30" s="46"/>
      <c r="K30" s="46"/>
      <c r="L30" s="46"/>
      <c r="M30" s="48"/>
    </row>
    <row r="31" spans="1:14" ht="14" x14ac:dyDescent="0.3">
      <c r="A31" s="49"/>
      <c r="B31" s="49" t="str">
        <f>ID!B31</f>
        <v>A. Kalibrasi Akurasi Saturasi Oksigen</v>
      </c>
      <c r="C31" s="48"/>
      <c r="D31" s="49"/>
      <c r="E31" s="49"/>
      <c r="F31" s="49"/>
      <c r="G31" s="49"/>
      <c r="H31" s="61"/>
      <c r="I31" s="46"/>
      <c r="J31" s="46"/>
      <c r="K31" s="46"/>
      <c r="L31" s="46"/>
      <c r="M31" s="48"/>
    </row>
    <row r="32" spans="1:14" ht="14" x14ac:dyDescent="0.3">
      <c r="A32" s="48"/>
      <c r="B32" s="1104" t="s">
        <v>33</v>
      </c>
      <c r="C32" s="1104" t="s">
        <v>34</v>
      </c>
      <c r="D32" s="1104" t="s">
        <v>51</v>
      </c>
      <c r="E32" s="1072" t="s">
        <v>52</v>
      </c>
      <c r="F32" s="1072"/>
      <c r="G32" s="1072"/>
      <c r="H32" s="1072"/>
      <c r="I32" s="1072"/>
      <c r="J32" s="1072"/>
      <c r="K32" s="1261" t="s">
        <v>53</v>
      </c>
      <c r="L32" s="50"/>
      <c r="M32" s="48"/>
    </row>
    <row r="33" spans="1:13" ht="14" x14ac:dyDescent="0.3">
      <c r="A33" s="48"/>
      <c r="B33" s="1104"/>
      <c r="C33" s="1104"/>
      <c r="D33" s="1104"/>
      <c r="E33" s="51" t="s">
        <v>54</v>
      </c>
      <c r="F33" s="51" t="s">
        <v>55</v>
      </c>
      <c r="G33" s="51" t="s">
        <v>56</v>
      </c>
      <c r="H33" s="51" t="s">
        <v>57</v>
      </c>
      <c r="I33" s="51" t="s">
        <v>58</v>
      </c>
      <c r="J33" s="51" t="s">
        <v>59</v>
      </c>
      <c r="K33" s="1261"/>
      <c r="L33" s="154" t="s">
        <v>60</v>
      </c>
    </row>
    <row r="34" spans="1:13" ht="15" customHeight="1" x14ac:dyDescent="0.3">
      <c r="A34" s="48"/>
      <c r="B34" s="63">
        <v>1</v>
      </c>
      <c r="C34" s="1258" t="s">
        <v>61</v>
      </c>
      <c r="D34" s="63">
        <v>100</v>
      </c>
      <c r="E34" s="51"/>
      <c r="F34" s="51"/>
      <c r="G34" s="51"/>
      <c r="H34" s="51"/>
      <c r="I34" s="51"/>
      <c r="J34" s="51"/>
      <c r="K34" s="1267" t="s">
        <v>62</v>
      </c>
      <c r="L34" s="1276" t="s">
        <v>63</v>
      </c>
    </row>
    <row r="35" spans="1:13" ht="15.75" customHeight="1" x14ac:dyDescent="0.3">
      <c r="A35" s="48"/>
      <c r="B35" s="64" t="s">
        <v>64</v>
      </c>
      <c r="C35" s="1259"/>
      <c r="D35" s="65">
        <v>99</v>
      </c>
      <c r="E35" s="66"/>
      <c r="F35" s="67"/>
      <c r="G35" s="67"/>
      <c r="H35" s="67"/>
      <c r="I35" s="67"/>
      <c r="J35" s="67"/>
      <c r="K35" s="1268"/>
      <c r="L35" s="1277"/>
    </row>
    <row r="36" spans="1:13" ht="14" x14ac:dyDescent="0.3">
      <c r="A36" s="48"/>
      <c r="B36" s="64" t="s">
        <v>65</v>
      </c>
      <c r="C36" s="1259"/>
      <c r="D36" s="65">
        <v>98</v>
      </c>
      <c r="E36" s="66"/>
      <c r="F36" s="67"/>
      <c r="G36" s="67"/>
      <c r="H36" s="67"/>
      <c r="I36" s="67"/>
      <c r="J36" s="67"/>
      <c r="K36" s="1268"/>
      <c r="L36" s="1277"/>
    </row>
    <row r="37" spans="1:13" ht="14" x14ac:dyDescent="0.3">
      <c r="A37" s="48"/>
      <c r="B37" s="64" t="s">
        <v>66</v>
      </c>
      <c r="C37" s="1259"/>
      <c r="D37" s="65">
        <v>97</v>
      </c>
      <c r="E37" s="66"/>
      <c r="F37" s="67"/>
      <c r="G37" s="67"/>
      <c r="H37" s="67"/>
      <c r="I37" s="67"/>
      <c r="J37" s="67"/>
      <c r="K37" s="1268"/>
      <c r="L37" s="1277"/>
    </row>
    <row r="38" spans="1:13" ht="14" x14ac:dyDescent="0.3">
      <c r="A38" s="48"/>
      <c r="B38" s="64" t="s">
        <v>67</v>
      </c>
      <c r="C38" s="1259"/>
      <c r="D38" s="65">
        <v>95</v>
      </c>
      <c r="E38" s="66"/>
      <c r="F38" s="67"/>
      <c r="G38" s="67"/>
      <c r="H38" s="67"/>
      <c r="I38" s="67"/>
      <c r="J38" s="67"/>
      <c r="K38" s="1268"/>
      <c r="L38" s="1277"/>
    </row>
    <row r="39" spans="1:13" ht="14" x14ac:dyDescent="0.3">
      <c r="A39" s="48"/>
      <c r="B39" s="64" t="s">
        <v>68</v>
      </c>
      <c r="C39" s="1259"/>
      <c r="D39" s="65">
        <v>90</v>
      </c>
      <c r="E39" s="66"/>
      <c r="F39" s="67"/>
      <c r="G39" s="67"/>
      <c r="H39" s="67"/>
      <c r="I39" s="67"/>
      <c r="J39" s="67"/>
      <c r="K39" s="1268"/>
      <c r="L39" s="1277"/>
    </row>
    <row r="40" spans="1:13" ht="14" x14ac:dyDescent="0.3">
      <c r="A40" s="48"/>
      <c r="B40" s="64" t="s">
        <v>69</v>
      </c>
      <c r="C40" s="1273"/>
      <c r="D40" s="65">
        <v>85</v>
      </c>
      <c r="E40" s="66"/>
      <c r="F40" s="67"/>
      <c r="G40" s="67"/>
      <c r="H40" s="67"/>
      <c r="I40" s="67"/>
      <c r="J40" s="67"/>
      <c r="K40" s="1269"/>
      <c r="L40" s="1278"/>
    </row>
    <row r="41" spans="1:13" ht="11.25" customHeight="1" x14ac:dyDescent="0.3">
      <c r="A41" s="48"/>
      <c r="B41" s="68"/>
      <c r="C41" s="69"/>
      <c r="D41" s="70"/>
      <c r="E41" s="71"/>
      <c r="F41" s="72"/>
      <c r="G41" s="72"/>
      <c r="H41" s="72"/>
      <c r="I41" s="72"/>
      <c r="J41" s="73"/>
      <c r="K41" s="48"/>
      <c r="L41" s="50"/>
      <c r="M41" s="48"/>
    </row>
    <row r="42" spans="1:13" ht="16.5" customHeight="1" x14ac:dyDescent="0.3">
      <c r="A42" s="48"/>
      <c r="B42" s="1257" t="s">
        <v>70</v>
      </c>
      <c r="C42" s="1257"/>
      <c r="D42" s="1257"/>
      <c r="E42" s="1257"/>
      <c r="F42" s="1257"/>
      <c r="G42" s="72"/>
      <c r="H42" s="72"/>
      <c r="I42" s="72"/>
      <c r="J42" s="73"/>
      <c r="K42" s="48"/>
      <c r="L42" s="50"/>
      <c r="M42" s="48"/>
    </row>
    <row r="43" spans="1:13" ht="15.75" customHeight="1" x14ac:dyDescent="0.3">
      <c r="A43" s="48"/>
      <c r="B43" s="1104" t="s">
        <v>33</v>
      </c>
      <c r="C43" s="1104" t="s">
        <v>34</v>
      </c>
      <c r="D43" s="1104" t="s">
        <v>51</v>
      </c>
      <c r="E43" s="1072" t="s">
        <v>52</v>
      </c>
      <c r="F43" s="1072"/>
      <c r="G43" s="1072"/>
      <c r="H43" s="1072"/>
      <c r="I43" s="1072"/>
      <c r="J43" s="1072"/>
      <c r="K43" s="1261" t="s">
        <v>53</v>
      </c>
      <c r="L43" s="155" t="s">
        <v>60</v>
      </c>
      <c r="M43" s="48"/>
    </row>
    <row r="44" spans="1:13" ht="14" x14ac:dyDescent="0.3">
      <c r="A44" s="48"/>
      <c r="B44" s="1104"/>
      <c r="C44" s="1104"/>
      <c r="D44" s="1104"/>
      <c r="E44" s="51" t="s">
        <v>54</v>
      </c>
      <c r="F44" s="51" t="s">
        <v>55</v>
      </c>
      <c r="G44" s="51" t="s">
        <v>56</v>
      </c>
      <c r="H44" s="51" t="s">
        <v>57</v>
      </c>
      <c r="I44" s="51" t="s">
        <v>58</v>
      </c>
      <c r="J44" s="138" t="s">
        <v>59</v>
      </c>
      <c r="K44" s="1261"/>
      <c r="L44" s="1262" t="s">
        <v>71</v>
      </c>
    </row>
    <row r="45" spans="1:13" ht="15.75" customHeight="1" x14ac:dyDescent="0.3">
      <c r="A45" s="48"/>
      <c r="B45" s="63">
        <v>1</v>
      </c>
      <c r="C45" s="1258" t="s">
        <v>72</v>
      </c>
      <c r="D45" s="63">
        <v>30</v>
      </c>
      <c r="E45" s="51"/>
      <c r="F45" s="51"/>
      <c r="G45" s="51"/>
      <c r="H45" s="51"/>
      <c r="I45" s="51"/>
      <c r="J45" s="22"/>
      <c r="K45" s="1260" t="s">
        <v>73</v>
      </c>
      <c r="L45" s="1263"/>
    </row>
    <row r="46" spans="1:13" ht="14" x14ac:dyDescent="0.3">
      <c r="A46" s="48"/>
      <c r="B46" s="64" t="s">
        <v>64</v>
      </c>
      <c r="C46" s="1259"/>
      <c r="D46" s="65">
        <v>60</v>
      </c>
      <c r="E46" s="66"/>
      <c r="F46" s="67"/>
      <c r="G46" s="67"/>
      <c r="H46" s="67"/>
      <c r="I46" s="67"/>
      <c r="J46" s="22"/>
      <c r="K46" s="1260"/>
      <c r="L46" s="1263"/>
    </row>
    <row r="47" spans="1:13" ht="14" x14ac:dyDescent="0.3">
      <c r="A47" s="48"/>
      <c r="B47" s="64" t="s">
        <v>65</v>
      </c>
      <c r="C47" s="1259"/>
      <c r="D47" s="65">
        <v>120</v>
      </c>
      <c r="E47" s="66"/>
      <c r="F47" s="67"/>
      <c r="G47" s="67"/>
      <c r="H47" s="67"/>
      <c r="I47" s="67"/>
      <c r="J47" s="22"/>
      <c r="K47" s="1260"/>
      <c r="L47" s="1263"/>
    </row>
    <row r="48" spans="1:13" ht="14" x14ac:dyDescent="0.3">
      <c r="A48" s="48"/>
      <c r="B48" s="64" t="s">
        <v>66</v>
      </c>
      <c r="C48" s="1259"/>
      <c r="D48" s="65">
        <v>240</v>
      </c>
      <c r="E48" s="66"/>
      <c r="F48" s="67"/>
      <c r="G48" s="67"/>
      <c r="H48" s="67"/>
      <c r="I48" s="67"/>
      <c r="J48" s="22"/>
      <c r="K48" s="1260"/>
      <c r="L48" s="1264"/>
    </row>
    <row r="49" spans="1:13" ht="6" customHeight="1" x14ac:dyDescent="0.3">
      <c r="A49" s="48"/>
      <c r="B49" s="61"/>
      <c r="C49" s="74"/>
      <c r="D49" s="75"/>
      <c r="E49" s="61"/>
      <c r="F49" s="61"/>
      <c r="G49" s="61"/>
      <c r="H49" s="61"/>
      <c r="I49" s="61"/>
      <c r="J49" s="74"/>
      <c r="K49" s="61"/>
      <c r="L49" s="76"/>
    </row>
    <row r="50" spans="1:13" ht="14" x14ac:dyDescent="0.3">
      <c r="A50" s="49" t="s">
        <v>74</v>
      </c>
      <c r="B50" s="49" t="s">
        <v>75</v>
      </c>
      <c r="C50" s="48"/>
      <c r="D50" s="46"/>
      <c r="E50" s="46"/>
      <c r="F50" s="46"/>
      <c r="G50" s="46"/>
      <c r="H50" s="46"/>
      <c r="I50" s="46"/>
      <c r="J50" s="46"/>
      <c r="K50" s="46"/>
      <c r="L50" s="46"/>
      <c r="M50" s="48"/>
    </row>
    <row r="51" spans="1:13" ht="14" x14ac:dyDescent="0.3">
      <c r="A51" s="48"/>
      <c r="B51" s="46" t="s">
        <v>76</v>
      </c>
      <c r="C51" s="48"/>
      <c r="D51" s="46"/>
      <c r="E51" s="46"/>
      <c r="F51" s="46"/>
      <c r="G51" s="46"/>
      <c r="H51" s="46"/>
      <c r="I51" s="46"/>
      <c r="J51" s="46"/>
      <c r="K51" s="46"/>
      <c r="L51" s="46"/>
      <c r="M51" s="48"/>
    </row>
    <row r="52" spans="1:13" ht="14" x14ac:dyDescent="0.3">
      <c r="A52" s="48"/>
      <c r="B52" s="75" t="s">
        <v>76</v>
      </c>
      <c r="C52" s="48"/>
      <c r="D52" s="46"/>
      <c r="E52" s="46"/>
      <c r="F52" s="46"/>
      <c r="G52" s="46"/>
      <c r="H52" s="46"/>
      <c r="I52" s="46"/>
      <c r="J52" s="46"/>
      <c r="K52" s="46" t="s">
        <v>77</v>
      </c>
      <c r="L52" s="46"/>
      <c r="M52" s="48"/>
    </row>
    <row r="53" spans="1:13" ht="5.25" customHeight="1" x14ac:dyDescent="0.3">
      <c r="A53" s="48"/>
      <c r="B53" s="46"/>
      <c r="C53" s="75"/>
      <c r="D53" s="46"/>
      <c r="E53" s="46"/>
      <c r="F53" s="46"/>
      <c r="G53" s="46"/>
      <c r="H53" s="46"/>
      <c r="I53" s="46"/>
      <c r="J53" s="46"/>
      <c r="K53" s="46"/>
      <c r="L53" s="46"/>
      <c r="M53" s="48"/>
    </row>
    <row r="54" spans="1:13" ht="14" x14ac:dyDescent="0.3">
      <c r="A54" s="49" t="s">
        <v>78</v>
      </c>
      <c r="B54" s="49" t="s">
        <v>79</v>
      </c>
      <c r="C54" s="48"/>
      <c r="D54" s="49"/>
      <c r="E54" s="46"/>
      <c r="F54" s="46"/>
      <c r="G54" s="46"/>
      <c r="H54" s="46"/>
      <c r="I54" s="46"/>
      <c r="J54" s="46"/>
      <c r="K54" s="46"/>
      <c r="L54" s="46"/>
      <c r="M54" s="48"/>
    </row>
    <row r="55" spans="1:13" ht="14" x14ac:dyDescent="0.3">
      <c r="A55" s="48"/>
      <c r="B55" s="61" t="s">
        <v>80</v>
      </c>
      <c r="C55" s="75" t="s">
        <v>81</v>
      </c>
      <c r="D55" s="46"/>
      <c r="E55" s="46"/>
      <c r="F55" s="46"/>
      <c r="G55" s="46"/>
      <c r="H55" s="46"/>
      <c r="I55" s="46"/>
      <c r="J55" s="46"/>
      <c r="K55" s="46"/>
      <c r="L55" s="46"/>
      <c r="M55" s="48"/>
    </row>
    <row r="56" spans="1:13" ht="14" x14ac:dyDescent="0.3">
      <c r="A56" s="48"/>
      <c r="B56" s="61" t="s">
        <v>80</v>
      </c>
      <c r="C56" s="46" t="s">
        <v>82</v>
      </c>
      <c r="D56" s="46"/>
      <c r="E56" s="46"/>
      <c r="F56" s="46"/>
      <c r="G56" s="46"/>
      <c r="H56" s="46"/>
      <c r="I56" s="46"/>
      <c r="J56" s="46"/>
      <c r="K56" s="46"/>
      <c r="L56" s="46"/>
      <c r="M56" s="48"/>
    </row>
    <row r="57" spans="1:13" ht="14" x14ac:dyDescent="0.3">
      <c r="A57" s="48"/>
      <c r="B57" s="61" t="s">
        <v>80</v>
      </c>
      <c r="C57" s="46" t="s">
        <v>83</v>
      </c>
      <c r="D57" s="46"/>
      <c r="E57" s="46"/>
      <c r="F57" s="46"/>
      <c r="G57" s="46"/>
      <c r="H57" s="46"/>
      <c r="I57" s="46"/>
      <c r="J57" s="46"/>
      <c r="K57" s="46"/>
      <c r="L57" s="46"/>
      <c r="M57" s="48"/>
    </row>
    <row r="58" spans="1:13" ht="14" x14ac:dyDescent="0.3">
      <c r="A58" s="48"/>
      <c r="B58" s="61" t="s">
        <v>80</v>
      </c>
      <c r="C58" s="46" t="s">
        <v>84</v>
      </c>
      <c r="D58" s="46"/>
      <c r="E58" s="46"/>
      <c r="F58" s="46"/>
      <c r="G58" s="46"/>
      <c r="H58" s="46"/>
      <c r="I58" s="46"/>
      <c r="J58" s="46"/>
      <c r="K58" s="46"/>
      <c r="L58" s="46"/>
      <c r="M58" s="48"/>
    </row>
    <row r="59" spans="1:13" ht="14" x14ac:dyDescent="0.3">
      <c r="A59" s="48"/>
      <c r="B59" s="61" t="s">
        <v>80</v>
      </c>
      <c r="C59" s="77" t="s">
        <v>85</v>
      </c>
      <c r="D59" s="46"/>
      <c r="E59" s="46"/>
      <c r="F59" s="46"/>
      <c r="G59" s="46"/>
      <c r="H59" s="46"/>
      <c r="I59" s="46"/>
      <c r="J59" s="46"/>
      <c r="K59" s="46"/>
      <c r="L59" s="46"/>
      <c r="M59" s="48"/>
    </row>
    <row r="60" spans="1:13" ht="14" x14ac:dyDescent="0.3">
      <c r="A60" s="48"/>
      <c r="B60" s="61" t="s">
        <v>80</v>
      </c>
      <c r="C60" s="77" t="s">
        <v>86</v>
      </c>
      <c r="D60" s="46"/>
      <c r="E60" s="46"/>
      <c r="F60" s="46"/>
      <c r="G60" s="46"/>
      <c r="H60" s="46"/>
      <c r="I60" s="46"/>
      <c r="J60" s="46"/>
      <c r="K60" s="46"/>
      <c r="L60" s="46"/>
      <c r="M60" s="48"/>
    </row>
    <row r="61" spans="1:13" ht="14" x14ac:dyDescent="0.3">
      <c r="A61" s="48"/>
      <c r="B61" s="61" t="s">
        <v>80</v>
      </c>
      <c r="C61" s="77" t="s">
        <v>87</v>
      </c>
      <c r="D61" s="77"/>
      <c r="E61" s="77"/>
      <c r="F61" s="77"/>
      <c r="G61" s="77"/>
      <c r="H61" s="77"/>
      <c r="I61" s="77"/>
      <c r="J61" s="77"/>
      <c r="K61" s="77"/>
      <c r="L61" s="77"/>
      <c r="M61" s="48"/>
    </row>
    <row r="62" spans="1:13" ht="14" x14ac:dyDescent="0.3">
      <c r="A62" s="48"/>
      <c r="B62" s="61" t="s">
        <v>80</v>
      </c>
      <c r="C62" s="92" t="s">
        <v>88</v>
      </c>
      <c r="D62" s="77"/>
      <c r="E62" s="77"/>
      <c r="F62" s="77"/>
      <c r="G62" s="77"/>
      <c r="H62" s="77"/>
      <c r="I62" s="77"/>
      <c r="J62" s="77"/>
      <c r="K62" s="77"/>
      <c r="L62" s="77"/>
      <c r="M62" s="48"/>
    </row>
    <row r="63" spans="1:13" ht="14" x14ac:dyDescent="0.3">
      <c r="A63" s="48"/>
      <c r="B63" s="61"/>
      <c r="C63" s="50" t="s">
        <v>89</v>
      </c>
      <c r="D63" s="77"/>
      <c r="E63" s="77"/>
      <c r="F63" s="77"/>
      <c r="G63" s="77"/>
      <c r="H63" s="77"/>
      <c r="I63" s="77"/>
      <c r="J63" s="77"/>
      <c r="K63" s="77"/>
      <c r="L63" s="77"/>
      <c r="M63" s="48"/>
    </row>
    <row r="64" spans="1:13" ht="14.5" thickBot="1" x14ac:dyDescent="0.35">
      <c r="A64" s="49" t="s">
        <v>90</v>
      </c>
      <c r="B64" s="49" t="s">
        <v>91</v>
      </c>
      <c r="C64" s="48"/>
      <c r="D64" s="46"/>
      <c r="E64" s="46"/>
      <c r="F64" s="46"/>
      <c r="G64" s="46"/>
      <c r="H64" s="46"/>
      <c r="I64" s="46"/>
      <c r="J64" s="46"/>
      <c r="K64" s="46"/>
      <c r="L64" s="46"/>
      <c r="M64" s="48"/>
    </row>
    <row r="65" spans="1:13" ht="14" x14ac:dyDescent="0.3">
      <c r="A65" s="48"/>
      <c r="B65" s="49"/>
      <c r="C65" s="46" t="s">
        <v>92</v>
      </c>
      <c r="D65" s="46"/>
      <c r="E65" s="46"/>
      <c r="F65" s="46"/>
      <c r="G65" s="46"/>
      <c r="H65" s="46"/>
      <c r="I65" s="46"/>
      <c r="J65" s="46"/>
      <c r="K65" s="156"/>
      <c r="L65" s="46"/>
      <c r="M65" s="48"/>
    </row>
    <row r="66" spans="1:13" ht="6.75" customHeight="1" x14ac:dyDescent="0.3">
      <c r="A66" s="48"/>
      <c r="B66" s="49"/>
      <c r="C66" s="46"/>
      <c r="D66" s="46"/>
      <c r="E66" s="46"/>
      <c r="F66" s="46"/>
      <c r="G66" s="46"/>
      <c r="H66" s="46"/>
      <c r="I66" s="46"/>
      <c r="J66" s="46"/>
      <c r="K66" s="157"/>
      <c r="L66" s="46"/>
      <c r="M66" s="48"/>
    </row>
    <row r="67" spans="1:13" ht="14.5" thickBot="1" x14ac:dyDescent="0.35">
      <c r="A67" s="49" t="s">
        <v>93</v>
      </c>
      <c r="B67" s="49" t="s">
        <v>94</v>
      </c>
      <c r="C67" s="48"/>
      <c r="D67" s="46"/>
      <c r="E67" s="46"/>
      <c r="F67" s="46"/>
      <c r="G67" s="46"/>
      <c r="H67" s="46"/>
      <c r="I67" s="46"/>
      <c r="J67" s="46"/>
      <c r="K67" s="158"/>
      <c r="L67" s="46"/>
      <c r="M67" s="48"/>
    </row>
    <row r="68" spans="1:13" ht="14" x14ac:dyDescent="0.3">
      <c r="A68" s="48"/>
      <c r="B68" s="46"/>
      <c r="C68" s="78" t="s">
        <v>95</v>
      </c>
      <c r="D68" s="46"/>
      <c r="E68" s="46"/>
      <c r="F68" s="46"/>
      <c r="G68" s="46"/>
      <c r="H68" s="46"/>
      <c r="I68" s="46"/>
      <c r="J68" s="46"/>
      <c r="K68" s="46"/>
      <c r="L68" s="46"/>
      <c r="M68" s="48"/>
    </row>
  </sheetData>
  <mergeCells count="24">
    <mergeCell ref="L44:L48"/>
    <mergeCell ref="A1:M1"/>
    <mergeCell ref="A2:M2"/>
    <mergeCell ref="K34:K40"/>
    <mergeCell ref="F4:K4"/>
    <mergeCell ref="F5:K5"/>
    <mergeCell ref="B24:B25"/>
    <mergeCell ref="C24:J25"/>
    <mergeCell ref="B32:B33"/>
    <mergeCell ref="C32:C33"/>
    <mergeCell ref="D32:D33"/>
    <mergeCell ref="K32:K33"/>
    <mergeCell ref="C34:C40"/>
    <mergeCell ref="E32:J32"/>
    <mergeCell ref="K24:K25"/>
    <mergeCell ref="L34:L40"/>
    <mergeCell ref="B42:F42"/>
    <mergeCell ref="C45:C48"/>
    <mergeCell ref="K45:K48"/>
    <mergeCell ref="B43:B44"/>
    <mergeCell ref="C43:C44"/>
    <mergeCell ref="D43:D44"/>
    <mergeCell ref="K43:K44"/>
    <mergeCell ref="E43:J43"/>
  </mergeCells>
  <pageMargins left="0.7" right="0.7" top="0.75" bottom="0.75" header="0.3" footer="0.3"/>
  <pageSetup paperSize="9" scale="73" orientation="portrait" horizontalDpi="200" verticalDpi="200" r:id="rId1"/>
  <headerFooter>
    <oddHeader>&amp;R&amp;8OA.LK - 041-18 / REV : 0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E100"/>
  <sheetViews>
    <sheetView workbookViewId="0">
      <selection activeCell="E19" sqref="E19"/>
    </sheetView>
  </sheetViews>
  <sheetFormatPr defaultRowHeight="12.5" x14ac:dyDescent="0.25"/>
  <cols>
    <col min="2" max="2" width="25.6328125" customWidth="1"/>
    <col min="3" max="3" width="42.08984375" bestFit="1" customWidth="1"/>
    <col min="4" max="4" width="52.453125" customWidth="1"/>
  </cols>
  <sheetData>
    <row r="2" spans="1:5" x14ac:dyDescent="0.25">
      <c r="A2" s="1279" t="s">
        <v>96</v>
      </c>
      <c r="B2" s="1279" t="s">
        <v>97</v>
      </c>
      <c r="C2" s="1279" t="s">
        <v>98</v>
      </c>
      <c r="D2" s="1279"/>
      <c r="E2" s="29" t="s">
        <v>99</v>
      </c>
    </row>
    <row r="3" spans="1:5" x14ac:dyDescent="0.25">
      <c r="A3" s="1279"/>
      <c r="B3" s="1279"/>
      <c r="C3" s="159" t="s">
        <v>16</v>
      </c>
      <c r="D3" s="159" t="s">
        <v>17</v>
      </c>
      <c r="E3" s="29"/>
    </row>
    <row r="4" spans="1:5" ht="14" x14ac:dyDescent="0.25">
      <c r="A4" s="159">
        <v>1</v>
      </c>
      <c r="B4" s="160">
        <v>44225</v>
      </c>
      <c r="C4" s="161" t="s">
        <v>100</v>
      </c>
      <c r="D4" s="162" t="s">
        <v>101</v>
      </c>
      <c r="E4" s="29"/>
    </row>
    <row r="5" spans="1:5" ht="15.5" x14ac:dyDescent="0.25">
      <c r="A5" s="159"/>
      <c r="B5" s="163"/>
      <c r="C5" s="167" t="s">
        <v>102</v>
      </c>
      <c r="D5" s="164" t="s">
        <v>103</v>
      </c>
      <c r="E5" s="29"/>
    </row>
    <row r="6" spans="1:5" ht="57.75" customHeight="1" x14ac:dyDescent="0.25">
      <c r="A6" s="159"/>
      <c r="B6" s="163"/>
      <c r="C6" s="165" t="s">
        <v>100</v>
      </c>
      <c r="D6" s="166" t="s">
        <v>104</v>
      </c>
      <c r="E6" s="29"/>
    </row>
    <row r="7" spans="1:5" x14ac:dyDescent="0.25">
      <c r="A7" s="159"/>
      <c r="B7" s="163"/>
      <c r="C7" s="159" t="s">
        <v>105</v>
      </c>
      <c r="D7" s="159" t="s">
        <v>106</v>
      </c>
      <c r="E7" s="29"/>
    </row>
    <row r="8" spans="1:5" x14ac:dyDescent="0.25">
      <c r="A8" s="159"/>
      <c r="B8" s="163"/>
      <c r="C8" s="165" t="s">
        <v>100</v>
      </c>
      <c r="D8" s="159" t="s">
        <v>107</v>
      </c>
      <c r="E8" s="29"/>
    </row>
    <row r="9" spans="1:5" x14ac:dyDescent="0.25">
      <c r="A9" s="159"/>
      <c r="B9" s="163"/>
      <c r="C9" s="159" t="s">
        <v>108</v>
      </c>
      <c r="D9" s="159" t="s">
        <v>109</v>
      </c>
      <c r="E9" s="29"/>
    </row>
    <row r="10" spans="1:5" x14ac:dyDescent="0.25">
      <c r="A10" s="159"/>
      <c r="B10" s="163"/>
      <c r="C10" s="159" t="s">
        <v>110</v>
      </c>
      <c r="D10" s="159" t="s">
        <v>111</v>
      </c>
      <c r="E10" s="29"/>
    </row>
    <row r="11" spans="1:5" x14ac:dyDescent="0.25">
      <c r="A11" s="159">
        <v>2</v>
      </c>
      <c r="B11" s="163">
        <v>44316</v>
      </c>
      <c r="C11" s="159" t="s">
        <v>112</v>
      </c>
      <c r="D11" s="159" t="s">
        <v>113</v>
      </c>
      <c r="E11" s="29" t="s">
        <v>114</v>
      </c>
    </row>
    <row r="12" spans="1:5" x14ac:dyDescent="0.25">
      <c r="A12" s="159"/>
      <c r="B12" s="163"/>
      <c r="C12" s="159" t="s">
        <v>115</v>
      </c>
      <c r="D12" s="159" t="s">
        <v>113</v>
      </c>
      <c r="E12" s="29" t="s">
        <v>114</v>
      </c>
    </row>
    <row r="13" spans="1:5" x14ac:dyDescent="0.25">
      <c r="A13" s="159">
        <v>3</v>
      </c>
      <c r="B13" s="163">
        <v>44323</v>
      </c>
      <c r="C13" s="159" t="s">
        <v>116</v>
      </c>
      <c r="D13" s="159" t="s">
        <v>117</v>
      </c>
      <c r="E13" s="29" t="s">
        <v>118</v>
      </c>
    </row>
    <row r="14" spans="1:5" x14ac:dyDescent="0.25">
      <c r="A14" s="159">
        <v>4</v>
      </c>
      <c r="B14" s="163" t="s">
        <v>119</v>
      </c>
      <c r="C14" s="159" t="s">
        <v>120</v>
      </c>
      <c r="D14" s="159" t="s">
        <v>113</v>
      </c>
      <c r="E14" s="29" t="s">
        <v>121</v>
      </c>
    </row>
    <row r="15" spans="1:5" x14ac:dyDescent="0.25">
      <c r="A15" s="159">
        <v>5</v>
      </c>
      <c r="B15" s="206" t="s">
        <v>122</v>
      </c>
      <c r="C15" s="206" t="s">
        <v>123</v>
      </c>
      <c r="D15" s="206" t="s">
        <v>113</v>
      </c>
      <c r="E15" s="137" t="s">
        <v>124</v>
      </c>
    </row>
    <row r="16" spans="1:5" x14ac:dyDescent="0.25">
      <c r="A16" s="159">
        <v>6</v>
      </c>
      <c r="B16" s="163" t="s">
        <v>125</v>
      </c>
      <c r="C16" s="206" t="s">
        <v>126</v>
      </c>
      <c r="D16" s="159" t="s">
        <v>113</v>
      </c>
      <c r="E16" s="29" t="s">
        <v>124</v>
      </c>
    </row>
    <row r="17" spans="1:5" x14ac:dyDescent="0.25">
      <c r="A17" s="159">
        <v>7</v>
      </c>
      <c r="B17" s="163">
        <v>44656</v>
      </c>
      <c r="C17" s="159" t="s">
        <v>127</v>
      </c>
      <c r="D17" s="159" t="s">
        <v>113</v>
      </c>
      <c r="E17" s="137" t="s">
        <v>128</v>
      </c>
    </row>
    <row r="18" spans="1:5" ht="37.5" x14ac:dyDescent="0.25">
      <c r="A18" s="159"/>
      <c r="B18" s="163" t="s">
        <v>427</v>
      </c>
      <c r="C18" s="166" t="s">
        <v>428</v>
      </c>
      <c r="D18" s="159" t="s">
        <v>429</v>
      </c>
      <c r="E18" s="137" t="s">
        <v>124</v>
      </c>
    </row>
    <row r="19" spans="1:5" x14ac:dyDescent="0.25">
      <c r="A19" s="159"/>
      <c r="B19" s="163"/>
      <c r="C19" s="159"/>
      <c r="D19" s="159"/>
      <c r="E19" s="29"/>
    </row>
    <row r="20" spans="1:5" x14ac:dyDescent="0.25">
      <c r="A20" s="159"/>
      <c r="B20" s="163"/>
      <c r="C20" s="159"/>
      <c r="D20" s="159"/>
      <c r="E20" s="29"/>
    </row>
    <row r="21" spans="1:5" x14ac:dyDescent="0.25">
      <c r="A21" s="159"/>
      <c r="B21" s="163"/>
      <c r="C21" s="159"/>
      <c r="D21" s="159"/>
      <c r="E21" s="29"/>
    </row>
    <row r="22" spans="1:5" x14ac:dyDescent="0.25">
      <c r="A22" s="159"/>
      <c r="B22" s="163"/>
      <c r="C22" s="159"/>
      <c r="D22" s="159"/>
      <c r="E22" s="29"/>
    </row>
    <row r="100" spans="1:1" x14ac:dyDescent="0.25">
      <c r="A100" s="2" t="s">
        <v>426</v>
      </c>
    </row>
  </sheetData>
  <mergeCells count="3">
    <mergeCell ref="A2:A3"/>
    <mergeCell ref="B2:B3"/>
    <mergeCell ref="C2:D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8</vt:i4>
      </vt:variant>
    </vt:vector>
  </HeadingPairs>
  <TitlesOfParts>
    <vt:vector size="23" baseType="lpstr">
      <vt:lpstr>DB ESA</vt:lpstr>
      <vt:lpstr>ID</vt:lpstr>
      <vt:lpstr>LH</vt:lpstr>
      <vt:lpstr>Penyelia</vt:lpstr>
      <vt:lpstr>DB Thermohygro</vt:lpstr>
      <vt:lpstr>SERTIFIKAT</vt:lpstr>
      <vt:lpstr>FORECAST</vt:lpstr>
      <vt:lpstr>Lembar Kerja</vt:lpstr>
      <vt:lpstr>Riwayat Revisi</vt:lpstr>
      <vt:lpstr>UBBPM</vt:lpstr>
      <vt:lpstr>UBSPO2</vt:lpstr>
      <vt:lpstr>cetik</vt:lpstr>
      <vt:lpstr>kesimpulan</vt:lpstr>
      <vt:lpstr>DATA SERTIFIKAT(BPM)</vt:lpstr>
      <vt:lpstr>DATA SERTIFIKAT(O2)</vt:lpstr>
      <vt:lpstr>'DB Thermohygro'!Print_Area</vt:lpstr>
      <vt:lpstr>ID!Print_Area</vt:lpstr>
      <vt:lpstr>'Lembar Kerja'!Print_Area</vt:lpstr>
      <vt:lpstr>LH!Print_Area</vt:lpstr>
      <vt:lpstr>Penyelia!Print_Area</vt:lpstr>
      <vt:lpstr>SERTIFIKAT!Print_Area</vt:lpstr>
      <vt:lpstr>UBBPM!Print_Area</vt:lpstr>
      <vt:lpstr>UBSPO2!Print_Area</vt:lpstr>
    </vt:vector>
  </TitlesOfParts>
  <Manager/>
  <Company>BPFK Surabaya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LPFK Banjarbaru</dc:title>
  <dc:subject/>
  <dc:creator>Isra Mahensa</dc:creator>
  <cp:keywords/>
  <dc:description/>
  <cp:lastModifiedBy>isra mahensa</cp:lastModifiedBy>
  <cp:revision/>
  <cp:lastPrinted>2022-04-08T01:13:05Z</cp:lastPrinted>
  <dcterms:created xsi:type="dcterms:W3CDTF">2004-10-15T07:18:29Z</dcterms:created>
  <dcterms:modified xsi:type="dcterms:W3CDTF">2023-09-17T08:39:28Z</dcterms:modified>
  <cp:category>Doppler</cp:category>
  <cp:contentStatus/>
</cp:coreProperties>
</file>